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embeddings/oleObject1.bin" ContentType="application/vnd.openxmlformats-officedocument.oleObject"/>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omments4.xml" ContentType="application/vnd.openxmlformats-officedocument.spreadsheetml.comments+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charts/chart9.xml" ContentType="application/vnd.openxmlformats-officedocument.drawingml.chart+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24226"/>
  <mc:AlternateContent xmlns:mc="http://schemas.openxmlformats.org/markup-compatibility/2006">
    <mc:Choice Requires="x15">
      <x15ac:absPath xmlns:x15ac="http://schemas.microsoft.com/office/spreadsheetml/2010/11/ac" url="C:\Users\wilwin\Desktop\HKUST_Folder\Automation\"/>
    </mc:Choice>
  </mc:AlternateContent>
  <xr:revisionPtr revIDLastSave="0" documentId="13_ncr:1_{5FC29631-EBE8-44E1-BA91-AE411F3BA379}" xr6:coauthVersionLast="47" xr6:coauthVersionMax="47" xr10:uidLastSave="{00000000-0000-0000-0000-000000000000}"/>
  <workbookProtection workbookAlgorithmName="SHA-512" workbookHashValue="NRUd2r5eP/BGjlr/teMYO/KB5Vb1c+DQwcndUYSLsRdazrt/3CS0q9w4q7NFYvYId4vROaqOh3OGaiAmJiOPWg==" workbookSaltValue="s4V/DXX6Df+9ZC52mmhYlg==" workbookSpinCount="100000" lockStructure="1"/>
  <bookViews>
    <workbookView xWindow="-108" yWindow="-108" windowWidth="23256" windowHeight="12456" tabRatio="695" xr2:uid="{00000000-000D-0000-FFFF-FFFF00000000}"/>
  </bookViews>
  <sheets>
    <sheet name="Design Converter" sheetId="1" r:id="rId1"/>
    <sheet name="Licenses" sheetId="10" r:id="rId2"/>
    <sheet name="Variable_Management" sheetId="2" state="hidden" r:id="rId3"/>
    <sheet name="Eff_vs_IOUT" sheetId="4" state="hidden" r:id="rId4"/>
    <sheet name="Loop_Modeling" sheetId="5" state="hidden" r:id="rId5"/>
    <sheet name="Constants" sheetId="3" state="hidden" r:id="rId6"/>
    <sheet name="Plot_Management_Eff" sheetId="6" state="hidden" r:id="rId7"/>
    <sheet name="Plot_Management_Sch" sheetId="7" state="hidden" r:id="rId8"/>
    <sheet name="Lists" sheetId="8" state="hidden" r:id="rId9"/>
    <sheet name="Sheet1" sheetId="9" state="hidden" r:id="rId10"/>
  </sheets>
  <externalReferences>
    <externalReference r:id="rId11"/>
    <externalReference r:id="rId12"/>
    <externalReference r:id="rId13"/>
  </externalReferences>
  <definedNames>
    <definedName name="Acs" localSheetId="1">[1]Constants!$B$30</definedName>
    <definedName name="Acs">Constants!$B$30</definedName>
    <definedName name="Acs_57">Constants!$B$65</definedName>
    <definedName name="Acs_58">Constants!$B$67</definedName>
    <definedName name="Adc" localSheetId="1">[1]Loop_Modeling!$B$34</definedName>
    <definedName name="Adc">Loop_Modeling!$B$34</definedName>
    <definedName name="Adc_ea" localSheetId="1">[1]Loop_Modeling!$B$60</definedName>
    <definedName name="Adc_ea">Loop_Modeling!$B$58</definedName>
    <definedName name="ADC_VINmin" localSheetId="1">[1]Variable_Management!$B$165</definedName>
    <definedName name="ADC_VINmin">Variable_Management!$B$137</definedName>
    <definedName name="CCOMP" localSheetId="1">[1]Variable_Management!$B$206</definedName>
    <definedName name="CCOMP">Variable_Management!$B$180</definedName>
    <definedName name="CComp_calc" localSheetId="1">[1]Variable_Management!$B$205</definedName>
    <definedName name="CComp_calc">Variable_Management!$B$179</definedName>
    <definedName name="Ccomp_iso">Variable_Management!$B$278</definedName>
    <definedName name="Ccomp_iso_calc">Variable_Management!$B$277</definedName>
    <definedName name="chart5">Eff_vs_IOUT!$M$36</definedName>
    <definedName name="CHF" localSheetId="1">[1]Variable_Management!$B$208</definedName>
    <definedName name="CHF">Variable_Management!$B$183</definedName>
    <definedName name="Comp_calc">Variable_Management!$B$179</definedName>
    <definedName name="Copto">Variable_Management!$B$260</definedName>
    <definedName name="Cout" localSheetId="1">[1]Variable_Management!$B$131</definedName>
    <definedName name="Cout">Variable_Management!$B$103</definedName>
    <definedName name="Cout_min" localSheetId="1">[1]Variable_Management!$B$129</definedName>
    <definedName name="Cout_min">Variable_Management!$B$101</definedName>
    <definedName name="Cout_total">Variable_Management!$B$197</definedName>
    <definedName name="Cout1">Variable_Management!$B$163</definedName>
    <definedName name="Cout1_min">Variable_Management!$B$161</definedName>
    <definedName name="Cout2">Variable_Management!$B$173</definedName>
    <definedName name="Cout2_min">Variable_Management!$B$171</definedName>
    <definedName name="Cout3">Variable_Management!$B$183</definedName>
    <definedName name="Cout3_min">Variable_Management!$B$181</definedName>
    <definedName name="Cout4">Variable_Management!$B$193</definedName>
    <definedName name="D_limit_max">Constants!$B$18</definedName>
    <definedName name="D_limit_min">Constants!$B$16</definedName>
    <definedName name="D_limit_nom" localSheetId="1">[1]Constants!$B$17</definedName>
    <definedName name="D_limit_nom">Constants!$B$17</definedName>
    <definedName name="Dc_max_IC" localSheetId="1">[1]Variable_Management!$B$21</definedName>
    <definedName name="Dc_max_IC">Variable_Management!$B$20</definedName>
    <definedName name="Dc_max_ideal">Variable_Management!$A$19</definedName>
    <definedName name="Dc_rip_max" localSheetId="1">[1]Variable_Management!$B$79</definedName>
    <definedName name="Dc_rip_max">Variable_Management!$B$43</definedName>
    <definedName name="Dc_var_ccm">[2]CCM_Loop_Modeling_non_isolated!$B$40</definedName>
    <definedName name="Dc_VIN_max" localSheetId="1">[1]Variable_Management!$B$31</definedName>
    <definedName name="Dc_VIN_max">Variable_Management!$B$30</definedName>
    <definedName name="Dc_VIN_min" localSheetId="1">[1]Variable_Management!$B$23</definedName>
    <definedName name="Dc_VIN_min">Variable_Management!$B$22</definedName>
    <definedName name="Dc_VIN_nom" localSheetId="1">[1]Variable_Management!$B$27</definedName>
    <definedName name="Dc_VIN_nom">Variable_Management!$B$26</definedName>
    <definedName name="device_s" localSheetId="1">'Design Converter'!$H$32</definedName>
    <definedName name="device_s">'Design Converter'!$H$28</definedName>
    <definedName name="display_eff">INDIRECT(Plot_Management_Eff!$B$2)</definedName>
    <definedName name="display_Sch">INDIRECT(Plot_Management_Sch!$B$1)</definedName>
    <definedName name="Dmax_limit">Variable_Management!$B$62</definedName>
    <definedName name="EFF_est" localSheetId="1">[1]Variable_Management!$B$17</definedName>
    <definedName name="EFF_est">Variable_Management!$B$17</definedName>
    <definedName name="Eff_vs_IOUT">Plot_Management_Eff!$C$3</definedName>
    <definedName name="EN_OUT_2">Variable_Management!$B$24</definedName>
    <definedName name="EN_OUT_3">Variable_Management!$B$33</definedName>
    <definedName name="EN_OUT_4">Variable_Management!$B$42</definedName>
    <definedName name="FB_type">Variable_Management!$B$222</definedName>
    <definedName name="fcross" localSheetId="1">[1]Variable_Management!$B$189</definedName>
    <definedName name="fcross">Variable_Management!$B$163</definedName>
    <definedName name="fcross_est" localSheetId="1">[1]Variable_Management!$B$188</definedName>
    <definedName name="fcross_est">Variable_Management!$B$162</definedName>
    <definedName name="fcross_iso">Variable_Management!$B$273</definedName>
    <definedName name="FIR_BYPASSED">'[3]Digital Filter'!$T$84</definedName>
    <definedName name="fopto">Variable_Management!$B$265</definedName>
    <definedName name="fp_ea_est" localSheetId="1">[1]Variable_Management!$B$199</definedName>
    <definedName name="fp_ea_est">Variable_Management!$B$173</definedName>
    <definedName name="Fsw" localSheetId="1">[1]Variable_Management!$B$10</definedName>
    <definedName name="Fsw">Variable_Management!$B$10</definedName>
    <definedName name="fz_ea_est" localSheetId="1">[1]Variable_Management!$B$197</definedName>
    <definedName name="fz_ea_est">Variable_Management!$B$171</definedName>
    <definedName name="fz_rhp" localSheetId="1">[1]Variable_Management!$B$174</definedName>
    <definedName name="fz_rhp">Variable_Management!$B$146</definedName>
    <definedName name="fz_rhp_VINnom">Variable_Management!$B$150</definedName>
    <definedName name="Gcomp" localSheetId="1">[1]Constants!$B$29</definedName>
    <definedName name="Gcomp">Constants!$B$29</definedName>
    <definedName name="Gea_mid_calc" localSheetId="1">[1]Variable_Management!$B$193</definedName>
    <definedName name="Gea_mid_calc">Variable_Management!$B$167</definedName>
    <definedName name="gfs" localSheetId="1">[1]Variable_Management!$B$225</definedName>
    <definedName name="gfs">Variable_Management!$B$202</definedName>
    <definedName name="gm_ea" localSheetId="1">[1]Constants!$B$34</definedName>
    <definedName name="gm_ea">Constants!$B$35</definedName>
    <definedName name="Gplant_fc_dB" localSheetId="1">[1]Loop_Modeling!$AD$7</definedName>
    <definedName name="Gplant_fc_dB">Loop_Modeling!$AD$7</definedName>
    <definedName name="I_lim_r" comment="Recommended Device Current Limit">Variable_Management!$B$91</definedName>
    <definedName name="I_lim_s" localSheetId="1">Variable_Management!$B$137</definedName>
    <definedName name="I_lim_s" comment="Selected Device Current Limit">Variable_Management!$B$92</definedName>
    <definedName name="Icomp_sink_max">Constants!$B$39</definedName>
    <definedName name="IIN_33" localSheetId="1">[1]Variable_Management!$B$81</definedName>
    <definedName name="IIN_33">Variable_Management!$B$45</definedName>
    <definedName name="IL_avg_VIN_max" localSheetId="1">[1]Variable_Management!$B$33</definedName>
    <definedName name="IL_avg_VIN_max">Variable_Management!$B$32</definedName>
    <definedName name="IL_avg_VIN_min" localSheetId="1">[1]Variable_Management!$B$25</definedName>
    <definedName name="IL_avg_VIN_min">Variable_Management!$B$24</definedName>
    <definedName name="IL_avg_VIN_nom" localSheetId="1">[1]Variable_Management!$B$29</definedName>
    <definedName name="IL_avg_VIN_nom">Variable_Management!$B$28</definedName>
    <definedName name="IL_pk" localSheetId="1">[1]Variable_Management!$B$118</definedName>
    <definedName name="IL_pk">Variable_Management!$B$82</definedName>
    <definedName name="IL_pk_max" localSheetId="1">[1]Variable_Management!$B$119</definedName>
    <definedName name="IL_pk_max">Variable_Management!$B$83</definedName>
    <definedName name="ILp_VINmax">Variable_Management!$B$59</definedName>
    <definedName name="ILp_VINmin" localSheetId="1">[1]Variable_Management!$B$89</definedName>
    <definedName name="ILp_VINmin">Variable_Management!$B$53</definedName>
    <definedName name="ILp_VINnom">Variable_Management!$B$56</definedName>
    <definedName name="ILpk" localSheetId="1">'Design Converter'!$H$28</definedName>
    <definedName name="ILpk">'Design Converter'!$H$24</definedName>
    <definedName name="ILrip" localSheetId="1">[1]Variable_Management!$B$71</definedName>
    <definedName name="ILrip">Variable_Management!$B$35</definedName>
    <definedName name="ILrip_VINmax" localSheetId="1">[1]Variable_Management!$B$94</definedName>
    <definedName name="ILrip_VINmax">Variable_Management!$B$58</definedName>
    <definedName name="ILrip_VINmin" localSheetId="1">[1]Variable_Management!$B$88</definedName>
    <definedName name="ILrip_VINmin">Variable_Management!$B$52</definedName>
    <definedName name="ILrip_VINnom" localSheetId="1">[1]Variable_Management!$B$91</definedName>
    <definedName name="ILrip_VINnom">Variable_Management!$B$55</definedName>
    <definedName name="IOUT" localSheetId="1">[1]Variable_Management!$B$14</definedName>
    <definedName name="IOUT">Variable_Management!$B$14</definedName>
    <definedName name="IOUT1">Variable_Management!$B$17</definedName>
    <definedName name="IOUT2">Variable_Management!$B$26</definedName>
    <definedName name="IOUT3">Variable_Management!$B$35</definedName>
    <definedName name="IOUT4">Variable_Management!$B$44</definedName>
    <definedName name="Ipk_lim_margin" comment="Minimum peak current limit margin percentage">Constants!$B$62</definedName>
    <definedName name="Ipk_margin" localSheetId="1">[1]Variable_Management!$B$98</definedName>
    <definedName name="Ipk_margin">Variable_Management!$B$62</definedName>
    <definedName name="Ipk_selected" localSheetId="1">[1]Variable_Management!$B$99</definedName>
    <definedName name="Ipk_selected">Variable_Management!$B$63</definedName>
    <definedName name="IQ" localSheetId="1">[1]Constants!$B$48</definedName>
    <definedName name="IQ">Constants!$B$49</definedName>
    <definedName name="IRMS_COUT" localSheetId="1">[1]Variable_Management!$B$130</definedName>
    <definedName name="IRMS_COUT">Variable_Management!$B$102</definedName>
    <definedName name="Isl" localSheetId="1">[1]Constants!$B$25</definedName>
    <definedName name="Isl">Constants!$B$25</definedName>
    <definedName name="Iss" localSheetId="1">[1]Constants!$B$37</definedName>
    <definedName name="Iss">Constants!$B$38</definedName>
    <definedName name="Isw_lim_57" localSheetId="1">Constants!$B$65</definedName>
    <definedName name="Isw_lim_57" comment="Internal MOSFET Current Limit for LM5157">Constants!$B$57</definedName>
    <definedName name="Isw_lim_571" localSheetId="1">Constants!$B$66</definedName>
    <definedName name="Isw_lim_571" comment="Internal MOSFET Current Limit for LM51571">Constants!$B$58</definedName>
    <definedName name="Isw_lim_58" localSheetId="1">Constants!$B$67</definedName>
    <definedName name="Isw_lim_58" comment="Internal MOSFET Current Limit for LM5158">Constants!$B$59</definedName>
    <definedName name="Isw_lim_581" localSheetId="1">Constants!$B$68</definedName>
    <definedName name="Isw_lim_581" comment="Internal MOSFET Current Limit for LM51581">Constants!$B$60</definedName>
    <definedName name="kopto_max">Variable_Management!$B$258</definedName>
    <definedName name="kopto_min">Variable_Management!$B$257</definedName>
    <definedName name="Kslope" localSheetId="1">[1]Variable_Management!$B$106</definedName>
    <definedName name="Kslope">Variable_Management!$B$70</definedName>
    <definedName name="Lm" localSheetId="1">[1]Variable_Management!$B$84</definedName>
    <definedName name="Lm">Variable_Management!$B$48</definedName>
    <definedName name="Loop_f_esr_gain">IF(FB_type=1,[2]CCM_Loop_Modeling_Isolated!$AW$10,[2]CCM_Loop_Modeling_non_isolated!$AT$10)</definedName>
    <definedName name="Loop_f_LP_gain">IF(FB_type=1,[2]CCM_Loop_Modeling_Isolated!$AW$11,[2]CCM_Loop_Modeling_non_isolated!$AT$11)</definedName>
    <definedName name="Loop_fz_ea_gain">IF(FB_type=1,[2]CCM_Loop_Modeling_Isolated!$AW$12,[2]CCM_Loop_Modeling_non_isolated!$AT$12)</definedName>
    <definedName name="Loop_fz_rhp_gain">IF(FB_type=1,[2]CCM_Loop_Modeling_Isolated!$AW$9,[2]CCM_Loop_Modeling_non_isolated!$AT$9)</definedName>
    <definedName name="Loop_gain">IF(FB_type=1,[2]CCM_Loop_Modeling_Isolated!$AW$19:$AW$560,[2]CCM_Loop_Modeling_non_isolated!$AT$19:$AT$560)</definedName>
    <definedName name="Loop_phase">IF(FB_type=1,[2]CCM_Loop_Modeling_Isolated!$AX$19:$AX$560,[2]CCM_Loop_Modeling_non_isolated!$AU$19:$AU$560)</definedName>
    <definedName name="Lopt">Variable_Management!$B$40</definedName>
    <definedName name="Lopt_2" localSheetId="1">[1]Variable_Management!$B$82</definedName>
    <definedName name="Lopt_2">Variable_Management!$B$46</definedName>
    <definedName name="mc">[2]CCM_Loop_Modeling_non_isolated!$B$53</definedName>
    <definedName name="Np">Variable_Management!$B$61</definedName>
    <definedName name="NS1_">Variable_Management!$B$64</definedName>
    <definedName name="NS2_">Variable_Management!$B$74</definedName>
    <definedName name="NS3_">Variable_Management!$B$79</definedName>
    <definedName name="NS4_">Variable_Management!$B$84</definedName>
    <definedName name="num_VOUT">Variable_Management!$B$14</definedName>
    <definedName name="POUT" localSheetId="1">[1]Variable_Management!$B$16</definedName>
    <definedName name="POUT">Variable_Management!$B$16</definedName>
    <definedName name="POUT_Total">Variable_Management!$B$50</definedName>
    <definedName name="Pout_var">[2]CCM_Loop_Modeling_non_isolated!$B$17</definedName>
    <definedName name="POUT1">Variable_Management!$B$19</definedName>
    <definedName name="POUT2">Variable_Management!$B$28</definedName>
    <definedName name="POUT3">Variable_Management!$B$37</definedName>
    <definedName name="POUT4">Variable_Management!$B$46</definedName>
    <definedName name="_xlnm.Print_Area" localSheetId="0">'Design Converter'!$A$1:$Z$95</definedName>
    <definedName name="Q" localSheetId="1">[1]Loop_Modeling!$B$48</definedName>
    <definedName name="Q">Loop_Modeling!$B$48</definedName>
    <definedName name="Q_VINmin" localSheetId="1">[1]Variable_Management!$B$182</definedName>
    <definedName name="Q_VINmin">Variable_Management!$B$156</definedName>
    <definedName name="Qg_tot" localSheetId="1">[1]Variable_Management!$B$220</definedName>
    <definedName name="Qg_tot">Variable_Management!$B$197</definedName>
    <definedName name="Qgd" localSheetId="1">[1]Variable_Management!$B$221</definedName>
    <definedName name="Qgd">Variable_Management!$B$198</definedName>
    <definedName name="Qgs" localSheetId="1">[1]Variable_Management!$B$222</definedName>
    <definedName name="Qgs">Variable_Management!$B$199</definedName>
    <definedName name="Qrr" localSheetId="1">[1]Variable_Management!$B$215</definedName>
    <definedName name="Qrr">Variable_Management!$B$190</definedName>
    <definedName name="QRR1_">Variable_Management!$B$21</definedName>
    <definedName name="QRR2_">Variable_Management!$B$30</definedName>
    <definedName name="QRR3_">Variable_Management!$B$39</definedName>
    <definedName name="QRR4_">Variable_Management!$B$48</definedName>
    <definedName name="R_cs" localSheetId="1">[1]Variable_Management!$B$114</definedName>
    <definedName name="R_cs">Constants!$B$31</definedName>
    <definedName name="R_cs_57">Constants!$B$66</definedName>
    <definedName name="R_cs_58">Constants!$B$68</definedName>
    <definedName name="R_sl" localSheetId="1">[1]Variable_Management!$B$115</definedName>
    <definedName name="R_sl">Variable_Management!$B$79</definedName>
    <definedName name="RCOMP" localSheetId="1">[1]Variable_Management!$B$204</definedName>
    <definedName name="RCOMP">Variable_Management!$B$178</definedName>
    <definedName name="Rcomp_calc" localSheetId="1">[1]Variable_Management!$B$203</definedName>
    <definedName name="Rcomp_calc">Variable_Management!$B$177</definedName>
    <definedName name="Rcomp_iso">Variable_Management!$B$276</definedName>
    <definedName name="Rcs_max" localSheetId="1">[1]Variable_Management!$B$103</definedName>
    <definedName name="Rcs_max">Variable_Management!$B$67</definedName>
    <definedName name="Rcs_w_sl" localSheetId="1">[1]Variable_Management!$B$107</definedName>
    <definedName name="Rcs_w_sl">Variable_Management!$B$71</definedName>
    <definedName name="Rcs_wo_sl" localSheetId="1">[1]Variable_Management!$B$104</definedName>
    <definedName name="Rcs_wo_sl">Variable_Management!$B$68</definedName>
    <definedName name="Rdcr" localSheetId="1">[1]Variable_Management!$B$85</definedName>
    <definedName name="Rdcr">Variable_Management!$B$49</definedName>
    <definedName name="Rdcr1">Variable_Management!$B$65</definedName>
    <definedName name="Rdcr2">Variable_Management!$B$76</definedName>
    <definedName name="Rdcr3">Variable_Management!$B$81</definedName>
    <definedName name="Rdcr4">Variable_Management!$B$86</definedName>
    <definedName name="RDS_on" localSheetId="1">[1]Variable_Management!$B$219</definedName>
    <definedName name="RDS_on">Variable_Management!$B$196</definedName>
    <definedName name="rdson_5v">Lists!$E$9</definedName>
    <definedName name="Resr" localSheetId="1">[1]Variable_Management!$B$132</definedName>
    <definedName name="Resr">Variable_Management!$B$104</definedName>
    <definedName name="Resr_total">Variable_Management!$B$198</definedName>
    <definedName name="Resr1">Variable_Management!$B$164</definedName>
    <definedName name="Resr2">Variable_Management!$B$174</definedName>
    <definedName name="Resr2_Trans">Variable_Management!$B$175</definedName>
    <definedName name="Resr3">Variable_Management!$B$184</definedName>
    <definedName name="Resr3_Trans">Variable_Management!$B$185</definedName>
    <definedName name="Resr4">Variable_Management!$B$194</definedName>
    <definedName name="Resr4_Trans">Variable_Management!$B$195</definedName>
    <definedName name="RFBB" localSheetId="1">[1]Variable_Management!$B$160</definedName>
    <definedName name="RFBB">Variable_Management!$B$132</definedName>
    <definedName name="RFBB_calc" localSheetId="1">[1]Variable_Management!$B$159</definedName>
    <definedName name="RFBB_calc">Variable_Management!$B$131</definedName>
    <definedName name="RFBB_iso">Variable_Management!$B$254</definedName>
    <definedName name="RFBB_iso_calc">Variable_Management!$B$253</definedName>
    <definedName name="RFBT" localSheetId="1">[1]Variable_Management!$B$158</definedName>
    <definedName name="RFBT">Variable_Management!$B$130</definedName>
    <definedName name="RFBT_iso">Variable_Management!$B$252</definedName>
    <definedName name="Rgate" localSheetId="1">[1]Variable_Management!$B$223</definedName>
    <definedName name="Rgate">Variable_Management!$B$200</definedName>
    <definedName name="RLED">Variable_Management!$B$267</definedName>
    <definedName name="ROUT">Variable_Management!$B$15</definedName>
    <definedName name="Rpullup">Variable_Management!$B$264</definedName>
    <definedName name="Rpullup_min">Variable_Management!$B$263</definedName>
    <definedName name="Rsl_int" localSheetId="1">[1]Constants!$B$26</definedName>
    <definedName name="Rsl_int">Constants!$B$26</definedName>
    <definedName name="Rsl_max">[1]Constants!$B$28</definedName>
    <definedName name="RT" localSheetId="1">[1]Variable_Management!$B$11</definedName>
    <definedName name="RT">Variable_Management!$B$11</definedName>
    <definedName name="Ruvlo_bottom_calc" localSheetId="1">[1]Variable_Management!$B$149</definedName>
    <definedName name="Ruvlo_bottom_calc">Variable_Management!$B$121</definedName>
    <definedName name="Ruvlo_top" localSheetId="1">[1]Variable_Management!$B$148</definedName>
    <definedName name="Ruvlo_top">Variable_Management!$B$120</definedName>
    <definedName name="Ruvlo_top_calc" localSheetId="1">[1]Variable_Management!$B$147</definedName>
    <definedName name="Ruvlo_top_calc">Variable_Management!$B$119</definedName>
    <definedName name="sch_LM5157">Plot_Management_Sch!$D$7</definedName>
    <definedName name="sch_LM51571">Plot_Management_Sch!$E$7</definedName>
    <definedName name="sch_LM5158">Plot_Management_Sch!$D$8</definedName>
    <definedName name="sch_LM51581">Plot_Management_Sch!$E$8</definedName>
    <definedName name="Se" localSheetId="1">Variable_Management!$B$134</definedName>
    <definedName name="Se" comment="Slope Comp Ramp">Variable_Management!$B$89</definedName>
    <definedName name="Se_VINmin">Variable_Management!$B$152</definedName>
    <definedName name="Sn" localSheetId="1">Variable_Management!$B$132</definedName>
    <definedName name="Sn" comment="Inductor current falling slope referenced to COMP">Variable_Management!$B$87</definedName>
    <definedName name="Sn_half" localSheetId="1">Variable_Management!$B$133</definedName>
    <definedName name="Sn_half" comment="Half of Inductor current falling slope referenced to COMP">Variable_Management!$B$88</definedName>
    <definedName name="Sn_VINmin">Variable_Management!$B$153</definedName>
    <definedName name="Ta" comment="ambient temperature">Variable_Management!$B$217</definedName>
    <definedName name="tf_sw" localSheetId="1">[1]Variable_Management!$B$232</definedName>
    <definedName name="tf_sw">Variable_Management!$B$209</definedName>
    <definedName name="tf_sw_fix" comment="fixed falling time of switch node, use to simplify the calculation">Variable_Management!$B$212</definedName>
    <definedName name="Tk" comment="temperature coefficient">Variable_Management!$B$215</definedName>
    <definedName name="Tk_f">Variable_Management!$B$216</definedName>
    <definedName name="tr_sw" localSheetId="1">[1]Variable_Management!$B$231</definedName>
    <definedName name="tr_sw">Variable_Management!$B$208</definedName>
    <definedName name="tr_sw_fix" comment="fixed rising time of switch node, use to simplify the calculation">Variable_Management!$B$211</definedName>
    <definedName name="tss" localSheetId="1">[1]Variable_Management!$B$138</definedName>
    <definedName name="tss">Variable_Management!$B$110</definedName>
    <definedName name="UV_fall" localSheetId="1">[1]Constants!$B$41</definedName>
    <definedName name="UV_fall">Constants!$B$42</definedName>
    <definedName name="UV_I_hyst" localSheetId="1">[1]Constants!$B$42</definedName>
    <definedName name="UV_I_hyst">Constants!$B$43</definedName>
    <definedName name="UV_rise" localSheetId="1">[1]Constants!$B$40</definedName>
    <definedName name="UV_rise">Constants!$B$41</definedName>
    <definedName name="Vcc" localSheetId="1">[1]Constants!$B$45</definedName>
    <definedName name="Vcc">Constants!$B$46</definedName>
    <definedName name="Vcc_real" localSheetId="1">Variable_Management!$B$334</definedName>
    <definedName name="Vcc_real" comment="Real VCC voltage considered the case when bias/vin&lt;5V">Variable_Management!$B$204</definedName>
    <definedName name="VCE_sat">Variable_Management!$B$261</definedName>
    <definedName name="Vcl" localSheetId="1">[1]Constants!$B$27</definedName>
    <definedName name="Vcl">Constants!$B$27</definedName>
    <definedName name="Vcomp_max">Constants!$B$38</definedName>
    <definedName name="VD">Constants!$B$8</definedName>
    <definedName name="Vd_opto">Variable_Management!$B$259</definedName>
    <definedName name="Vd_rect" localSheetId="1">[1]Variable_Management!$B$214</definedName>
    <definedName name="Vd_rect">Variable_Management!$B$189</definedName>
    <definedName name="VD1_">Variable_Management!$B$20</definedName>
    <definedName name="VD2_">Variable_Management!$B$29</definedName>
    <definedName name="VD3_">Variable_Management!$B$38</definedName>
    <definedName name="VD4_">Variable_Management!$B$47</definedName>
    <definedName name="VIN_33" localSheetId="1">[1]Variable_Management!$B$80</definedName>
    <definedName name="VIN_33">Variable_Management!$B$44</definedName>
    <definedName name="VIN_max" localSheetId="1">[1]Variable_Management!$B$9</definedName>
    <definedName name="VIN_max">Variable_Management!$B$9</definedName>
    <definedName name="VIN_min" localSheetId="1">[1]Variable_Management!$B$7</definedName>
    <definedName name="VIN_min">Variable_Management!$B$7</definedName>
    <definedName name="VIN_nom" localSheetId="1">[1]Variable_Management!$B$8</definedName>
    <definedName name="VIN_nom">Variable_Management!$B$8</definedName>
    <definedName name="VIN_op_max" localSheetId="1">[1]Constants!$B$52</definedName>
    <definedName name="Vin_op_max_57" localSheetId="1">Constants!$B$61</definedName>
    <definedName name="VIN_op_max_57">Constants!$B$53</definedName>
    <definedName name="Vin_op_max_58" localSheetId="1">Constants!$B$63</definedName>
    <definedName name="Vin_op_max_58">Constants!$B$55</definedName>
    <definedName name="Vin_op_max_s" comment="Selected Device Input Voltage Limit">Lists!$B$15</definedName>
    <definedName name="VIN_op_min" localSheetId="1">[1]Constants!$B$51</definedName>
    <definedName name="VIN_op_min">Constants!$B$52</definedName>
    <definedName name="VIN_var" localSheetId="1">[1]Variable_Management!$B$8</definedName>
    <definedName name="VIN_var">Variable_Management!$B$8</definedName>
    <definedName name="Vo_op_max_s" comment="Selected Device Output Voltage Limit">Lists!$B$16</definedName>
    <definedName name="VOUT" localSheetId="1">[1]Variable_Management!$B$13</definedName>
    <definedName name="VOUT">Variable_Management!$B$13</definedName>
    <definedName name="Vout_op_max_57" localSheetId="1">Constants!$B$62</definedName>
    <definedName name="Vout_op_max_57" comment="Maximum Boost Converter Output">Constants!$B$54</definedName>
    <definedName name="Vout_op_max_58" localSheetId="1">Constants!$B$64</definedName>
    <definedName name="Vout_op_max_58">Constants!$B$56</definedName>
    <definedName name="Vout_rip_sel" localSheetId="1">[1]Variable_Management!$B$128</definedName>
    <definedName name="Vout_rip_sel">Variable_Management!$B$100</definedName>
    <definedName name="VOUT1">Variable_Management!$B$16</definedName>
    <definedName name="Vout1_rip_sel">Variable_Management!$B$157</definedName>
    <definedName name="VOUT2">Variable_Management!$B$25</definedName>
    <definedName name="Vout2_rip_sel">Variable_Management!$B$167</definedName>
    <definedName name="VOUT3">Variable_Management!$B$34</definedName>
    <definedName name="Vout3_rip_sel">Variable_Management!$B$177</definedName>
    <definedName name="VOUT4">Variable_Management!$B$43</definedName>
    <definedName name="Vout4_rip_sel">Variable_Management!$B$187</definedName>
    <definedName name="Vpullup">Variable_Management!$B$262</definedName>
    <definedName name="Vref" localSheetId="1">[1]Constants!$B$33</definedName>
    <definedName name="Vref">Constants!$B$34</definedName>
    <definedName name="Vref_iso">Variable_Management!$B$251</definedName>
    <definedName name="Vth" localSheetId="1">[1]Variable_Management!$B$226</definedName>
    <definedName name="Vth">Variable_Management!$B$203</definedName>
    <definedName name="Vuvlo_off" localSheetId="1">[1]Variable_Management!$B$143</definedName>
    <definedName name="Vuvlo_off">Variable_Management!$B$115</definedName>
    <definedName name="Vuvlo_on" localSheetId="1">[1]Variable_Management!$B$142</definedName>
    <definedName name="Vuvlo_on">Variable_Management!$B$114</definedName>
    <definedName name="wp_lf" localSheetId="1">[1]Loop_Modeling!$B$35</definedName>
    <definedName name="wp_lf">Loop_Modeling!$B$35</definedName>
    <definedName name="wp_lf_VINmin" localSheetId="1">[1]Variable_Management!$B$167</definedName>
    <definedName name="wp_lf_VINmin">Variable_Management!$B$139</definedName>
    <definedName name="wp0_ea" localSheetId="1">[1]Loop_Modeling!$B$62</definedName>
    <definedName name="wp0_ea">Loop_Modeling!$B$61</definedName>
    <definedName name="wp1_ea" localSheetId="1">[1]Loop_Modeling!$B$63</definedName>
    <definedName name="wp1_ea">Loop_Modeling!$B$63</definedName>
    <definedName name="wsl" localSheetId="1">[1]Loop_Modeling!$B$47</definedName>
    <definedName name="wsl">Loop_Modeling!$B$47</definedName>
    <definedName name="wsl_VINmin" localSheetId="1">[1]Variable_Management!$B$181</definedName>
    <definedName name="wsl_VINmin">Variable_Management!$B$155</definedName>
    <definedName name="wz_ea" localSheetId="1">[1]Loop_Modeling!$B$61</definedName>
    <definedName name="wz_ea">Loop_Modeling!$B$59</definedName>
    <definedName name="wz_esr" localSheetId="1">[1]Loop_Modeling!$B$41</definedName>
    <definedName name="wz_esr">Loop_Modeling!$B$41</definedName>
    <definedName name="wz_esr_VINmin" localSheetId="1">[1]Variable_Management!$B$170</definedName>
    <definedName name="wz_esr_VINmin">Variable_Management!$B$142</definedName>
    <definedName name="wz_rhp" localSheetId="1">[1]Loop_Modeling!$B$38</definedName>
    <definedName name="wz_rhp">Loop_Modeling!$B$38</definedName>
    <definedName name="wz_RHP_VINmin" localSheetId="1">[1]Variable_Management!$B$173</definedName>
    <definedName name="wz_RHP_VINmin">Variable_Management!$B$145</definedName>
    <definedName name="wz1_ea_iso">[2]CCM_Loop_Modeling_Isolated!$B$70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3" l="1"/>
  <c r="B30" i="3"/>
  <c r="B10" i="8" l="1"/>
  <c r="B11" i="8"/>
  <c r="B12" i="8"/>
  <c r="B13" i="8"/>
  <c r="B16" i="8"/>
  <c r="B15" i="8"/>
  <c r="B22" i="3"/>
  <c r="B1" i="7" l="1"/>
  <c r="B92" i="2" l="1"/>
  <c r="N50" i="3" l="1"/>
  <c r="B217" i="2" l="1"/>
  <c r="B49" i="3" l="1"/>
  <c r="B25" i="3" l="1"/>
  <c r="B28" i="5" s="1"/>
  <c r="B27" i="5"/>
  <c r="M66" i="2" l="1"/>
  <c r="B2" i="6"/>
  <c r="B190" i="2" l="1"/>
  <c r="B189" i="2"/>
  <c r="B120" i="2" l="1"/>
  <c r="B43" i="3"/>
  <c r="B118" i="2" s="1"/>
  <c r="B117" i="2"/>
  <c r="B116" i="2"/>
  <c r="B115" i="2"/>
  <c r="B114" i="2"/>
  <c r="B119" i="2" s="1"/>
  <c r="B110" i="2"/>
  <c r="B38" i="3"/>
  <c r="B108" i="2" s="1"/>
  <c r="H47" i="1" l="1"/>
  <c r="B121" i="2"/>
  <c r="B163" i="2"/>
  <c r="B35" i="3"/>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O8" i="5" l="1"/>
  <c r="O7" i="5"/>
  <c r="B122" i="2"/>
  <c r="H49" i="1"/>
  <c r="B123" i="2"/>
  <c r="B169" i="2"/>
  <c r="B30" i="5" l="1"/>
  <c r="B130" i="2" l="1"/>
  <c r="B132" i="2"/>
  <c r="B180" i="2"/>
  <c r="B183" i="2"/>
  <c r="B56" i="5" s="1"/>
  <c r="B178" i="2"/>
  <c r="B54" i="5" l="1"/>
  <c r="B61" i="5"/>
  <c r="B58" i="5"/>
  <c r="B53" i="5"/>
  <c r="B52" i="5"/>
  <c r="AF7" i="5"/>
  <c r="B55" i="5"/>
  <c r="D61" i="5"/>
  <c r="B63" i="5"/>
  <c r="B64" i="5" s="1"/>
  <c r="B59" i="5"/>
  <c r="B60" i="5" s="1"/>
  <c r="B104" i="2"/>
  <c r="B103" i="2"/>
  <c r="B100" i="2"/>
  <c r="B84" i="2"/>
  <c r="B27" i="3"/>
  <c r="B62" i="5" l="1"/>
  <c r="AG115" i="5"/>
  <c r="AG113" i="5"/>
  <c r="AG169" i="5"/>
  <c r="AG225" i="5"/>
  <c r="AG481" i="5"/>
  <c r="AG367" i="5"/>
  <c r="AG39" i="5"/>
  <c r="AG295" i="5"/>
  <c r="AG351" i="5"/>
  <c r="AG525" i="5"/>
  <c r="AG110" i="5"/>
  <c r="AG166" i="5"/>
  <c r="AG222" i="5"/>
  <c r="AG478" i="5"/>
  <c r="AG88" i="5"/>
  <c r="AG37" i="5"/>
  <c r="AG293" i="5"/>
  <c r="AG349" i="5"/>
  <c r="AG523" i="5"/>
  <c r="AG60" i="5"/>
  <c r="AG316" i="5"/>
  <c r="AG372" i="5"/>
  <c r="AG428" i="5"/>
  <c r="AG480" i="5"/>
  <c r="AG187" i="5"/>
  <c r="AG243" i="5"/>
  <c r="AG499" i="5"/>
  <c r="AG171" i="5"/>
  <c r="AG106" i="5"/>
  <c r="AG162" i="5"/>
  <c r="AG418" i="5"/>
  <c r="AG474" i="5"/>
  <c r="AG204" i="5"/>
  <c r="AG21" i="5"/>
  <c r="AG277" i="5"/>
  <c r="AG333" i="5"/>
  <c r="AG559" i="5"/>
  <c r="AG92" i="5"/>
  <c r="AG148" i="5"/>
  <c r="AG404" i="5"/>
  <c r="AG460" i="5"/>
  <c r="AG331" i="5"/>
  <c r="AG30" i="5"/>
  <c r="AG286" i="5"/>
  <c r="AG342" i="5"/>
  <c r="AG544" i="5"/>
  <c r="AG205" i="5"/>
  <c r="AG55" i="5"/>
  <c r="AG152" i="5"/>
  <c r="AG537" i="5"/>
  <c r="AG444" i="5"/>
  <c r="AG114" i="5"/>
  <c r="AG246" i="5"/>
  <c r="AG236" i="5"/>
  <c r="AG45" i="5"/>
  <c r="AG310" i="5"/>
  <c r="AG195" i="5"/>
  <c r="AG101" i="5"/>
  <c r="AG157" i="5"/>
  <c r="AG413" i="5"/>
  <c r="AG469" i="5"/>
  <c r="AG40" i="5"/>
  <c r="AG27" i="5"/>
  <c r="AG283" i="5"/>
  <c r="AG339" i="5"/>
  <c r="AG541" i="5"/>
  <c r="AG98" i="5"/>
  <c r="AG154" i="5"/>
  <c r="AG410" i="5"/>
  <c r="AG466" i="5"/>
  <c r="AG192" i="5"/>
  <c r="AG25" i="5"/>
  <c r="AG281" i="5"/>
  <c r="AG337" i="5"/>
  <c r="AG539" i="5"/>
  <c r="AG48" i="5"/>
  <c r="AG304" i="5"/>
  <c r="AG360" i="5"/>
  <c r="AG534" i="5"/>
  <c r="AG108" i="5"/>
  <c r="AG175" i="5"/>
  <c r="AG231" i="5"/>
  <c r="AG487" i="5"/>
  <c r="AG263" i="5"/>
  <c r="AG94" i="5"/>
  <c r="AG150" i="5"/>
  <c r="AG406" i="5"/>
  <c r="AG462" i="5"/>
  <c r="AG308" i="5"/>
  <c r="AG209" i="5"/>
  <c r="AG265" i="5"/>
  <c r="AG321" i="5"/>
  <c r="AG43" i="5"/>
  <c r="AG80" i="5"/>
  <c r="AG136" i="5"/>
  <c r="AG392" i="5"/>
  <c r="AG448" i="5"/>
  <c r="AG507" i="5"/>
  <c r="AG218" i="5"/>
  <c r="AG274" i="5"/>
  <c r="AG330" i="5"/>
  <c r="AG556" i="5"/>
  <c r="AG261" i="5"/>
  <c r="AG202" i="5"/>
  <c r="AG385" i="5"/>
  <c r="AG132" i="5"/>
  <c r="AG57" i="5"/>
  <c r="AG496" i="5"/>
  <c r="AG31" i="5"/>
  <c r="AG373" i="5"/>
  <c r="AG549" i="5"/>
  <c r="AG116" i="5"/>
  <c r="AG287" i="5"/>
  <c r="AG89" i="5"/>
  <c r="AG145" i="5"/>
  <c r="AG401" i="5"/>
  <c r="AG457" i="5"/>
  <c r="AG144" i="5"/>
  <c r="AG215" i="5"/>
  <c r="AG271" i="5"/>
  <c r="AG327" i="5"/>
  <c r="AG553" i="5"/>
  <c r="AG86" i="5"/>
  <c r="AG142" i="5"/>
  <c r="AG398" i="5"/>
  <c r="AG454" i="5"/>
  <c r="AG296" i="5"/>
  <c r="AG213" i="5"/>
  <c r="AG269" i="5"/>
  <c r="AG325" i="5"/>
  <c r="AG551" i="5"/>
  <c r="AG36" i="5"/>
  <c r="AG292" i="5"/>
  <c r="AG348" i="5"/>
  <c r="AG522" i="5"/>
  <c r="AG72" i="5"/>
  <c r="AG163" i="5"/>
  <c r="AG319" i="5"/>
  <c r="AG475" i="5"/>
  <c r="AG112" i="5"/>
  <c r="AG82" i="5"/>
  <c r="AG138" i="5"/>
  <c r="AG394" i="5"/>
  <c r="AG450" i="5"/>
  <c r="AG400" i="5"/>
  <c r="AG197" i="5"/>
  <c r="AG253" i="5"/>
  <c r="AG509" i="5"/>
  <c r="AG123" i="5"/>
  <c r="AG68" i="5"/>
  <c r="AG124" i="5"/>
  <c r="AG380" i="5"/>
  <c r="AG436" i="5"/>
  <c r="AG483" i="5"/>
  <c r="AG206" i="5"/>
  <c r="AG262" i="5"/>
  <c r="AG518" i="5"/>
  <c r="AG131" i="5"/>
  <c r="AG19" i="5"/>
  <c r="AG122" i="5"/>
  <c r="AG504" i="5"/>
  <c r="AG429" i="5"/>
  <c r="AG267" i="5"/>
  <c r="AG301" i="5"/>
  <c r="AG366" i="5"/>
  <c r="AG391" i="5"/>
  <c r="AG77" i="5"/>
  <c r="AG133" i="5"/>
  <c r="AG389" i="5"/>
  <c r="AG445" i="5"/>
  <c r="AG248" i="5"/>
  <c r="AG203" i="5"/>
  <c r="AG259" i="5"/>
  <c r="AG515" i="5"/>
  <c r="AG67" i="5"/>
  <c r="AG74" i="5"/>
  <c r="AG130" i="5"/>
  <c r="AG386" i="5"/>
  <c r="AG442" i="5"/>
  <c r="AG412" i="5"/>
  <c r="AG201" i="5"/>
  <c r="AG257" i="5"/>
  <c r="AG513" i="5"/>
  <c r="AG91" i="5"/>
  <c r="AG24" i="5"/>
  <c r="AG280" i="5"/>
  <c r="AG336" i="5"/>
  <c r="AG538" i="5"/>
  <c r="AG107" i="5"/>
  <c r="AG151" i="5"/>
  <c r="AG407" i="5"/>
  <c r="AG463" i="5"/>
  <c r="AG216" i="5"/>
  <c r="AG70" i="5"/>
  <c r="AG126" i="5"/>
  <c r="AG382" i="5"/>
  <c r="AG438" i="5"/>
  <c r="AG420" i="5"/>
  <c r="AG185" i="5"/>
  <c r="AG241" i="5"/>
  <c r="AG497" i="5"/>
  <c r="AG227" i="5"/>
  <c r="AG56" i="5"/>
  <c r="AG312" i="5"/>
  <c r="AG368" i="5"/>
  <c r="AG424" i="5"/>
  <c r="AG459" i="5"/>
  <c r="AG194" i="5"/>
  <c r="AG250" i="5"/>
  <c r="AG506" i="5"/>
  <c r="AG388" i="5"/>
  <c r="AG510" i="5"/>
  <c r="AG219" i="5"/>
  <c r="AG140" i="5"/>
  <c r="AG498" i="5"/>
  <c r="AG275" i="5"/>
  <c r="AG343" i="5"/>
  <c r="AG65" i="5"/>
  <c r="AG121" i="5"/>
  <c r="AG377" i="5"/>
  <c r="AG433" i="5"/>
  <c r="AG352" i="5"/>
  <c r="AG191" i="5"/>
  <c r="AG247" i="5"/>
  <c r="AG503" i="5"/>
  <c r="AG147" i="5"/>
  <c r="AG62" i="5"/>
  <c r="AG318" i="5"/>
  <c r="AG374" i="5"/>
  <c r="AG430" i="5"/>
  <c r="AG516" i="5"/>
  <c r="AG189" i="5"/>
  <c r="AG245" i="5"/>
  <c r="AG501" i="5"/>
  <c r="AG159" i="5"/>
  <c r="AG212" i="5"/>
  <c r="AG268" i="5"/>
  <c r="AG324" i="5"/>
  <c r="AG550" i="5"/>
  <c r="AG83" i="5"/>
  <c r="AG139" i="5"/>
  <c r="AG395" i="5"/>
  <c r="AG451" i="5"/>
  <c r="AG120" i="5"/>
  <c r="AG58" i="5"/>
  <c r="AG314" i="5"/>
  <c r="AG370" i="5"/>
  <c r="AG426" i="5"/>
  <c r="AG117" i="5"/>
  <c r="AG173" i="5"/>
  <c r="AG229" i="5"/>
  <c r="AG485" i="5"/>
  <c r="AG52" i="5"/>
  <c r="AG44" i="5"/>
  <c r="AG300" i="5"/>
  <c r="AG356" i="5"/>
  <c r="AG530" i="5"/>
  <c r="AG447" i="5"/>
  <c r="AG182" i="5"/>
  <c r="AG238" i="5"/>
  <c r="AG494" i="5"/>
  <c r="AG75" i="5"/>
  <c r="AG198" i="5"/>
  <c r="AG378" i="5"/>
  <c r="AG431" i="5"/>
  <c r="AG468" i="5"/>
  <c r="AG95" i="5"/>
  <c r="AG531" i="5"/>
  <c r="AG422" i="5"/>
  <c r="AG419" i="5"/>
  <c r="AG53" i="5"/>
  <c r="AG309" i="5"/>
  <c r="AG365" i="5"/>
  <c r="AG421" i="5"/>
  <c r="AG526" i="5"/>
  <c r="AG179" i="5"/>
  <c r="AG235" i="5"/>
  <c r="AG491" i="5"/>
  <c r="AG403" i="5"/>
  <c r="AG50" i="5"/>
  <c r="AG306" i="5"/>
  <c r="AG362" i="5"/>
  <c r="AG536" i="5"/>
  <c r="AG542" i="5"/>
  <c r="AG177" i="5"/>
  <c r="AG233" i="5"/>
  <c r="AG489" i="5"/>
  <c r="AG415" i="5"/>
  <c r="AG200" i="5"/>
  <c r="AG256" i="5"/>
  <c r="AG512" i="5"/>
  <c r="AG119" i="5"/>
  <c r="AG71" i="5"/>
  <c r="AG127" i="5"/>
  <c r="AG383" i="5"/>
  <c r="AG439" i="5"/>
  <c r="AG224" i="5"/>
  <c r="AG46" i="5"/>
  <c r="AG302" i="5"/>
  <c r="AG358" i="5"/>
  <c r="AG532" i="5"/>
  <c r="AG105" i="5"/>
  <c r="AG161" i="5"/>
  <c r="AG417" i="5"/>
  <c r="AG473" i="5"/>
  <c r="AG156" i="5"/>
  <c r="AG32" i="5"/>
  <c r="AG288" i="5"/>
  <c r="AG344" i="5"/>
  <c r="AG546" i="5"/>
  <c r="AG423" i="5"/>
  <c r="AG170" i="5"/>
  <c r="AG226" i="5"/>
  <c r="AG443" i="5"/>
  <c r="AG408" i="5"/>
  <c r="AG254" i="5"/>
  <c r="AG184" i="5"/>
  <c r="AG63" i="5"/>
  <c r="AG190" i="5"/>
  <c r="AG396" i="5"/>
  <c r="AG242" i="5"/>
  <c r="AG228" i="5"/>
  <c r="AG495" i="5"/>
  <c r="AG41" i="5"/>
  <c r="AG297" i="5"/>
  <c r="AG353" i="5"/>
  <c r="AG527" i="5"/>
  <c r="AG111" i="5"/>
  <c r="AG167" i="5"/>
  <c r="AG223" i="5"/>
  <c r="AG479" i="5"/>
  <c r="AG64" i="5"/>
  <c r="AG38" i="5"/>
  <c r="AG294" i="5"/>
  <c r="AG350" i="5"/>
  <c r="AG524" i="5"/>
  <c r="AG109" i="5"/>
  <c r="AG165" i="5"/>
  <c r="AG221" i="5"/>
  <c r="AG477" i="5"/>
  <c r="AG76" i="5"/>
  <c r="AG188" i="5"/>
  <c r="AG244" i="5"/>
  <c r="AG500" i="5"/>
  <c r="AG311" i="5"/>
  <c r="AG59" i="5"/>
  <c r="AG315" i="5"/>
  <c r="AG371" i="5"/>
  <c r="AG427" i="5"/>
  <c r="AG328" i="5"/>
  <c r="AG34" i="5"/>
  <c r="AG290" i="5"/>
  <c r="AG346" i="5"/>
  <c r="AG520" i="5"/>
  <c r="AG93" i="5"/>
  <c r="AG149" i="5"/>
  <c r="AG405" i="5"/>
  <c r="AG461" i="5"/>
  <c r="AG272" i="5"/>
  <c r="AG20" i="5"/>
  <c r="AG276" i="5"/>
  <c r="AG332" i="5"/>
  <c r="AG558" i="5"/>
  <c r="AG529" i="5"/>
  <c r="AG158" i="5"/>
  <c r="AG414" i="5"/>
  <c r="AG470" i="5"/>
  <c r="AG387" i="5"/>
  <c r="AG73" i="5"/>
  <c r="AG464" i="5"/>
  <c r="AG207" i="5"/>
  <c r="AG240" i="5"/>
  <c r="AG193" i="5"/>
  <c r="AG317" i="5"/>
  <c r="AG186" i="5"/>
  <c r="AG484" i="5"/>
  <c r="AG471" i="5"/>
  <c r="AG29" i="5"/>
  <c r="AG285" i="5"/>
  <c r="AG341" i="5"/>
  <c r="AG543" i="5"/>
  <c r="AG99" i="5"/>
  <c r="AG155" i="5"/>
  <c r="AG411" i="5"/>
  <c r="AG467" i="5"/>
  <c r="AG180" i="5"/>
  <c r="AG26" i="5"/>
  <c r="AG282" i="5"/>
  <c r="AG338" i="5"/>
  <c r="AG540" i="5"/>
  <c r="AG97" i="5"/>
  <c r="AG153" i="5"/>
  <c r="AG409" i="5"/>
  <c r="AG465" i="5"/>
  <c r="AG168" i="5"/>
  <c r="AG176" i="5"/>
  <c r="AG232" i="5"/>
  <c r="AG488" i="5"/>
  <c r="AG355" i="5"/>
  <c r="AG47" i="5"/>
  <c r="AG303" i="5"/>
  <c r="AG359" i="5"/>
  <c r="AG533" i="5"/>
  <c r="AG456" i="5"/>
  <c r="AG22" i="5"/>
  <c r="AG278" i="5"/>
  <c r="AG334" i="5"/>
  <c r="AG560" i="5"/>
  <c r="AG81" i="5"/>
  <c r="AG137" i="5"/>
  <c r="AG393" i="5"/>
  <c r="AG449" i="5"/>
  <c r="AG376" i="5"/>
  <c r="AG208" i="5"/>
  <c r="AG264" i="5"/>
  <c r="AG320" i="5"/>
  <c r="AG557" i="5"/>
  <c r="AG102" i="5"/>
  <c r="AG146" i="5"/>
  <c r="AG402" i="5"/>
  <c r="AG458" i="5"/>
  <c r="AG554" i="5"/>
  <c r="AG514" i="5"/>
  <c r="AG364" i="5"/>
  <c r="AG335" i="5"/>
  <c r="AG425" i="5"/>
  <c r="AG434" i="5"/>
  <c r="AG375" i="5"/>
  <c r="AG502" i="5"/>
  <c r="AG452" i="5"/>
  <c r="AG251" i="5"/>
  <c r="AG54" i="5"/>
  <c r="AG435" i="5"/>
  <c r="AG217" i="5"/>
  <c r="AG273" i="5"/>
  <c r="AG329" i="5"/>
  <c r="AG555" i="5"/>
  <c r="AG87" i="5"/>
  <c r="AG143" i="5"/>
  <c r="AG399" i="5"/>
  <c r="AG455" i="5"/>
  <c r="AG284" i="5"/>
  <c r="AG214" i="5"/>
  <c r="AG270" i="5"/>
  <c r="AG326" i="5"/>
  <c r="AG552" i="5"/>
  <c r="AG85" i="5"/>
  <c r="AG141" i="5"/>
  <c r="AG397" i="5"/>
  <c r="AG453" i="5"/>
  <c r="AG260" i="5"/>
  <c r="AG164" i="5"/>
  <c r="AG220" i="5"/>
  <c r="AG476" i="5"/>
  <c r="AG28" i="5"/>
  <c r="AG35" i="5"/>
  <c r="AG291" i="5"/>
  <c r="AG347" i="5"/>
  <c r="AG521" i="5"/>
  <c r="AG84" i="5"/>
  <c r="AG210" i="5"/>
  <c r="AG266" i="5"/>
  <c r="AG322" i="5"/>
  <c r="AG548" i="5"/>
  <c r="AG69" i="5"/>
  <c r="AG125" i="5"/>
  <c r="AG381" i="5"/>
  <c r="AG437" i="5"/>
  <c r="AG492" i="5"/>
  <c r="AG196" i="5"/>
  <c r="AG252" i="5"/>
  <c r="AG508" i="5"/>
  <c r="AG79" i="5"/>
  <c r="AG78" i="5"/>
  <c r="AG134" i="5"/>
  <c r="AG390" i="5"/>
  <c r="AG446" i="5"/>
  <c r="AG545" i="5"/>
  <c r="AG258" i="5"/>
  <c r="AG441" i="5"/>
  <c r="AG23" i="5"/>
  <c r="AG313" i="5"/>
  <c r="AG183" i="5"/>
  <c r="AG505" i="5"/>
  <c r="AG61" i="5"/>
  <c r="AG211" i="5"/>
  <c r="AG357" i="5"/>
  <c r="AG90" i="5"/>
  <c r="AG181" i="5"/>
  <c r="AG237" i="5"/>
  <c r="AG493" i="5"/>
  <c r="AG299" i="5"/>
  <c r="AG51" i="5"/>
  <c r="AG307" i="5"/>
  <c r="AG363" i="5"/>
  <c r="AG519" i="5"/>
  <c r="AG432" i="5"/>
  <c r="AG178" i="5"/>
  <c r="AG234" i="5"/>
  <c r="AG490" i="5"/>
  <c r="AG239" i="5"/>
  <c r="AG49" i="5"/>
  <c r="AG305" i="5"/>
  <c r="AG361" i="5"/>
  <c r="AG535" i="5"/>
  <c r="AG96" i="5"/>
  <c r="AG128" i="5"/>
  <c r="AG384" i="5"/>
  <c r="AG440" i="5"/>
  <c r="AG340" i="5"/>
  <c r="AG199" i="5"/>
  <c r="AG255" i="5"/>
  <c r="AG511" i="5"/>
  <c r="AG103" i="5"/>
  <c r="AG118" i="5"/>
  <c r="AG174" i="5"/>
  <c r="AG230" i="5"/>
  <c r="AG486" i="5"/>
  <c r="AG100" i="5"/>
  <c r="AG33" i="5"/>
  <c r="AG289" i="5"/>
  <c r="AG345" i="5"/>
  <c r="AG547" i="5"/>
  <c r="AG104" i="5"/>
  <c r="AG160" i="5"/>
  <c r="AG416" i="5"/>
  <c r="AG472" i="5"/>
  <c r="AG379" i="5"/>
  <c r="AG42" i="5"/>
  <c r="AG298" i="5"/>
  <c r="AG354" i="5"/>
  <c r="AG528" i="5"/>
  <c r="AG482" i="5"/>
  <c r="AG517" i="5"/>
  <c r="AG129" i="5"/>
  <c r="AG279" i="5"/>
  <c r="AG369" i="5"/>
  <c r="AG66" i="5"/>
  <c r="AG249" i="5"/>
  <c r="AG135" i="5"/>
  <c r="AG323" i="5"/>
  <c r="AG172" i="5"/>
  <c r="AG7" i="5"/>
  <c r="AG8" i="5"/>
  <c r="AM7" i="5"/>
  <c r="AN7" i="5" s="1"/>
  <c r="D59" i="5"/>
  <c r="AJ7" i="5"/>
  <c r="AK7" i="5" s="1"/>
  <c r="D63" i="5"/>
  <c r="J66" i="2"/>
  <c r="AI8" i="5"/>
  <c r="B142" i="2"/>
  <c r="O12" i="5"/>
  <c r="AG12" i="5" s="1"/>
  <c r="AM8" i="5"/>
  <c r="AO8" i="5" s="1"/>
  <c r="O13" i="5"/>
  <c r="AG13" i="5" s="1"/>
  <c r="AJ8" i="5"/>
  <c r="AL8" i="5" s="1"/>
  <c r="AF9" i="5"/>
  <c r="AF10" i="5"/>
  <c r="AF12" i="5"/>
  <c r="AF13" i="5"/>
  <c r="AF11" i="5"/>
  <c r="AF31" i="5"/>
  <c r="AF8" i="5"/>
  <c r="AF539" i="5"/>
  <c r="AF430" i="5"/>
  <c r="AF522" i="5"/>
  <c r="AF471" i="5"/>
  <c r="AF537" i="5"/>
  <c r="AF534" i="5"/>
  <c r="AF466" i="5"/>
  <c r="AF482" i="5"/>
  <c r="AF448" i="5"/>
  <c r="AF362" i="5"/>
  <c r="AF245" i="5"/>
  <c r="AF243" i="5"/>
  <c r="AF540" i="5"/>
  <c r="AF531" i="5"/>
  <c r="AF445" i="5"/>
  <c r="AF521" i="5"/>
  <c r="AF467" i="5"/>
  <c r="AF514" i="5"/>
  <c r="AF453" i="5"/>
  <c r="AF517" i="5"/>
  <c r="AF415" i="5"/>
  <c r="AF337" i="5"/>
  <c r="AF273" i="5"/>
  <c r="AF287" i="5"/>
  <c r="AF256" i="5"/>
  <c r="AF316" i="5"/>
  <c r="AF196" i="5"/>
  <c r="AF199" i="5"/>
  <c r="AF151" i="5"/>
  <c r="AF494" i="5"/>
  <c r="AF487" i="5"/>
  <c r="AF427" i="5"/>
  <c r="AF511" i="5"/>
  <c r="AF461" i="5"/>
  <c r="AF505" i="5"/>
  <c r="AF437" i="5"/>
  <c r="AF501" i="5"/>
  <c r="AF382" i="5"/>
  <c r="AF417" i="5"/>
  <c r="AF438" i="5"/>
  <c r="AF248" i="5"/>
  <c r="AF318" i="5"/>
  <c r="AF289" i="5"/>
  <c r="AF235" i="5"/>
  <c r="AF180" i="5"/>
  <c r="AF89" i="5"/>
  <c r="AF379" i="5"/>
  <c r="AF339" i="5"/>
  <c r="AF298" i="5"/>
  <c r="AF228" i="5"/>
  <c r="AF90" i="5"/>
  <c r="AF510" i="5"/>
  <c r="AF547" i="5"/>
  <c r="AF551" i="5"/>
  <c r="AF555" i="5"/>
  <c r="AF495" i="5"/>
  <c r="AF444" i="5"/>
  <c r="AF478" i="5"/>
  <c r="AF366" i="5"/>
  <c r="AF483" i="5"/>
  <c r="AF408" i="5"/>
  <c r="AF373" i="5"/>
  <c r="AF387" i="5"/>
  <c r="AF329" i="5"/>
  <c r="AF281" i="5"/>
  <c r="AF250" i="5"/>
  <c r="AF206" i="5"/>
  <c r="AF146" i="5"/>
  <c r="AF24" i="5"/>
  <c r="AF553" i="5"/>
  <c r="AF450" i="5"/>
  <c r="AF481" i="5"/>
  <c r="AF398" i="5"/>
  <c r="AF513" i="5"/>
  <c r="AF543" i="5"/>
  <c r="AF559" i="5"/>
  <c r="AF548" i="5"/>
  <c r="AF552" i="5"/>
  <c r="AF469" i="5"/>
  <c r="AF556" i="5"/>
  <c r="AF523" i="5"/>
  <c r="AF500" i="5"/>
  <c r="AF470" i="5"/>
  <c r="AF446" i="5"/>
  <c r="AF223" i="5"/>
  <c r="AF480" i="5"/>
  <c r="AF457" i="5"/>
  <c r="AF378" i="5"/>
  <c r="AF526" i="5"/>
  <c r="AF485" i="5"/>
  <c r="AF422" i="5"/>
  <c r="AF412" i="5"/>
  <c r="AF338" i="5"/>
  <c r="AF375" i="5"/>
  <c r="AF280" i="5"/>
  <c r="AF391" i="5"/>
  <c r="AF293" i="5"/>
  <c r="AF330" i="5"/>
  <c r="AF262" i="5"/>
  <c r="AF285" i="5"/>
  <c r="AF319" i="5"/>
  <c r="AF258" i="5"/>
  <c r="AF197" i="5"/>
  <c r="AF212" i="5"/>
  <c r="AF207" i="5"/>
  <c r="AF157" i="5"/>
  <c r="AF113" i="5"/>
  <c r="AF91" i="5"/>
  <c r="AF92" i="5"/>
  <c r="AF23" i="5"/>
  <c r="AF165" i="5"/>
  <c r="AF129" i="5"/>
  <c r="AF81" i="5"/>
  <c r="AF70" i="5"/>
  <c r="AF19" i="5"/>
  <c r="AF560" i="5"/>
  <c r="AF502" i="5"/>
  <c r="AF535" i="5"/>
  <c r="AF509" i="5"/>
  <c r="AF479" i="5"/>
  <c r="AF455" i="5"/>
  <c r="AF426" i="5"/>
  <c r="AF504" i="5"/>
  <c r="AF468" i="5"/>
  <c r="AF424" i="5"/>
  <c r="AF533" i="5"/>
  <c r="AF497" i="5"/>
  <c r="AF447" i="5"/>
  <c r="AF364" i="5"/>
  <c r="AF377" i="5"/>
  <c r="AF414" i="5"/>
  <c r="AF332" i="5"/>
  <c r="AF428" i="5"/>
  <c r="AF355" i="5"/>
  <c r="AF360" i="5"/>
  <c r="AF294" i="5"/>
  <c r="AF313" i="5"/>
  <c r="AF227" i="5"/>
  <c r="AF286" i="5"/>
  <c r="AF226" i="5"/>
  <c r="AF233" i="5"/>
  <c r="AF242" i="5"/>
  <c r="AF176" i="5"/>
  <c r="AF161" i="5"/>
  <c r="AF128" i="5"/>
  <c r="AF54" i="5"/>
  <c r="AF68" i="5"/>
  <c r="AF55" i="5"/>
  <c r="AF67" i="5"/>
  <c r="AF20" i="5"/>
  <c r="AF524" i="5"/>
  <c r="AF489" i="5"/>
  <c r="AF544" i="5"/>
  <c r="AF518" i="5"/>
  <c r="AF401" i="5"/>
  <c r="AF541" i="5"/>
  <c r="AF557" i="5"/>
  <c r="AF508" i="5"/>
  <c r="AF356" i="5"/>
  <c r="AF530" i="5"/>
  <c r="AF488" i="5"/>
  <c r="AF429" i="5"/>
  <c r="AF322" i="5"/>
  <c r="AF545" i="5"/>
  <c r="AF528" i="5"/>
  <c r="AF519" i="5"/>
  <c r="AF503" i="5"/>
  <c r="AF484" i="5"/>
  <c r="AF473" i="5"/>
  <c r="AF463" i="5"/>
  <c r="AF449" i="5"/>
  <c r="AF432" i="5"/>
  <c r="AF345" i="5"/>
  <c r="AF507" i="5"/>
  <c r="AF486" i="5"/>
  <c r="AF474" i="5"/>
  <c r="AF459" i="5"/>
  <c r="AF439" i="5"/>
  <c r="AF421" i="5"/>
  <c r="AF536" i="5"/>
  <c r="AF527" i="5"/>
  <c r="AF515" i="5"/>
  <c r="AF491" i="5"/>
  <c r="AF460" i="5"/>
  <c r="AF434" i="5"/>
  <c r="AF397" i="5"/>
  <c r="AF419" i="5"/>
  <c r="AF389" i="5"/>
  <c r="AF363" i="5"/>
  <c r="AF314" i="5"/>
  <c r="AF390" i="5"/>
  <c r="AF351" i="5"/>
  <c r="AF306" i="5"/>
  <c r="AF208" i="5"/>
  <c r="AF405" i="5"/>
  <c r="AF372" i="5"/>
  <c r="AF340" i="5"/>
  <c r="AF260" i="5"/>
  <c r="AF344" i="5"/>
  <c r="AF310" i="5"/>
  <c r="AF272" i="5"/>
  <c r="AF215" i="5"/>
  <c r="AF296" i="5"/>
  <c r="AF261" i="5"/>
  <c r="AF328" i="5"/>
  <c r="AF299" i="5"/>
  <c r="AF276" i="5"/>
  <c r="AF241" i="5"/>
  <c r="AF205" i="5"/>
  <c r="AF240" i="5"/>
  <c r="AF221" i="5"/>
  <c r="AF187" i="5"/>
  <c r="AF220" i="5"/>
  <c r="AF82" i="5"/>
  <c r="AF185" i="5"/>
  <c r="AF188" i="5"/>
  <c r="AF132" i="5"/>
  <c r="AF144" i="5"/>
  <c r="AF110" i="5"/>
  <c r="AF109" i="5"/>
  <c r="AF98" i="5"/>
  <c r="AF29" i="5"/>
  <c r="AF59" i="5"/>
  <c r="AF50" i="5"/>
  <c r="AF27" i="5"/>
  <c r="AF550" i="5"/>
  <c r="AF493" i="5"/>
  <c r="AF549" i="5"/>
  <c r="AF538" i="5"/>
  <c r="AF443" i="5"/>
  <c r="AF542" i="5"/>
  <c r="AF558" i="5"/>
  <c r="AF525" i="5"/>
  <c r="AF451" i="5"/>
  <c r="AF546" i="5"/>
  <c r="AF499" i="5"/>
  <c r="AF431" i="5"/>
  <c r="AF374" i="5"/>
  <c r="AF554" i="5"/>
  <c r="AF529" i="5"/>
  <c r="AF520" i="5"/>
  <c r="AF506" i="5"/>
  <c r="AF492" i="5"/>
  <c r="AF476" i="5"/>
  <c r="AF465" i="5"/>
  <c r="AF454" i="5"/>
  <c r="AF440" i="5"/>
  <c r="AF420" i="5"/>
  <c r="AF512" i="5"/>
  <c r="AF498" i="5"/>
  <c r="AF477" i="5"/>
  <c r="AF462" i="5"/>
  <c r="AF452" i="5"/>
  <c r="AF423" i="5"/>
  <c r="AF359" i="5"/>
  <c r="AF532" i="5"/>
  <c r="AF516" i="5"/>
  <c r="AF496" i="5"/>
  <c r="AF464" i="5"/>
  <c r="AF435" i="5"/>
  <c r="AF400" i="5"/>
  <c r="AF263" i="5"/>
  <c r="AF392" i="5"/>
  <c r="AF365" i="5"/>
  <c r="AF320" i="5"/>
  <c r="AF402" i="5"/>
  <c r="AF353" i="5"/>
  <c r="AF309" i="5"/>
  <c r="AF239" i="5"/>
  <c r="AF407" i="5"/>
  <c r="AF376" i="5"/>
  <c r="AF342" i="5"/>
  <c r="AF265" i="5"/>
  <c r="AF350" i="5"/>
  <c r="AF317" i="5"/>
  <c r="AF275" i="5"/>
  <c r="AF218" i="5"/>
  <c r="AF300" i="5"/>
  <c r="AF264" i="5"/>
  <c r="AF333" i="5"/>
  <c r="AF304" i="5"/>
  <c r="AF278" i="5"/>
  <c r="AF244" i="5"/>
  <c r="AF210" i="5"/>
  <c r="AF139" i="5"/>
  <c r="AF222" i="5"/>
  <c r="AF190" i="5"/>
  <c r="AF224" i="5"/>
  <c r="AF173" i="5"/>
  <c r="AF159" i="5"/>
  <c r="AF108" i="5"/>
  <c r="AF136" i="5"/>
  <c r="AF150" i="5"/>
  <c r="AF111" i="5"/>
  <c r="AF101" i="5"/>
  <c r="AF80" i="5"/>
  <c r="AF64" i="5"/>
  <c r="AF63" i="5"/>
  <c r="AF51" i="5"/>
  <c r="AF28" i="5"/>
  <c r="AF32" i="5"/>
  <c r="AF34" i="5"/>
  <c r="AF26" i="5"/>
  <c r="AF56" i="5"/>
  <c r="AF46" i="5"/>
  <c r="AF33" i="5"/>
  <c r="AF73" i="5"/>
  <c r="AF71" i="5"/>
  <c r="AF87" i="5"/>
  <c r="AF84" i="5"/>
  <c r="AF94" i="5"/>
  <c r="AF126" i="5"/>
  <c r="AF93" i="5"/>
  <c r="AF116" i="5"/>
  <c r="AF135" i="5"/>
  <c r="AF153" i="5"/>
  <c r="AF114" i="5"/>
  <c r="AF145" i="5"/>
  <c r="AF170" i="5"/>
  <c r="AF119" i="5"/>
  <c r="AF167" i="5"/>
  <c r="AF164" i="5"/>
  <c r="AF200" i="5"/>
  <c r="AF179" i="5"/>
  <c r="AF209" i="5"/>
  <c r="AF229" i="5"/>
  <c r="AF251" i="5"/>
  <c r="AF191" i="5"/>
  <c r="AF213" i="5"/>
  <c r="AF225" i="5"/>
  <c r="AF236" i="5"/>
  <c r="AF177" i="5"/>
  <c r="AF202" i="5"/>
  <c r="AF214" i="5"/>
  <c r="AF231" i="5"/>
  <c r="AF201" i="5"/>
  <c r="AF266" i="5"/>
  <c r="AF279" i="5"/>
  <c r="AF292" i="5"/>
  <c r="AF308" i="5"/>
  <c r="AF325" i="5"/>
  <c r="AF171" i="5"/>
  <c r="AF253" i="5"/>
  <c r="AF269" i="5"/>
  <c r="AF288" i="5"/>
  <c r="AF303" i="5"/>
  <c r="AF323" i="5"/>
  <c r="AF234" i="5"/>
  <c r="AF267" i="5"/>
  <c r="AF284" i="5"/>
  <c r="AF302" i="5"/>
  <c r="AF321" i="5"/>
  <c r="AF331" i="5"/>
  <c r="AF352" i="5"/>
  <c r="AF252" i="5"/>
  <c r="AF274" i="5"/>
  <c r="AF301" i="5"/>
  <c r="AF349" i="5"/>
  <c r="AF367" i="5"/>
  <c r="AF381" i="5"/>
  <c r="AF393" i="5"/>
  <c r="AF409" i="5"/>
  <c r="AF441" i="5"/>
  <c r="AF254" i="5"/>
  <c r="AF283" i="5"/>
  <c r="AF312" i="5"/>
  <c r="AF343" i="5"/>
  <c r="AF361" i="5"/>
  <c r="AF383" i="5"/>
  <c r="AF404" i="5"/>
  <c r="AF418" i="5"/>
  <c r="AF334" i="5"/>
  <c r="AF346" i="5"/>
  <c r="AF370" i="5"/>
  <c r="AF380" i="5"/>
  <c r="AF395" i="5"/>
  <c r="AF413" i="5"/>
  <c r="AF336" i="5"/>
  <c r="AF388" i="5"/>
  <c r="AF403" i="5"/>
  <c r="AF425" i="5"/>
  <c r="AF436" i="5"/>
  <c r="AF456" i="5"/>
  <c r="AF472" i="5"/>
  <c r="AF490" i="5"/>
  <c r="AF39" i="5"/>
  <c r="AF43" i="5"/>
  <c r="AF41" i="5"/>
  <c r="AF60" i="5"/>
  <c r="AF49" i="5"/>
  <c r="AF38" i="5"/>
  <c r="AF77" i="5"/>
  <c r="AF79" i="5"/>
  <c r="AF96" i="5"/>
  <c r="AF86" i="5"/>
  <c r="AF106" i="5"/>
  <c r="AF148" i="5"/>
  <c r="AF102" i="5"/>
  <c r="AF123" i="5"/>
  <c r="AF140" i="5"/>
  <c r="AF155" i="5"/>
  <c r="AF127" i="5"/>
  <c r="AF120" i="5"/>
  <c r="AF181" i="5"/>
  <c r="AF137" i="5"/>
  <c r="AF175" i="5"/>
  <c r="AF166" i="5"/>
  <c r="AF204" i="5"/>
  <c r="AF186" i="5"/>
  <c r="AF216" i="5"/>
  <c r="AF232" i="5"/>
  <c r="AF178" i="5"/>
  <c r="AF195" i="5"/>
  <c r="AF217" i="5"/>
  <c r="AF230" i="5"/>
  <c r="AF238" i="5"/>
  <c r="AF194" i="5"/>
  <c r="AF203" i="5"/>
  <c r="AF219" i="5"/>
  <c r="AF237" i="5"/>
  <c r="AF246" i="5"/>
  <c r="AF270" i="5"/>
  <c r="AF282" i="5"/>
  <c r="AF297" i="5"/>
  <c r="AF311" i="5"/>
  <c r="AF327" i="5"/>
  <c r="AF183" i="5"/>
  <c r="AF259" i="5"/>
  <c r="AF271" i="5"/>
  <c r="AF291" i="5"/>
  <c r="AF307" i="5"/>
  <c r="AF198" i="5"/>
  <c r="AF247" i="5"/>
  <c r="AF268" i="5"/>
  <c r="AF290" i="5"/>
  <c r="AF305" i="5"/>
  <c r="AF326" i="5"/>
  <c r="AF341" i="5"/>
  <c r="AF358" i="5"/>
  <c r="AF255" i="5"/>
  <c r="AF277" i="5"/>
  <c r="AF324" i="5"/>
  <c r="AF354" i="5"/>
  <c r="AF368" i="5"/>
  <c r="AF386" i="5"/>
  <c r="AF396" i="5"/>
  <c r="AF410" i="5"/>
  <c r="AF193" i="5"/>
  <c r="AF257" i="5"/>
  <c r="AF295" i="5"/>
  <c r="AF315" i="5"/>
  <c r="AF347" i="5"/>
  <c r="AF369" i="5"/>
  <c r="AF385" i="5"/>
  <c r="AF411" i="5"/>
  <c r="AF249" i="5"/>
  <c r="AF335" i="5"/>
  <c r="AF357" i="5"/>
  <c r="AF371" i="5"/>
  <c r="AF384" i="5"/>
  <c r="AF399" i="5"/>
  <c r="AF416" i="5"/>
  <c r="AF348" i="5"/>
  <c r="AF394" i="5"/>
  <c r="AF406" i="5"/>
  <c r="AF433" i="5"/>
  <c r="AF442" i="5"/>
  <c r="AF458" i="5"/>
  <c r="AF475" i="5"/>
  <c r="AF174" i="5"/>
  <c r="AF118" i="5"/>
  <c r="AF162" i="5"/>
  <c r="AF134" i="5"/>
  <c r="AF182" i="5"/>
  <c r="AF163" i="5"/>
  <c r="AF143" i="5"/>
  <c r="AF115" i="5"/>
  <c r="AF88" i="5"/>
  <c r="AF149" i="5"/>
  <c r="AF131" i="5"/>
  <c r="AF117" i="5"/>
  <c r="AF107" i="5"/>
  <c r="AF156" i="5"/>
  <c r="AF124" i="5"/>
  <c r="AF104" i="5"/>
  <c r="AF95" i="5"/>
  <c r="AF57" i="5"/>
  <c r="AF61" i="5"/>
  <c r="AF74" i="5"/>
  <c r="AF78" i="5"/>
  <c r="AF69" i="5"/>
  <c r="AF66" i="5"/>
  <c r="AF47" i="5"/>
  <c r="AF65" i="5"/>
  <c r="AF52" i="5"/>
  <c r="AF25" i="5"/>
  <c r="AF40" i="5"/>
  <c r="AF42" i="5"/>
  <c r="AF21" i="5"/>
  <c r="AF211" i="5"/>
  <c r="AF189" i="5"/>
  <c r="AF158" i="5"/>
  <c r="AF192" i="5"/>
  <c r="AF168" i="5"/>
  <c r="AF130" i="5"/>
  <c r="AF172" i="5"/>
  <c r="AF152" i="5"/>
  <c r="AF122" i="5"/>
  <c r="AF184" i="5"/>
  <c r="AF169" i="5"/>
  <c r="AF138" i="5"/>
  <c r="AF141" i="5"/>
  <c r="AF121" i="5"/>
  <c r="AF103" i="5"/>
  <c r="AF154" i="5"/>
  <c r="AF147" i="5"/>
  <c r="AF133" i="5"/>
  <c r="AF125" i="5"/>
  <c r="AF112" i="5"/>
  <c r="AF105" i="5"/>
  <c r="AF160" i="5"/>
  <c r="AF142" i="5"/>
  <c r="AF85" i="5"/>
  <c r="AF99" i="5"/>
  <c r="AF100" i="5"/>
  <c r="AF83" i="5"/>
  <c r="AF97" i="5"/>
  <c r="AF48" i="5"/>
  <c r="AF75" i="5"/>
  <c r="AF35" i="5"/>
  <c r="AF76" i="5"/>
  <c r="AF53" i="5"/>
  <c r="AF30" i="5"/>
  <c r="AF58" i="5"/>
  <c r="AF72" i="5"/>
  <c r="AF62" i="5"/>
  <c r="AF44" i="5"/>
  <c r="AF37" i="5"/>
  <c r="AF22" i="5"/>
  <c r="AF36" i="5"/>
  <c r="AF45" i="5"/>
  <c r="AM29" i="5"/>
  <c r="AM34" i="5"/>
  <c r="AM36" i="5"/>
  <c r="AM40" i="5"/>
  <c r="AM45" i="5"/>
  <c r="AM22" i="5"/>
  <c r="AM25" i="5"/>
  <c r="AM26" i="5"/>
  <c r="AM27" i="5"/>
  <c r="AM31" i="5"/>
  <c r="AM37" i="5"/>
  <c r="AM43" i="5"/>
  <c r="AM20" i="5"/>
  <c r="AM30" i="5"/>
  <c r="AM33" i="5"/>
  <c r="AM38" i="5"/>
  <c r="AM41" i="5"/>
  <c r="AM44" i="5"/>
  <c r="AM46" i="5"/>
  <c r="AM50" i="5"/>
  <c r="AM32" i="5"/>
  <c r="AM35" i="5"/>
  <c r="AM42" i="5"/>
  <c r="AM56" i="5"/>
  <c r="AM60" i="5"/>
  <c r="AM64" i="5"/>
  <c r="AM67" i="5"/>
  <c r="AM68" i="5"/>
  <c r="AM73" i="5"/>
  <c r="AM21" i="5"/>
  <c r="AM28" i="5"/>
  <c r="AM39" i="5"/>
  <c r="AM48" i="5"/>
  <c r="AM52" i="5"/>
  <c r="AM63" i="5"/>
  <c r="AM24" i="5"/>
  <c r="AM51" i="5"/>
  <c r="AM55" i="5"/>
  <c r="AM58" i="5"/>
  <c r="AM61" i="5"/>
  <c r="AM66" i="5"/>
  <c r="AM54" i="5"/>
  <c r="AM57" i="5"/>
  <c r="AM70" i="5"/>
  <c r="AM72" i="5"/>
  <c r="AM78" i="5"/>
  <c r="AM49" i="5"/>
  <c r="AM53" i="5"/>
  <c r="AM71" i="5"/>
  <c r="AM75" i="5"/>
  <c r="AM79" i="5"/>
  <c r="AM23" i="5"/>
  <c r="AM47" i="5"/>
  <c r="AM59" i="5"/>
  <c r="AM62" i="5"/>
  <c r="AM65" i="5"/>
  <c r="AM69" i="5"/>
  <c r="AM76" i="5"/>
  <c r="AM77" i="5"/>
  <c r="AM80" i="5"/>
  <c r="AM82" i="5"/>
  <c r="AM84" i="5"/>
  <c r="AM93" i="5"/>
  <c r="AM83" i="5"/>
  <c r="AM88" i="5"/>
  <c r="AM89" i="5"/>
  <c r="AM90" i="5"/>
  <c r="AM91" i="5"/>
  <c r="AM92" i="5"/>
  <c r="AM95" i="5"/>
  <c r="AM96" i="5"/>
  <c r="AM97" i="5"/>
  <c r="AM98" i="5"/>
  <c r="AM74" i="5"/>
  <c r="AM102" i="5"/>
  <c r="AM105" i="5"/>
  <c r="AM108" i="5"/>
  <c r="AM86" i="5"/>
  <c r="AM87" i="5"/>
  <c r="AM103" i="5"/>
  <c r="AM109" i="5"/>
  <c r="AM94" i="5"/>
  <c r="AM99" i="5"/>
  <c r="AM110" i="5"/>
  <c r="AM114" i="5"/>
  <c r="AM121" i="5"/>
  <c r="AM129" i="5"/>
  <c r="AM131" i="5"/>
  <c r="AM140" i="5"/>
  <c r="AM144" i="5"/>
  <c r="AM151" i="5"/>
  <c r="AM81" i="5"/>
  <c r="AM85" i="5"/>
  <c r="AM100" i="5"/>
  <c r="AM106" i="5"/>
  <c r="AM111" i="5"/>
  <c r="AM112" i="5"/>
  <c r="AM117" i="5"/>
  <c r="AM120" i="5"/>
  <c r="AM123" i="5"/>
  <c r="AM125" i="5"/>
  <c r="AM126" i="5"/>
  <c r="AM128" i="5"/>
  <c r="AM133" i="5"/>
  <c r="AM135" i="5"/>
  <c r="AM138" i="5"/>
  <c r="AM146" i="5"/>
  <c r="AM147" i="5"/>
  <c r="AM149" i="5"/>
  <c r="AM154" i="5"/>
  <c r="AM155" i="5"/>
  <c r="AM107" i="5"/>
  <c r="AM113" i="5"/>
  <c r="AM119" i="5"/>
  <c r="AM124" i="5"/>
  <c r="AM127" i="5"/>
  <c r="AM137" i="5"/>
  <c r="AM139" i="5"/>
  <c r="AM142" i="5"/>
  <c r="AM145" i="5"/>
  <c r="AM148" i="5"/>
  <c r="AM101" i="5"/>
  <c r="AM104" i="5"/>
  <c r="AM132" i="5"/>
  <c r="AM160" i="5"/>
  <c r="AM163" i="5"/>
  <c r="AM167" i="5"/>
  <c r="AM169" i="5"/>
  <c r="AM175" i="5"/>
  <c r="AM177" i="5"/>
  <c r="AM181" i="5"/>
  <c r="AM116" i="5"/>
  <c r="AM141" i="5"/>
  <c r="AM150" i="5"/>
  <c r="AM153" i="5"/>
  <c r="AM159" i="5"/>
  <c r="AM164" i="5"/>
  <c r="AM166" i="5"/>
  <c r="AM170" i="5"/>
  <c r="AM172" i="5"/>
  <c r="AM176" i="5"/>
  <c r="AM180" i="5"/>
  <c r="AM185" i="5"/>
  <c r="AM115" i="5"/>
  <c r="AM122" i="5"/>
  <c r="AM134" i="5"/>
  <c r="AM143" i="5"/>
  <c r="AM152" i="5"/>
  <c r="AM156" i="5"/>
  <c r="AM158" i="5"/>
  <c r="AM162" i="5"/>
  <c r="AM168" i="5"/>
  <c r="AM173" i="5"/>
  <c r="AM183" i="5"/>
  <c r="AM187" i="5"/>
  <c r="AM197" i="5"/>
  <c r="AM198" i="5"/>
  <c r="AM201" i="5"/>
  <c r="AM203" i="5"/>
  <c r="AM118" i="5"/>
  <c r="AM130" i="5"/>
  <c r="AM136" i="5"/>
  <c r="AM165" i="5"/>
  <c r="AM171" i="5"/>
  <c r="AM174" i="5"/>
  <c r="AM190" i="5"/>
  <c r="AM205" i="5"/>
  <c r="AM208" i="5"/>
  <c r="AM211" i="5"/>
  <c r="AM213" i="5"/>
  <c r="AM216" i="5"/>
  <c r="AM221" i="5"/>
  <c r="AM225" i="5"/>
  <c r="AM230" i="5"/>
  <c r="AM233" i="5"/>
  <c r="AM236" i="5"/>
  <c r="AM243" i="5"/>
  <c r="AM179" i="5"/>
  <c r="AM182" i="5"/>
  <c r="AM194" i="5"/>
  <c r="AM195" i="5"/>
  <c r="AM196" i="5"/>
  <c r="AM204" i="5"/>
  <c r="AM210" i="5"/>
  <c r="AM212" i="5"/>
  <c r="AM214" i="5"/>
  <c r="AM217" i="5"/>
  <c r="AM219" i="5"/>
  <c r="AM222" i="5"/>
  <c r="AM226" i="5"/>
  <c r="AM228" i="5"/>
  <c r="AM235" i="5"/>
  <c r="AM238" i="5"/>
  <c r="AM242" i="5"/>
  <c r="AM244" i="5"/>
  <c r="AM161" i="5"/>
  <c r="AM178" i="5"/>
  <c r="AM184" i="5"/>
  <c r="AM186" i="5"/>
  <c r="AM199" i="5"/>
  <c r="AM200" i="5"/>
  <c r="AM202" i="5"/>
  <c r="AM215" i="5"/>
  <c r="AM231" i="5"/>
  <c r="AM234" i="5"/>
  <c r="AM237" i="5"/>
  <c r="AM239" i="5"/>
  <c r="AM240" i="5"/>
  <c r="AM189" i="5"/>
  <c r="AM191" i="5"/>
  <c r="AM193" i="5"/>
  <c r="AM220" i="5"/>
  <c r="AM223" i="5"/>
  <c r="AM246" i="5"/>
  <c r="AM259" i="5"/>
  <c r="AM261" i="5"/>
  <c r="AM264" i="5"/>
  <c r="AM266" i="5"/>
  <c r="AM271" i="5"/>
  <c r="AM274" i="5"/>
  <c r="AM276" i="5"/>
  <c r="AM279" i="5"/>
  <c r="AM281" i="5"/>
  <c r="AM282" i="5"/>
  <c r="AM285" i="5"/>
  <c r="AM288" i="5"/>
  <c r="AM291" i="5"/>
  <c r="AM296" i="5"/>
  <c r="AM300" i="5"/>
  <c r="AM303" i="5"/>
  <c r="AM307" i="5"/>
  <c r="AM313" i="5"/>
  <c r="AM318" i="5"/>
  <c r="AM323" i="5"/>
  <c r="AM327" i="5"/>
  <c r="AM157" i="5"/>
  <c r="AM207" i="5"/>
  <c r="AM247" i="5"/>
  <c r="AM253" i="5"/>
  <c r="AM256" i="5"/>
  <c r="AM262" i="5"/>
  <c r="AM269" i="5"/>
  <c r="AM272" i="5"/>
  <c r="AM278" i="5"/>
  <c r="AM284" i="5"/>
  <c r="AM290" i="5"/>
  <c r="AM294" i="5"/>
  <c r="AM298" i="5"/>
  <c r="AM305" i="5"/>
  <c r="AM317" i="5"/>
  <c r="AM321" i="5"/>
  <c r="AM326" i="5"/>
  <c r="AM331" i="5"/>
  <c r="AM188" i="5"/>
  <c r="AM192" i="5"/>
  <c r="AM227" i="5"/>
  <c r="AM232" i="5"/>
  <c r="AM241" i="5"/>
  <c r="AM248" i="5"/>
  <c r="AM249" i="5"/>
  <c r="AM251" i="5"/>
  <c r="AM255" i="5"/>
  <c r="AM257" i="5"/>
  <c r="AM263" i="5"/>
  <c r="AM265" i="5"/>
  <c r="AM268" i="5"/>
  <c r="AM275" i="5"/>
  <c r="AM283" i="5"/>
  <c r="AM287" i="5"/>
  <c r="AM295" i="5"/>
  <c r="AM301" i="5"/>
  <c r="AM302" i="5"/>
  <c r="AM306" i="5"/>
  <c r="AM309" i="5"/>
  <c r="AM310" i="5"/>
  <c r="AM312" i="5"/>
  <c r="AM314" i="5"/>
  <c r="AM315" i="5"/>
  <c r="AM320" i="5"/>
  <c r="AM322" i="5"/>
  <c r="AM324" i="5"/>
  <c r="AM329" i="5"/>
  <c r="AM330" i="5"/>
  <c r="AM332" i="5"/>
  <c r="AM337" i="5"/>
  <c r="AM339" i="5"/>
  <c r="AM343" i="5"/>
  <c r="AM344" i="5"/>
  <c r="AM346" i="5"/>
  <c r="AM351" i="5"/>
  <c r="AM357" i="5"/>
  <c r="AM358" i="5"/>
  <c r="AM206" i="5"/>
  <c r="AM218" i="5"/>
  <c r="AM224" i="5"/>
  <c r="AM258" i="5"/>
  <c r="AM299" i="5"/>
  <c r="AM316" i="5"/>
  <c r="AM319" i="5"/>
  <c r="AM335" i="5"/>
  <c r="AM338" i="5"/>
  <c r="AM352" i="5"/>
  <c r="AM360" i="5"/>
  <c r="AM367" i="5"/>
  <c r="AM369" i="5"/>
  <c r="AM373" i="5"/>
  <c r="AM376" i="5"/>
  <c r="AM383" i="5"/>
  <c r="AM385" i="5"/>
  <c r="AM393" i="5"/>
  <c r="AM404" i="5"/>
  <c r="AM409" i="5"/>
  <c r="AM410" i="5"/>
  <c r="AM411" i="5"/>
  <c r="AM414" i="5"/>
  <c r="AM420" i="5"/>
  <c r="AM423" i="5"/>
  <c r="AM428" i="5"/>
  <c r="AM431" i="5"/>
  <c r="AM435" i="5"/>
  <c r="AM436" i="5"/>
  <c r="AM440" i="5"/>
  <c r="AM250" i="5"/>
  <c r="AM252" i="5"/>
  <c r="AM260" i="5"/>
  <c r="AM277" i="5"/>
  <c r="AM293" i="5"/>
  <c r="AM304" i="5"/>
  <c r="AM334" i="5"/>
  <c r="AM345" i="5"/>
  <c r="AM350" i="5"/>
  <c r="AM356" i="5"/>
  <c r="AM359" i="5"/>
  <c r="AM361" i="5"/>
  <c r="AM363" i="5"/>
  <c r="AM365" i="5"/>
  <c r="AM370" i="5"/>
  <c r="AM375" i="5"/>
  <c r="AM377" i="5"/>
  <c r="AM380" i="5"/>
  <c r="AM384" i="5"/>
  <c r="AM386" i="5"/>
  <c r="AM389" i="5"/>
  <c r="AM390" i="5"/>
  <c r="AM392" i="5"/>
  <c r="AM399" i="5"/>
  <c r="AM402" i="5"/>
  <c r="AM408" i="5"/>
  <c r="AM413" i="5"/>
  <c r="AM417" i="5"/>
  <c r="AM418" i="5"/>
  <c r="AM419" i="5"/>
  <c r="AM209" i="5"/>
  <c r="AM245" i="5"/>
  <c r="AM254" i="5"/>
  <c r="AM267" i="5"/>
  <c r="AM273" i="5"/>
  <c r="AM280" i="5"/>
  <c r="AM286" i="5"/>
  <c r="AM289" i="5"/>
  <c r="AM292" i="5"/>
  <c r="AM333" i="5"/>
  <c r="AM336" i="5"/>
  <c r="AM340" i="5"/>
  <c r="AM341" i="5"/>
  <c r="AM342" i="5"/>
  <c r="AM348" i="5"/>
  <c r="AM349" i="5"/>
  <c r="AM355" i="5"/>
  <c r="AM364" i="5"/>
  <c r="AM366" i="5"/>
  <c r="AM371" i="5"/>
  <c r="AM374" i="5"/>
  <c r="AM378" i="5"/>
  <c r="AM379" i="5"/>
  <c r="AM388" i="5"/>
  <c r="AM395" i="5"/>
  <c r="AM398" i="5"/>
  <c r="AM400" i="5"/>
  <c r="AM406" i="5"/>
  <c r="AM415" i="5"/>
  <c r="AM416" i="5"/>
  <c r="AM311" i="5"/>
  <c r="AM354" i="5"/>
  <c r="AM362" i="5"/>
  <c r="AM368" i="5"/>
  <c r="AM401" i="5"/>
  <c r="AM422" i="5"/>
  <c r="AM442" i="5"/>
  <c r="AM452" i="5"/>
  <c r="AM457" i="5"/>
  <c r="AM458" i="5"/>
  <c r="AM459" i="5"/>
  <c r="AM460" i="5"/>
  <c r="AM471" i="5"/>
  <c r="AM472" i="5"/>
  <c r="AM475" i="5"/>
  <c r="AM478" i="5"/>
  <c r="AM490" i="5"/>
  <c r="AM496" i="5"/>
  <c r="AM497" i="5"/>
  <c r="AM504" i="5"/>
  <c r="AM515" i="5"/>
  <c r="AM525" i="5"/>
  <c r="AM526" i="5"/>
  <c r="AM531" i="5"/>
  <c r="AM532" i="5"/>
  <c r="AM270" i="5"/>
  <c r="AM325" i="5"/>
  <c r="AM382" i="5"/>
  <c r="AM391" i="5"/>
  <c r="AM394" i="5"/>
  <c r="AM397" i="5"/>
  <c r="AM403" i="5"/>
  <c r="AM412" i="5"/>
  <c r="AM426" i="5"/>
  <c r="AM427" i="5"/>
  <c r="AM429" i="5"/>
  <c r="AM439" i="5"/>
  <c r="AM446" i="5"/>
  <c r="AM447" i="5"/>
  <c r="AM461" i="5"/>
  <c r="AM462" i="5"/>
  <c r="AM465" i="5"/>
  <c r="AM467" i="5"/>
  <c r="AM468" i="5"/>
  <c r="AM470" i="5"/>
  <c r="AM474" i="5"/>
  <c r="AM477" i="5"/>
  <c r="AM480" i="5"/>
  <c r="AM484" i="5"/>
  <c r="AM498" i="5"/>
  <c r="AM506" i="5"/>
  <c r="AM507" i="5"/>
  <c r="AM511" i="5"/>
  <c r="AM512" i="5"/>
  <c r="AM514" i="5"/>
  <c r="AM516" i="5"/>
  <c r="AM519" i="5"/>
  <c r="AM308" i="5"/>
  <c r="AM347" i="5"/>
  <c r="AM353" i="5"/>
  <c r="AM381" i="5"/>
  <c r="AM387" i="5"/>
  <c r="AM396" i="5"/>
  <c r="AM405" i="5"/>
  <c r="AM430" i="5"/>
  <c r="AM432" i="5"/>
  <c r="AM434" i="5"/>
  <c r="AM441" i="5"/>
  <c r="AM443" i="5"/>
  <c r="AM444" i="5"/>
  <c r="AM451" i="5"/>
  <c r="AM453" i="5"/>
  <c r="AM454" i="5"/>
  <c r="AM455" i="5"/>
  <c r="AM463" i="5"/>
  <c r="AM466" i="5"/>
  <c r="AM469" i="5"/>
  <c r="AM473" i="5"/>
  <c r="AM476" i="5"/>
  <c r="AM479" i="5"/>
  <c r="AM482" i="5"/>
  <c r="AM486" i="5"/>
  <c r="AM487" i="5"/>
  <c r="AM488" i="5"/>
  <c r="AM489" i="5"/>
  <c r="AM492" i="5"/>
  <c r="AM493" i="5"/>
  <c r="AM494" i="5"/>
  <c r="AM495" i="5"/>
  <c r="AM499" i="5"/>
  <c r="AM500" i="5"/>
  <c r="AM502" i="5"/>
  <c r="AM503" i="5"/>
  <c r="AM505" i="5"/>
  <c r="AM508" i="5"/>
  <c r="AM509" i="5"/>
  <c r="AM510" i="5"/>
  <c r="AM518" i="5"/>
  <c r="AM520" i="5"/>
  <c r="AM522" i="5"/>
  <c r="AM523" i="5"/>
  <c r="AM530" i="5"/>
  <c r="AM539" i="5"/>
  <c r="AM545" i="5"/>
  <c r="AM554" i="5"/>
  <c r="AM555" i="5"/>
  <c r="AM556" i="5"/>
  <c r="AM229" i="5"/>
  <c r="AM297" i="5"/>
  <c r="AM328" i="5"/>
  <c r="AM421" i="5"/>
  <c r="AM425" i="5"/>
  <c r="AM449" i="5"/>
  <c r="AM456" i="5"/>
  <c r="AM485" i="5"/>
  <c r="AM513" i="5"/>
  <c r="AM517" i="5"/>
  <c r="AM521" i="5"/>
  <c r="AM527" i="5"/>
  <c r="AM529" i="5"/>
  <c r="AM534" i="5"/>
  <c r="AM536" i="5"/>
  <c r="AM540" i="5"/>
  <c r="AM548" i="5"/>
  <c r="AM553" i="5"/>
  <c r="AM557" i="5"/>
  <c r="AM560" i="5"/>
  <c r="AM558" i="5"/>
  <c r="AM433" i="5"/>
  <c r="AM437" i="5"/>
  <c r="AM445" i="5"/>
  <c r="AM448" i="5"/>
  <c r="AM524" i="5"/>
  <c r="AM538" i="5"/>
  <c r="AM543" i="5"/>
  <c r="AM544" i="5"/>
  <c r="AM549" i="5"/>
  <c r="AM550" i="5"/>
  <c r="AM551" i="5"/>
  <c r="AM407" i="5"/>
  <c r="AM424" i="5"/>
  <c r="AM481" i="5"/>
  <c r="AM491" i="5"/>
  <c r="AM501" i="5"/>
  <c r="AM528" i="5"/>
  <c r="AM533" i="5"/>
  <c r="AM535" i="5"/>
  <c r="AM541" i="5"/>
  <c r="AM542" i="5"/>
  <c r="AM547" i="5"/>
  <c r="AM552" i="5"/>
  <c r="AM559" i="5"/>
  <c r="AM372" i="5"/>
  <c r="AM438" i="5"/>
  <c r="AM450" i="5"/>
  <c r="AM464" i="5"/>
  <c r="AM483" i="5"/>
  <c r="AM537" i="5"/>
  <c r="AM546" i="5"/>
  <c r="AM19" i="5"/>
  <c r="B26" i="5"/>
  <c r="B25" i="5"/>
  <c r="B41" i="5"/>
  <c r="D41" i="5" s="1"/>
  <c r="AJ22" i="5"/>
  <c r="AJ23" i="5"/>
  <c r="AJ25" i="5"/>
  <c r="AJ26" i="5"/>
  <c r="AJ31" i="5"/>
  <c r="AJ37" i="5"/>
  <c r="AJ43" i="5"/>
  <c r="AJ48" i="5"/>
  <c r="AJ20" i="5"/>
  <c r="AJ29" i="5"/>
  <c r="AJ30" i="5"/>
  <c r="AJ33" i="5"/>
  <c r="AJ38" i="5"/>
  <c r="AJ41" i="5"/>
  <c r="AJ44" i="5"/>
  <c r="AJ46" i="5"/>
  <c r="AJ21" i="5"/>
  <c r="AJ24" i="5"/>
  <c r="AJ28" i="5"/>
  <c r="AJ32" i="5"/>
  <c r="AJ35" i="5"/>
  <c r="AJ39" i="5"/>
  <c r="AJ42" i="5"/>
  <c r="AJ45" i="5"/>
  <c r="AJ52" i="5"/>
  <c r="AJ63" i="5"/>
  <c r="AJ69" i="5"/>
  <c r="AJ34" i="5"/>
  <c r="AJ51" i="5"/>
  <c r="AJ53" i="5"/>
  <c r="AJ55" i="5"/>
  <c r="AJ59" i="5"/>
  <c r="AJ61" i="5"/>
  <c r="AJ66" i="5"/>
  <c r="AJ27" i="5"/>
  <c r="AJ36" i="5"/>
  <c r="AJ47" i="5"/>
  <c r="AJ49" i="5"/>
  <c r="AJ50" i="5"/>
  <c r="AJ54" i="5"/>
  <c r="AJ56" i="5"/>
  <c r="AJ57" i="5"/>
  <c r="AJ62" i="5"/>
  <c r="AJ65" i="5"/>
  <c r="AJ71" i="5"/>
  <c r="AJ75" i="5"/>
  <c r="AJ79" i="5"/>
  <c r="AJ40" i="5"/>
  <c r="AJ60" i="5"/>
  <c r="AJ76" i="5"/>
  <c r="AJ77" i="5"/>
  <c r="AJ58" i="5"/>
  <c r="AJ68" i="5"/>
  <c r="AJ73" i="5"/>
  <c r="AJ74" i="5"/>
  <c r="AJ83" i="5"/>
  <c r="AJ88" i="5"/>
  <c r="AJ91" i="5"/>
  <c r="AJ67" i="5"/>
  <c r="AJ70" i="5"/>
  <c r="AJ72" i="5"/>
  <c r="AJ82" i="5"/>
  <c r="AJ78" i="5"/>
  <c r="AJ81" i="5"/>
  <c r="AJ85" i="5"/>
  <c r="AJ93" i="5"/>
  <c r="AJ94" i="5"/>
  <c r="AJ99" i="5"/>
  <c r="AJ101" i="5"/>
  <c r="AJ104" i="5"/>
  <c r="AJ109" i="5"/>
  <c r="AJ84" i="5"/>
  <c r="AJ89" i="5"/>
  <c r="AJ90" i="5"/>
  <c r="AJ92" i="5"/>
  <c r="AJ95" i="5"/>
  <c r="AJ96" i="5"/>
  <c r="AJ98" i="5"/>
  <c r="AJ100" i="5"/>
  <c r="AJ107" i="5"/>
  <c r="AJ97" i="5"/>
  <c r="AJ103" i="5"/>
  <c r="AJ106" i="5"/>
  <c r="AJ111" i="5"/>
  <c r="AJ112" i="5"/>
  <c r="AJ117" i="5"/>
  <c r="AJ118" i="5"/>
  <c r="AJ120" i="5"/>
  <c r="AJ125" i="5"/>
  <c r="AJ126" i="5"/>
  <c r="AJ128" i="5"/>
  <c r="AJ135" i="5"/>
  <c r="AJ138" i="5"/>
  <c r="AJ146" i="5"/>
  <c r="AJ149" i="5"/>
  <c r="AJ152" i="5"/>
  <c r="AJ158" i="5"/>
  <c r="AJ161" i="5"/>
  <c r="AJ87" i="5"/>
  <c r="AJ115" i="5"/>
  <c r="AJ116" i="5"/>
  <c r="AJ122" i="5"/>
  <c r="AJ127" i="5"/>
  <c r="AJ130" i="5"/>
  <c r="AJ132" i="5"/>
  <c r="AJ134" i="5"/>
  <c r="AJ136" i="5"/>
  <c r="AJ141" i="5"/>
  <c r="AJ143" i="5"/>
  <c r="AJ145" i="5"/>
  <c r="AJ153" i="5"/>
  <c r="AJ157" i="5"/>
  <c r="AJ64" i="5"/>
  <c r="AJ80" i="5"/>
  <c r="AJ86" i="5"/>
  <c r="AJ102" i="5"/>
  <c r="AJ105" i="5"/>
  <c r="AJ108" i="5"/>
  <c r="AJ110" i="5"/>
  <c r="AJ114" i="5"/>
  <c r="AJ121" i="5"/>
  <c r="AJ123" i="5"/>
  <c r="AJ129" i="5"/>
  <c r="AJ131" i="5"/>
  <c r="AJ133" i="5"/>
  <c r="AJ140" i="5"/>
  <c r="AJ144" i="5"/>
  <c r="AJ147" i="5"/>
  <c r="AJ150" i="5"/>
  <c r="AJ151" i="5"/>
  <c r="AJ154" i="5"/>
  <c r="AJ155" i="5"/>
  <c r="AJ113" i="5"/>
  <c r="AJ139" i="5"/>
  <c r="AJ159" i="5"/>
  <c r="AJ164" i="5"/>
  <c r="AJ166" i="5"/>
  <c r="AJ168" i="5"/>
  <c r="AJ174" i="5"/>
  <c r="AJ176" i="5"/>
  <c r="AJ180" i="5"/>
  <c r="AJ185" i="5"/>
  <c r="AJ186" i="5"/>
  <c r="AJ156" i="5"/>
  <c r="AJ173" i="5"/>
  <c r="AJ178" i="5"/>
  <c r="AJ179" i="5"/>
  <c r="AJ183" i="5"/>
  <c r="AJ119" i="5"/>
  <c r="AJ137" i="5"/>
  <c r="AJ165" i="5"/>
  <c r="AJ170" i="5"/>
  <c r="AJ171" i="5"/>
  <c r="AJ182" i="5"/>
  <c r="AJ184" i="5"/>
  <c r="AJ188" i="5"/>
  <c r="AJ191" i="5"/>
  <c r="AJ196" i="5"/>
  <c r="AJ200" i="5"/>
  <c r="AJ205" i="5"/>
  <c r="AJ207" i="5"/>
  <c r="AJ124" i="5"/>
  <c r="AJ142" i="5"/>
  <c r="AJ148" i="5"/>
  <c r="AJ160" i="5"/>
  <c r="AJ162" i="5"/>
  <c r="AJ194" i="5"/>
  <c r="AJ195" i="5"/>
  <c r="AJ203" i="5"/>
  <c r="AJ204" i="5"/>
  <c r="AJ210" i="5"/>
  <c r="AJ214" i="5"/>
  <c r="AJ217" i="5"/>
  <c r="AJ219" i="5"/>
  <c r="AJ222" i="5"/>
  <c r="AJ226" i="5"/>
  <c r="AJ228" i="5"/>
  <c r="AJ235" i="5"/>
  <c r="AJ238" i="5"/>
  <c r="AJ240" i="5"/>
  <c r="AJ242" i="5"/>
  <c r="AJ244" i="5"/>
  <c r="AJ167" i="5"/>
  <c r="AJ197" i="5"/>
  <c r="AJ199" i="5"/>
  <c r="AJ202" i="5"/>
  <c r="AJ215" i="5"/>
  <c r="AJ231" i="5"/>
  <c r="AJ234" i="5"/>
  <c r="AJ237" i="5"/>
  <c r="AJ239" i="5"/>
  <c r="AJ169" i="5"/>
  <c r="AJ172" i="5"/>
  <c r="AJ175" i="5"/>
  <c r="AJ181" i="5"/>
  <c r="AJ187" i="5"/>
  <c r="AJ189" i="5"/>
  <c r="AJ192" i="5"/>
  <c r="AJ193" i="5"/>
  <c r="AJ198" i="5"/>
  <c r="AJ201" i="5"/>
  <c r="AJ206" i="5"/>
  <c r="AJ209" i="5"/>
  <c r="AJ216" i="5"/>
  <c r="AJ218" i="5"/>
  <c r="AJ220" i="5"/>
  <c r="AJ223" i="5"/>
  <c r="AJ224" i="5"/>
  <c r="AJ227" i="5"/>
  <c r="AJ229" i="5"/>
  <c r="AJ232" i="5"/>
  <c r="AJ241" i="5"/>
  <c r="AJ163" i="5"/>
  <c r="AJ208" i="5"/>
  <c r="AJ211" i="5"/>
  <c r="AJ233" i="5"/>
  <c r="AJ236" i="5"/>
  <c r="AJ243" i="5"/>
  <c r="AJ247" i="5"/>
  <c r="AJ253" i="5"/>
  <c r="AJ256" i="5"/>
  <c r="AJ262" i="5"/>
  <c r="AJ269" i="5"/>
  <c r="AJ272" i="5"/>
  <c r="AJ278" i="5"/>
  <c r="AJ284" i="5"/>
  <c r="AJ290" i="5"/>
  <c r="AJ294" i="5"/>
  <c r="AJ298" i="5"/>
  <c r="AJ302" i="5"/>
  <c r="AJ305" i="5"/>
  <c r="AJ310" i="5"/>
  <c r="AJ317" i="5"/>
  <c r="AJ321" i="5"/>
  <c r="AJ326" i="5"/>
  <c r="AJ329" i="5"/>
  <c r="AJ330" i="5"/>
  <c r="AJ331" i="5"/>
  <c r="AJ177" i="5"/>
  <c r="AJ225" i="5"/>
  <c r="AJ230" i="5"/>
  <c r="AJ248" i="5"/>
  <c r="AJ249" i="5"/>
  <c r="AJ251" i="5"/>
  <c r="AJ254" i="5"/>
  <c r="AJ255" i="5"/>
  <c r="AJ257" i="5"/>
  <c r="AJ263" i="5"/>
  <c r="AJ265" i="5"/>
  <c r="AJ268" i="5"/>
  <c r="AJ275" i="5"/>
  <c r="AJ280" i="5"/>
  <c r="AJ283" i="5"/>
  <c r="AJ287" i="5"/>
  <c r="AJ293" i="5"/>
  <c r="AJ295" i="5"/>
  <c r="AJ301" i="5"/>
  <c r="AJ306" i="5"/>
  <c r="AJ309" i="5"/>
  <c r="AJ312" i="5"/>
  <c r="AJ314" i="5"/>
  <c r="AJ315" i="5"/>
  <c r="AJ320" i="5"/>
  <c r="AJ322" i="5"/>
  <c r="AJ324" i="5"/>
  <c r="AJ332" i="5"/>
  <c r="AJ190" i="5"/>
  <c r="AJ213" i="5"/>
  <c r="AJ221" i="5"/>
  <c r="AJ245" i="5"/>
  <c r="AJ250" i="5"/>
  <c r="AJ252" i="5"/>
  <c r="AJ258" i="5"/>
  <c r="AJ260" i="5"/>
  <c r="AJ267" i="5"/>
  <c r="AJ270" i="5"/>
  <c r="AJ273" i="5"/>
  <c r="AJ276" i="5"/>
  <c r="AJ277" i="5"/>
  <c r="AJ282" i="5"/>
  <c r="AJ286" i="5"/>
  <c r="AJ289" i="5"/>
  <c r="AJ292" i="5"/>
  <c r="AJ297" i="5"/>
  <c r="AJ299" i="5"/>
  <c r="AJ304" i="5"/>
  <c r="AJ308" i="5"/>
  <c r="AJ311" i="5"/>
  <c r="AJ316" i="5"/>
  <c r="AJ319" i="5"/>
  <c r="AJ325" i="5"/>
  <c r="AJ328" i="5"/>
  <c r="AJ333" i="5"/>
  <c r="AJ334" i="5"/>
  <c r="AJ340" i="5"/>
  <c r="AJ347" i="5"/>
  <c r="AJ353" i="5"/>
  <c r="AJ355" i="5"/>
  <c r="AJ212" i="5"/>
  <c r="AJ246" i="5"/>
  <c r="AJ281" i="5"/>
  <c r="AJ296" i="5"/>
  <c r="AJ307" i="5"/>
  <c r="AJ313" i="5"/>
  <c r="AJ327" i="5"/>
  <c r="AJ337" i="5"/>
  <c r="AJ344" i="5"/>
  <c r="AJ345" i="5"/>
  <c r="AJ346" i="5"/>
  <c r="AJ350" i="5"/>
  <c r="AJ356" i="5"/>
  <c r="AJ357" i="5"/>
  <c r="AJ359" i="5"/>
  <c r="AJ363" i="5"/>
  <c r="AJ365" i="5"/>
  <c r="AJ370" i="5"/>
  <c r="AJ371" i="5"/>
  <c r="AJ377" i="5"/>
  <c r="AJ379" i="5"/>
  <c r="AJ380" i="5"/>
  <c r="AJ384" i="5"/>
  <c r="AJ389" i="5"/>
  <c r="AJ390" i="5"/>
  <c r="AJ392" i="5"/>
  <c r="AJ399" i="5"/>
  <c r="AJ408" i="5"/>
  <c r="AJ412" i="5"/>
  <c r="AJ413" i="5"/>
  <c r="AJ416" i="5"/>
  <c r="AJ419" i="5"/>
  <c r="AJ426" i="5"/>
  <c r="AJ427" i="5"/>
  <c r="AJ432" i="5"/>
  <c r="AJ434" i="5"/>
  <c r="AJ439" i="5"/>
  <c r="AJ271" i="5"/>
  <c r="AJ274" i="5"/>
  <c r="AJ318" i="5"/>
  <c r="AJ336" i="5"/>
  <c r="AJ341" i="5"/>
  <c r="AJ342" i="5"/>
  <c r="AJ348" i="5"/>
  <c r="AJ349" i="5"/>
  <c r="AJ354" i="5"/>
  <c r="AJ358" i="5"/>
  <c r="AJ364" i="5"/>
  <c r="AJ366" i="5"/>
  <c r="AJ374" i="5"/>
  <c r="AJ378" i="5"/>
  <c r="AJ388" i="5"/>
  <c r="AJ394" i="5"/>
  <c r="AJ395" i="5"/>
  <c r="AJ398" i="5"/>
  <c r="AJ400" i="5"/>
  <c r="AJ406" i="5"/>
  <c r="AJ415" i="5"/>
  <c r="AJ420" i="5"/>
  <c r="AJ259" i="5"/>
  <c r="AJ264" i="5"/>
  <c r="AJ300" i="5"/>
  <c r="AJ303" i="5"/>
  <c r="AJ323" i="5"/>
  <c r="AJ343" i="5"/>
  <c r="AJ362" i="5"/>
  <c r="AJ368" i="5"/>
  <c r="AJ372" i="5"/>
  <c r="AJ376" i="5"/>
  <c r="AJ381" i="5"/>
  <c r="AJ382" i="5"/>
  <c r="AJ386" i="5"/>
  <c r="AJ387" i="5"/>
  <c r="AJ391" i="5"/>
  <c r="AJ396" i="5"/>
  <c r="AJ397" i="5"/>
  <c r="AJ401" i="5"/>
  <c r="AJ403" i="5"/>
  <c r="AJ405" i="5"/>
  <c r="AJ407" i="5"/>
  <c r="AJ409" i="5"/>
  <c r="AJ410" i="5"/>
  <c r="AJ338" i="5"/>
  <c r="AJ352" i="5"/>
  <c r="AJ385" i="5"/>
  <c r="AJ428" i="5"/>
  <c r="AJ429" i="5"/>
  <c r="AJ430" i="5"/>
  <c r="AJ440" i="5"/>
  <c r="AJ444" i="5"/>
  <c r="AJ446" i="5"/>
  <c r="AJ453" i="5"/>
  <c r="AJ461" i="5"/>
  <c r="AJ465" i="5"/>
  <c r="AJ467" i="5"/>
  <c r="AJ470" i="5"/>
  <c r="AJ476" i="5"/>
  <c r="AJ477" i="5"/>
  <c r="AJ479" i="5"/>
  <c r="AJ480" i="5"/>
  <c r="AJ482" i="5"/>
  <c r="AJ484" i="5"/>
  <c r="AJ492" i="5"/>
  <c r="AJ495" i="5"/>
  <c r="AJ500" i="5"/>
  <c r="AJ505" i="5"/>
  <c r="AJ506" i="5"/>
  <c r="AJ511" i="5"/>
  <c r="AJ512" i="5"/>
  <c r="AJ519" i="5"/>
  <c r="AJ523" i="5"/>
  <c r="AJ537" i="5"/>
  <c r="AJ288" i="5"/>
  <c r="AJ361" i="5"/>
  <c r="AJ367" i="5"/>
  <c r="AJ373" i="5"/>
  <c r="AJ418" i="5"/>
  <c r="AJ431" i="5"/>
  <c r="AJ436" i="5"/>
  <c r="AJ438" i="5"/>
  <c r="AJ441" i="5"/>
  <c r="AJ443" i="5"/>
  <c r="AJ449" i="5"/>
  <c r="AJ450" i="5"/>
  <c r="AJ451" i="5"/>
  <c r="AJ454" i="5"/>
  <c r="AJ455" i="5"/>
  <c r="AJ463" i="5"/>
  <c r="AJ466" i="5"/>
  <c r="AJ469" i="5"/>
  <c r="AJ473" i="5"/>
  <c r="AJ481" i="5"/>
  <c r="AJ487" i="5"/>
  <c r="AJ488" i="5"/>
  <c r="AJ489" i="5"/>
  <c r="AJ493" i="5"/>
  <c r="AJ494" i="5"/>
  <c r="AJ499" i="5"/>
  <c r="AJ502" i="5"/>
  <c r="AJ503" i="5"/>
  <c r="AJ508" i="5"/>
  <c r="AJ509" i="5"/>
  <c r="AJ510" i="5"/>
  <c r="AJ513" i="5"/>
  <c r="AJ518" i="5"/>
  <c r="AJ520" i="5"/>
  <c r="AJ521" i="5"/>
  <c r="AJ266" i="5"/>
  <c r="AJ335" i="5"/>
  <c r="AJ339" i="5"/>
  <c r="AJ351" i="5"/>
  <c r="AJ375" i="5"/>
  <c r="AJ393" i="5"/>
  <c r="AJ402" i="5"/>
  <c r="AJ411" i="5"/>
  <c r="AJ414" i="5"/>
  <c r="AJ417" i="5"/>
  <c r="AJ421" i="5"/>
  <c r="AJ422" i="5"/>
  <c r="AJ424" i="5"/>
  <c r="AJ425" i="5"/>
  <c r="AJ433" i="5"/>
  <c r="AJ435" i="5"/>
  <c r="AJ437" i="5"/>
  <c r="AJ442" i="5"/>
  <c r="AJ445" i="5"/>
  <c r="AJ448" i="5"/>
  <c r="AJ456" i="5"/>
  <c r="AJ458" i="5"/>
  <c r="AJ460" i="5"/>
  <c r="AJ464" i="5"/>
  <c r="AJ472" i="5"/>
  <c r="AJ483" i="5"/>
  <c r="AJ485" i="5"/>
  <c r="AJ490" i="5"/>
  <c r="AJ491" i="5"/>
  <c r="AJ496" i="5"/>
  <c r="AJ501" i="5"/>
  <c r="AJ517" i="5"/>
  <c r="AJ526" i="5"/>
  <c r="AJ527" i="5"/>
  <c r="AJ533" i="5"/>
  <c r="AJ534" i="5"/>
  <c r="AJ536" i="5"/>
  <c r="AJ538" i="5"/>
  <c r="AJ540" i="5"/>
  <c r="AJ542" i="5"/>
  <c r="AJ544" i="5"/>
  <c r="AJ547" i="5"/>
  <c r="AJ552" i="5"/>
  <c r="AJ558" i="5"/>
  <c r="AJ261" i="5"/>
  <c r="AJ279" i="5"/>
  <c r="AJ285" i="5"/>
  <c r="AJ291" i="5"/>
  <c r="AJ404" i="5"/>
  <c r="AJ423" i="5"/>
  <c r="AJ452" i="5"/>
  <c r="AJ459" i="5"/>
  <c r="AJ524" i="5"/>
  <c r="AJ532" i="5"/>
  <c r="AJ549" i="5"/>
  <c r="AJ550" i="5"/>
  <c r="AJ559" i="5"/>
  <c r="AJ556" i="5"/>
  <c r="AJ369" i="5"/>
  <c r="AJ462" i="5"/>
  <c r="AJ468" i="5"/>
  <c r="AJ516" i="5"/>
  <c r="AJ522" i="5"/>
  <c r="AJ528" i="5"/>
  <c r="AJ530" i="5"/>
  <c r="AJ535" i="5"/>
  <c r="AJ539" i="5"/>
  <c r="AJ541" i="5"/>
  <c r="AJ546" i="5"/>
  <c r="AJ551" i="5"/>
  <c r="AJ554" i="5"/>
  <c r="AJ548" i="5"/>
  <c r="AJ560" i="5"/>
  <c r="AJ383" i="5"/>
  <c r="AJ447" i="5"/>
  <c r="AJ457" i="5"/>
  <c r="AJ471" i="5"/>
  <c r="AJ475" i="5"/>
  <c r="AJ478" i="5"/>
  <c r="AJ486" i="5"/>
  <c r="AJ498" i="5"/>
  <c r="AJ504" i="5"/>
  <c r="AJ515" i="5"/>
  <c r="AJ525" i="5"/>
  <c r="AJ531" i="5"/>
  <c r="AJ555" i="5"/>
  <c r="AJ557" i="5"/>
  <c r="AJ360" i="5"/>
  <c r="AJ474" i="5"/>
  <c r="AJ497" i="5"/>
  <c r="AJ507" i="5"/>
  <c r="AJ514" i="5"/>
  <c r="AJ529" i="5"/>
  <c r="AJ543" i="5"/>
  <c r="AJ545" i="5"/>
  <c r="AJ553" i="5"/>
  <c r="AJ19" i="5"/>
  <c r="B49" i="2"/>
  <c r="B48" i="2"/>
  <c r="L66" i="2" s="1"/>
  <c r="B35" i="2"/>
  <c r="B10" i="2"/>
  <c r="B14" i="3"/>
  <c r="B12" i="3"/>
  <c r="B10" i="3"/>
  <c r="B17" i="2"/>
  <c r="B14" i="2"/>
  <c r="H72" i="1" s="1"/>
  <c r="B13" i="2"/>
  <c r="B9" i="2"/>
  <c r="B8" i="2"/>
  <c r="B7" i="2"/>
  <c r="AY322" i="4" l="1"/>
  <c r="S319" i="4"/>
  <c r="AY316" i="4"/>
  <c r="S313" i="4"/>
  <c r="S303" i="4"/>
  <c r="AY300" i="4"/>
  <c r="S294" i="4"/>
  <c r="AY290" i="4"/>
  <c r="S288" i="4"/>
  <c r="S283" i="4"/>
  <c r="AY280" i="4"/>
  <c r="S273" i="4"/>
  <c r="S267" i="4"/>
  <c r="S262" i="4"/>
  <c r="AY255" i="4"/>
  <c r="S253" i="4"/>
  <c r="S247" i="4"/>
  <c r="AY244" i="4"/>
  <c r="S242" i="4"/>
  <c r="AY239" i="4"/>
  <c r="AY234" i="4"/>
  <c r="AY230" i="4"/>
  <c r="AY226" i="4"/>
  <c r="AY222" i="4"/>
  <c r="AY323" i="4"/>
  <c r="S320" i="4"/>
  <c r="S314" i="4"/>
  <c r="AY310" i="4"/>
  <c r="S308" i="4"/>
  <c r="AY305" i="4"/>
  <c r="AY301" i="4"/>
  <c r="S299" i="4"/>
  <c r="AY296" i="4"/>
  <c r="AY291" i="4"/>
  <c r="S289" i="4"/>
  <c r="AY286" i="4"/>
  <c r="S284" i="4"/>
  <c r="AY281" i="4"/>
  <c r="S278" i="4"/>
  <c r="AY275" i="4"/>
  <c r="AY269" i="4"/>
  <c r="AY264" i="4"/>
  <c r="AY260" i="4"/>
  <c r="S258" i="4"/>
  <c r="AY250" i="4"/>
  <c r="S248" i="4"/>
  <c r="AY245" i="4"/>
  <c r="AY240" i="4"/>
  <c r="S238" i="4"/>
  <c r="AY235" i="4"/>
  <c r="S233" i="4"/>
  <c r="S229" i="4"/>
  <c r="S225" i="4"/>
  <c r="S221" i="4"/>
  <c r="AY324" i="4"/>
  <c r="AY317" i="4"/>
  <c r="AY311" i="4"/>
  <c r="S309" i="4"/>
  <c r="S304" i="4"/>
  <c r="AY297" i="4"/>
  <c r="S295" i="4"/>
  <c r="AY292" i="4"/>
  <c r="S321" i="4"/>
  <c r="AY318" i="4"/>
  <c r="S316" i="4"/>
  <c r="S315" i="4"/>
  <c r="AY312" i="4"/>
  <c r="AY306" i="4"/>
  <c r="AY302" i="4"/>
  <c r="S300" i="4"/>
  <c r="AY293" i="4"/>
  <c r="S290" i="4"/>
  <c r="AY287" i="4"/>
  <c r="AY282" i="4"/>
  <c r="S280" i="4"/>
  <c r="AY271" i="4"/>
  <c r="AY265" i="4"/>
  <c r="AY261" i="4"/>
  <c r="S255" i="4"/>
  <c r="AY246" i="4"/>
  <c r="S244" i="4"/>
  <c r="AY241" i="4"/>
  <c r="S239" i="4"/>
  <c r="S234" i="4"/>
  <c r="S230" i="4"/>
  <c r="S226" i="4"/>
  <c r="S222" i="4"/>
  <c r="S324" i="4"/>
  <c r="AY320" i="4"/>
  <c r="AY314" i="4"/>
  <c r="S311" i="4"/>
  <c r="S306" i="4"/>
  <c r="S302" i="4"/>
  <c r="AY299" i="4"/>
  <c r="S292" i="4"/>
  <c r="AY289" i="4"/>
  <c r="S287" i="4"/>
  <c r="AY284" i="4"/>
  <c r="S282" i="4"/>
  <c r="S271" i="4"/>
  <c r="S265" i="4"/>
  <c r="S261" i="4"/>
  <c r="AY258" i="4"/>
  <c r="S251" i="4"/>
  <c r="S246" i="4"/>
  <c r="AY243" i="4"/>
  <c r="S241" i="4"/>
  <c r="AY238" i="4"/>
  <c r="S236" i="4"/>
  <c r="AY233" i="4"/>
  <c r="AY229" i="4"/>
  <c r="AY225" i="4"/>
  <c r="AY221" i="4"/>
  <c r="S325" i="4"/>
  <c r="AY325" i="4"/>
  <c r="S322" i="4"/>
  <c r="AY309" i="4"/>
  <c r="AY283" i="4"/>
  <c r="AY278" i="4"/>
  <c r="S276" i="4"/>
  <c r="AY273" i="4"/>
  <c r="S256" i="4"/>
  <c r="AY253" i="4"/>
  <c r="AY248" i="4"/>
  <c r="S231" i="4"/>
  <c r="S223" i="4"/>
  <c r="AY220" i="4"/>
  <c r="S219" i="4"/>
  <c r="S215" i="4"/>
  <c r="S211" i="4"/>
  <c r="S207" i="4"/>
  <c r="AY203" i="4"/>
  <c r="S201" i="4"/>
  <c r="S197" i="4"/>
  <c r="AY194" i="4"/>
  <c r="AY190" i="4"/>
  <c r="S188" i="4"/>
  <c r="S182" i="4"/>
  <c r="AY179" i="4"/>
  <c r="S177" i="4"/>
  <c r="S173" i="4"/>
  <c r="S169" i="4"/>
  <c r="AY166" i="4"/>
  <c r="S164" i="4"/>
  <c r="S160" i="4"/>
  <c r="AY315" i="4"/>
  <c r="AY298" i="4"/>
  <c r="AY295" i="4"/>
  <c r="AY285" i="4"/>
  <c r="AY268" i="4"/>
  <c r="S266" i="4"/>
  <c r="AY263" i="4"/>
  <c r="S228" i="4"/>
  <c r="AY217" i="4"/>
  <c r="AY213" i="4"/>
  <c r="AY209" i="4"/>
  <c r="AY204" i="4"/>
  <c r="AY199" i="4"/>
  <c r="S193" i="4"/>
  <c r="AY185" i="4"/>
  <c r="S183" i="4"/>
  <c r="AY175" i="4"/>
  <c r="AY171" i="4"/>
  <c r="S165" i="4"/>
  <c r="AY162" i="4"/>
  <c r="AY321" i="4"/>
  <c r="S312" i="4"/>
  <c r="AY308" i="4"/>
  <c r="S305" i="4"/>
  <c r="AY288" i="4"/>
  <c r="S285" i="4"/>
  <c r="AY270" i="4"/>
  <c r="S268" i="4"/>
  <c r="S263" i="4"/>
  <c r="S243" i="4"/>
  <c r="AY227" i="4"/>
  <c r="S220" i="4"/>
  <c r="S216" i="4"/>
  <c r="S212" i="4"/>
  <c r="S208" i="4"/>
  <c r="AY205" i="4"/>
  <c r="S202" i="4"/>
  <c r="S198" i="4"/>
  <c r="AY195" i="4"/>
  <c r="AY191" i="4"/>
  <c r="S189" i="4"/>
  <c r="AY186" i="4"/>
  <c r="S184" i="4"/>
  <c r="AY180" i="4"/>
  <c r="S178" i="4"/>
  <c r="S174" i="4"/>
  <c r="S170" i="4"/>
  <c r="AY167" i="4"/>
  <c r="S161" i="4"/>
  <c r="S318" i="4"/>
  <c r="S301" i="4"/>
  <c r="S298" i="4"/>
  <c r="AY294" i="4"/>
  <c r="AY277" i="4"/>
  <c r="S275" i="4"/>
  <c r="AY272" i="4"/>
  <c r="S260" i="4"/>
  <c r="AY257" i="4"/>
  <c r="AY252" i="4"/>
  <c r="S250" i="4"/>
  <c r="AY247" i="4"/>
  <c r="S245" i="4"/>
  <c r="AY237" i="4"/>
  <c r="S235" i="4"/>
  <c r="AY232" i="4"/>
  <c r="AY224" i="4"/>
  <c r="AY218" i="4"/>
  <c r="AY214" i="4"/>
  <c r="AY210" i="4"/>
  <c r="AY206" i="4"/>
  <c r="S203" i="4"/>
  <c r="AY200" i="4"/>
  <c r="AY196" i="4"/>
  <c r="S194" i="4"/>
  <c r="S190" i="4"/>
  <c r="AY187" i="4"/>
  <c r="AY181" i="4"/>
  <c r="AY176" i="4"/>
  <c r="AY172" i="4"/>
  <c r="S166" i="4"/>
  <c r="AY163" i="4"/>
  <c r="AY307" i="4"/>
  <c r="AY304" i="4"/>
  <c r="S291" i="4"/>
  <c r="S270" i="4"/>
  <c r="AY267" i="4"/>
  <c r="AY262" i="4"/>
  <c r="AY242" i="4"/>
  <c r="S240" i="4"/>
  <c r="S227" i="4"/>
  <c r="S217" i="4"/>
  <c r="S213" i="4"/>
  <c r="S209" i="4"/>
  <c r="S199" i="4"/>
  <c r="AY192" i="4"/>
  <c r="S185" i="4"/>
  <c r="AY182" i="4"/>
  <c r="S179" i="4"/>
  <c r="S175" i="4"/>
  <c r="S171" i="4"/>
  <c r="AY168" i="4"/>
  <c r="S162" i="4"/>
  <c r="S317" i="4"/>
  <c r="S297" i="4"/>
  <c r="AY279" i="4"/>
  <c r="S277" i="4"/>
  <c r="AY274" i="4"/>
  <c r="S272" i="4"/>
  <c r="AY259" i="4"/>
  <c r="S257" i="4"/>
  <c r="AY254" i="4"/>
  <c r="S252" i="4"/>
  <c r="AY249" i="4"/>
  <c r="S237" i="4"/>
  <c r="S232" i="4"/>
  <c r="S224" i="4"/>
  <c r="AY219" i="4"/>
  <c r="AY215" i="4"/>
  <c r="AY211" i="4"/>
  <c r="AY207" i="4"/>
  <c r="S204" i="4"/>
  <c r="AY201" i="4"/>
  <c r="AY197" i="4"/>
  <c r="S195" i="4"/>
  <c r="S191" i="4"/>
  <c r="AY188" i="4"/>
  <c r="AY183" i="4"/>
  <c r="S180" i="4"/>
  <c r="AY177" i="4"/>
  <c r="AY173" i="4"/>
  <c r="AY169" i="4"/>
  <c r="S167" i="4"/>
  <c r="AY164" i="4"/>
  <c r="AY160" i="4"/>
  <c r="S323" i="4"/>
  <c r="AY319" i="4"/>
  <c r="AY313" i="4"/>
  <c r="S310" i="4"/>
  <c r="S307" i="4"/>
  <c r="AY303" i="4"/>
  <c r="S279" i="4"/>
  <c r="AY276" i="4"/>
  <c r="S274" i="4"/>
  <c r="S259" i="4"/>
  <c r="AY256" i="4"/>
  <c r="S254" i="4"/>
  <c r="AY251" i="4"/>
  <c r="S249" i="4"/>
  <c r="AY236" i="4"/>
  <c r="AY231" i="4"/>
  <c r="AY223" i="4"/>
  <c r="S218" i="4"/>
  <c r="S214" i="4"/>
  <c r="S210" i="4"/>
  <c r="S205" i="4"/>
  <c r="AY202" i="4"/>
  <c r="S200" i="4"/>
  <c r="S196" i="4"/>
  <c r="AY193" i="4"/>
  <c r="S186" i="4"/>
  <c r="S176" i="4"/>
  <c r="S172" i="4"/>
  <c r="AY165" i="4"/>
  <c r="S163" i="4"/>
  <c r="S296" i="4"/>
  <c r="S293" i="4"/>
  <c r="S286" i="4"/>
  <c r="S281" i="4"/>
  <c r="S269" i="4"/>
  <c r="AY266" i="4"/>
  <c r="S264" i="4"/>
  <c r="AY228" i="4"/>
  <c r="AY216" i="4"/>
  <c r="AY212" i="4"/>
  <c r="AY208" i="4"/>
  <c r="S206" i="4"/>
  <c r="AY198" i="4"/>
  <c r="S192" i="4"/>
  <c r="AY189" i="4"/>
  <c r="S187" i="4"/>
  <c r="AY184" i="4"/>
  <c r="S181" i="4"/>
  <c r="AY178" i="4"/>
  <c r="AY174" i="4"/>
  <c r="AY170" i="4"/>
  <c r="S168" i="4"/>
  <c r="AY161" i="4"/>
  <c r="S158" i="4"/>
  <c r="AY159" i="4"/>
  <c r="S159" i="4"/>
  <c r="AY158" i="4"/>
  <c r="B204" i="2"/>
  <c r="B195" i="2" s="1"/>
  <c r="B196" i="2" s="1"/>
  <c r="BA323" i="4"/>
  <c r="BX323" i="4" s="1"/>
  <c r="U320" i="4"/>
  <c r="AR320" i="4" s="1"/>
  <c r="U314" i="4"/>
  <c r="AR314" i="4" s="1"/>
  <c r="BA310" i="4"/>
  <c r="BX310" i="4" s="1"/>
  <c r="U308" i="4"/>
  <c r="AR308" i="4" s="1"/>
  <c r="BA305" i="4"/>
  <c r="BX305" i="4" s="1"/>
  <c r="BA301" i="4"/>
  <c r="BX301" i="4" s="1"/>
  <c r="U299" i="4"/>
  <c r="AR299" i="4" s="1"/>
  <c r="BA296" i="4"/>
  <c r="BX296" i="4" s="1"/>
  <c r="BA291" i="4"/>
  <c r="BX291" i="4" s="1"/>
  <c r="U289" i="4"/>
  <c r="AR289" i="4" s="1"/>
  <c r="BA286" i="4"/>
  <c r="BX286" i="4" s="1"/>
  <c r="U284" i="4"/>
  <c r="AR284" i="4" s="1"/>
  <c r="BA281" i="4"/>
  <c r="BX281" i="4" s="1"/>
  <c r="U278" i="4"/>
  <c r="AR278" i="4" s="1"/>
  <c r="BA275" i="4"/>
  <c r="BX275" i="4" s="1"/>
  <c r="BA269" i="4"/>
  <c r="BX269" i="4" s="1"/>
  <c r="BA264" i="4"/>
  <c r="BX264" i="4" s="1"/>
  <c r="BA260" i="4"/>
  <c r="BX260" i="4" s="1"/>
  <c r="U258" i="4"/>
  <c r="AR258" i="4" s="1"/>
  <c r="BA250" i="4"/>
  <c r="BX250" i="4" s="1"/>
  <c r="U248" i="4"/>
  <c r="AR248" i="4" s="1"/>
  <c r="BA245" i="4"/>
  <c r="BX245" i="4" s="1"/>
  <c r="BA240" i="4"/>
  <c r="BX240" i="4" s="1"/>
  <c r="U238" i="4"/>
  <c r="AR238" i="4" s="1"/>
  <c r="BA235" i="4"/>
  <c r="BX235" i="4" s="1"/>
  <c r="U233" i="4"/>
  <c r="AR233" i="4" s="1"/>
  <c r="U229" i="4"/>
  <c r="AR229" i="4" s="1"/>
  <c r="U225" i="4"/>
  <c r="AR225" i="4" s="1"/>
  <c r="U221" i="4"/>
  <c r="AR221" i="4" s="1"/>
  <c r="BA324" i="4"/>
  <c r="BX324" i="4" s="1"/>
  <c r="BA317" i="4"/>
  <c r="BX317" i="4" s="1"/>
  <c r="BA311" i="4"/>
  <c r="BX311" i="4" s="1"/>
  <c r="U309" i="4"/>
  <c r="AR309" i="4" s="1"/>
  <c r="U304" i="4"/>
  <c r="AR304" i="4" s="1"/>
  <c r="BA297" i="4"/>
  <c r="BX297" i="4" s="1"/>
  <c r="U295" i="4"/>
  <c r="AR295" i="4" s="1"/>
  <c r="BA292" i="4"/>
  <c r="BX292" i="4" s="1"/>
  <c r="U285" i="4"/>
  <c r="AR285" i="4" s="1"/>
  <c r="U279" i="4"/>
  <c r="AR279" i="4" s="1"/>
  <c r="BA276" i="4"/>
  <c r="BX276" i="4" s="1"/>
  <c r="U274" i="4"/>
  <c r="AR274" i="4" s="1"/>
  <c r="BA270" i="4"/>
  <c r="BX270" i="4" s="1"/>
  <c r="U268" i="4"/>
  <c r="AR268" i="4" s="1"/>
  <c r="U263" i="4"/>
  <c r="AR263" i="4" s="1"/>
  <c r="U259" i="4"/>
  <c r="AR259" i="4" s="1"/>
  <c r="BA256" i="4"/>
  <c r="BX256" i="4" s="1"/>
  <c r="U254" i="4"/>
  <c r="AR254" i="4" s="1"/>
  <c r="BA251" i="4"/>
  <c r="BX251" i="4" s="1"/>
  <c r="U249" i="4"/>
  <c r="AR249" i="4" s="1"/>
  <c r="U243" i="4"/>
  <c r="AR243" i="4" s="1"/>
  <c r="BA236" i="4"/>
  <c r="BX236" i="4" s="1"/>
  <c r="BA231" i="4"/>
  <c r="BX231" i="4" s="1"/>
  <c r="BA227" i="4"/>
  <c r="BX227" i="4" s="1"/>
  <c r="BA223" i="4"/>
  <c r="BX223" i="4" s="1"/>
  <c r="U321" i="4"/>
  <c r="AR321" i="4" s="1"/>
  <c r="BA318" i="4"/>
  <c r="BX318" i="4" s="1"/>
  <c r="U316" i="4"/>
  <c r="AR316" i="4" s="1"/>
  <c r="U315" i="4"/>
  <c r="AR315" i="4" s="1"/>
  <c r="BA312" i="4"/>
  <c r="BX312" i="4" s="1"/>
  <c r="BA306" i="4"/>
  <c r="BX306" i="4" s="1"/>
  <c r="BA302" i="4"/>
  <c r="BX302" i="4" s="1"/>
  <c r="U300" i="4"/>
  <c r="AR300" i="4" s="1"/>
  <c r="BA293" i="4"/>
  <c r="BX293" i="4" s="1"/>
  <c r="U290" i="4"/>
  <c r="AR290" i="4" s="1"/>
  <c r="BA287" i="4"/>
  <c r="BX287" i="4" s="1"/>
  <c r="BA325" i="4"/>
  <c r="BX325" i="4" s="1"/>
  <c r="U322" i="4"/>
  <c r="AR322" i="4" s="1"/>
  <c r="BA319" i="4"/>
  <c r="BX319" i="4" s="1"/>
  <c r="U310" i="4"/>
  <c r="AR310" i="4" s="1"/>
  <c r="BA307" i="4"/>
  <c r="BX307" i="4" s="1"/>
  <c r="U305" i="4"/>
  <c r="AR305" i="4" s="1"/>
  <c r="U301" i="4"/>
  <c r="AR301" i="4" s="1"/>
  <c r="BA298" i="4"/>
  <c r="BX298" i="4" s="1"/>
  <c r="U296" i="4"/>
  <c r="AR296" i="4" s="1"/>
  <c r="U286" i="4"/>
  <c r="AR286" i="4" s="1"/>
  <c r="U281" i="4"/>
  <c r="AR281" i="4" s="1"/>
  <c r="BA277" i="4"/>
  <c r="BX277" i="4" s="1"/>
  <c r="U275" i="4"/>
  <c r="AR275" i="4" s="1"/>
  <c r="BA272" i="4"/>
  <c r="BX272" i="4" s="1"/>
  <c r="U269" i="4"/>
  <c r="AR269" i="4" s="1"/>
  <c r="BA266" i="4"/>
  <c r="BX266" i="4" s="1"/>
  <c r="U264" i="4"/>
  <c r="AR264" i="4" s="1"/>
  <c r="U260" i="4"/>
  <c r="AR260" i="4" s="1"/>
  <c r="BA257" i="4"/>
  <c r="BX257" i="4" s="1"/>
  <c r="BA252" i="4"/>
  <c r="BX252" i="4" s="1"/>
  <c r="U250" i="4"/>
  <c r="AR250" i="4" s="1"/>
  <c r="BA247" i="4"/>
  <c r="BX247" i="4" s="1"/>
  <c r="U245" i="4"/>
  <c r="AR245" i="4" s="1"/>
  <c r="BA237" i="4"/>
  <c r="BX237" i="4" s="1"/>
  <c r="U235" i="4"/>
  <c r="AR235" i="4" s="1"/>
  <c r="BA232" i="4"/>
  <c r="BX232" i="4" s="1"/>
  <c r="BA228" i="4"/>
  <c r="BX228" i="4" s="1"/>
  <c r="BA224" i="4"/>
  <c r="BX224" i="4" s="1"/>
  <c r="U325" i="4"/>
  <c r="AR325" i="4" s="1"/>
  <c r="BA321" i="4"/>
  <c r="BX321" i="4" s="1"/>
  <c r="U318" i="4"/>
  <c r="AR318" i="4" s="1"/>
  <c r="BA315" i="4"/>
  <c r="BX315" i="4" s="1"/>
  <c r="U312" i="4"/>
  <c r="AR312" i="4" s="1"/>
  <c r="BA309" i="4"/>
  <c r="BX309" i="4" s="1"/>
  <c r="U307" i="4"/>
  <c r="AR307" i="4" s="1"/>
  <c r="BA304" i="4"/>
  <c r="BX304" i="4" s="1"/>
  <c r="U298" i="4"/>
  <c r="AR298" i="4" s="1"/>
  <c r="BA295" i="4"/>
  <c r="BX295" i="4" s="1"/>
  <c r="U293" i="4"/>
  <c r="AR293" i="4" s="1"/>
  <c r="BA285" i="4"/>
  <c r="BX285" i="4" s="1"/>
  <c r="BA279" i="4"/>
  <c r="BX279" i="4" s="1"/>
  <c r="U277" i="4"/>
  <c r="AR277" i="4" s="1"/>
  <c r="BA274" i="4"/>
  <c r="BX274" i="4" s="1"/>
  <c r="U272" i="4"/>
  <c r="AR272" i="4" s="1"/>
  <c r="BA268" i="4"/>
  <c r="BX268" i="4" s="1"/>
  <c r="U266" i="4"/>
  <c r="AR266" i="4" s="1"/>
  <c r="BA263" i="4"/>
  <c r="BX263" i="4" s="1"/>
  <c r="BA259" i="4"/>
  <c r="BX259" i="4" s="1"/>
  <c r="U257" i="4"/>
  <c r="AR257" i="4" s="1"/>
  <c r="BA254" i="4"/>
  <c r="BX254" i="4" s="1"/>
  <c r="U252" i="4"/>
  <c r="AR252" i="4" s="1"/>
  <c r="BA249" i="4"/>
  <c r="BX249" i="4" s="1"/>
  <c r="U237" i="4"/>
  <c r="AR237" i="4" s="1"/>
  <c r="U232" i="4"/>
  <c r="AR232" i="4" s="1"/>
  <c r="U228" i="4"/>
  <c r="AR228" i="4" s="1"/>
  <c r="U224" i="4"/>
  <c r="AR224" i="4" s="1"/>
  <c r="U319" i="4"/>
  <c r="AR319" i="4" s="1"/>
  <c r="U306" i="4"/>
  <c r="AR306" i="4" s="1"/>
  <c r="U271" i="4"/>
  <c r="AR271" i="4" s="1"/>
  <c r="U261" i="4"/>
  <c r="AR261" i="4" s="1"/>
  <c r="BA258" i="4"/>
  <c r="BX258" i="4" s="1"/>
  <c r="U251" i="4"/>
  <c r="AR251" i="4" s="1"/>
  <c r="U246" i="4"/>
  <c r="AR246" i="4" s="1"/>
  <c r="BA243" i="4"/>
  <c r="BX243" i="4" s="1"/>
  <c r="U241" i="4"/>
  <c r="AR241" i="4" s="1"/>
  <c r="BA238" i="4"/>
  <c r="BX238" i="4" s="1"/>
  <c r="U236" i="4"/>
  <c r="AR236" i="4" s="1"/>
  <c r="BA233" i="4"/>
  <c r="BX233" i="4" s="1"/>
  <c r="BA225" i="4"/>
  <c r="BX225" i="4" s="1"/>
  <c r="BA217" i="4"/>
  <c r="BX217" i="4" s="1"/>
  <c r="BA213" i="4"/>
  <c r="BX213" i="4" s="1"/>
  <c r="BA209" i="4"/>
  <c r="BX209" i="4" s="1"/>
  <c r="BA204" i="4"/>
  <c r="BX204" i="4" s="1"/>
  <c r="BA199" i="4"/>
  <c r="BX199" i="4" s="1"/>
  <c r="U193" i="4"/>
  <c r="AR193" i="4" s="1"/>
  <c r="BA185" i="4"/>
  <c r="BX185" i="4" s="1"/>
  <c r="U183" i="4"/>
  <c r="AR183" i="4" s="1"/>
  <c r="BA175" i="4"/>
  <c r="BX175" i="4" s="1"/>
  <c r="BA171" i="4"/>
  <c r="BX171" i="4" s="1"/>
  <c r="U165" i="4"/>
  <c r="AR165" i="4" s="1"/>
  <c r="BA162" i="4"/>
  <c r="BX162" i="4" s="1"/>
  <c r="BA308" i="4"/>
  <c r="BX308" i="4" s="1"/>
  <c r="U302" i="4"/>
  <c r="AR302" i="4" s="1"/>
  <c r="U292" i="4"/>
  <c r="AR292" i="4" s="1"/>
  <c r="BA288" i="4"/>
  <c r="BX288" i="4" s="1"/>
  <c r="U283" i="4"/>
  <c r="AR283" i="4" s="1"/>
  <c r="BA280" i="4"/>
  <c r="BX280" i="4" s="1"/>
  <c r="U273" i="4"/>
  <c r="AR273" i="4" s="1"/>
  <c r="BA255" i="4"/>
  <c r="BX255" i="4" s="1"/>
  <c r="U253" i="4"/>
  <c r="AR253" i="4" s="1"/>
  <c r="BA230" i="4"/>
  <c r="BX230" i="4" s="1"/>
  <c r="BA222" i="4"/>
  <c r="BX222" i="4" s="1"/>
  <c r="U220" i="4"/>
  <c r="AR220" i="4" s="1"/>
  <c r="U216" i="4"/>
  <c r="AR216" i="4" s="1"/>
  <c r="U212" i="4"/>
  <c r="AR212" i="4" s="1"/>
  <c r="U208" i="4"/>
  <c r="AR208" i="4" s="1"/>
  <c r="BA205" i="4"/>
  <c r="BX205" i="4" s="1"/>
  <c r="U202" i="4"/>
  <c r="AR202" i="4" s="1"/>
  <c r="U198" i="4"/>
  <c r="AR198" i="4" s="1"/>
  <c r="BA195" i="4"/>
  <c r="BX195" i="4" s="1"/>
  <c r="BA191" i="4"/>
  <c r="BX191" i="4" s="1"/>
  <c r="U189" i="4"/>
  <c r="AR189" i="4" s="1"/>
  <c r="BA186" i="4"/>
  <c r="BX186" i="4" s="1"/>
  <c r="U184" i="4"/>
  <c r="AR184" i="4" s="1"/>
  <c r="BA180" i="4"/>
  <c r="BX180" i="4" s="1"/>
  <c r="U178" i="4"/>
  <c r="AR178" i="4" s="1"/>
  <c r="U174" i="4"/>
  <c r="AR174" i="4" s="1"/>
  <c r="U170" i="4"/>
  <c r="AR170" i="4" s="1"/>
  <c r="BA167" i="4"/>
  <c r="BX167" i="4" s="1"/>
  <c r="U161" i="4"/>
  <c r="AR161" i="4" s="1"/>
  <c r="BA294" i="4"/>
  <c r="BX294" i="4" s="1"/>
  <c r="BA282" i="4"/>
  <c r="BX282" i="4" s="1"/>
  <c r="U280" i="4"/>
  <c r="AR280" i="4" s="1"/>
  <c r="BA265" i="4"/>
  <c r="BX265" i="4" s="1"/>
  <c r="U255" i="4"/>
  <c r="AR255" i="4" s="1"/>
  <c r="U230" i="4"/>
  <c r="AR230" i="4" s="1"/>
  <c r="U222" i="4"/>
  <c r="AR222" i="4" s="1"/>
  <c r="BA218" i="4"/>
  <c r="BX218" i="4" s="1"/>
  <c r="BA214" i="4"/>
  <c r="BX214" i="4" s="1"/>
  <c r="BA210" i="4"/>
  <c r="BX210" i="4" s="1"/>
  <c r="BA206" i="4"/>
  <c r="BX206" i="4" s="1"/>
  <c r="U203" i="4"/>
  <c r="AR203" i="4" s="1"/>
  <c r="BA200" i="4"/>
  <c r="BX200" i="4" s="1"/>
  <c r="BA196" i="4"/>
  <c r="BX196" i="4" s="1"/>
  <c r="U194" i="4"/>
  <c r="AR194" i="4" s="1"/>
  <c r="U190" i="4"/>
  <c r="AR190" i="4" s="1"/>
  <c r="BA187" i="4"/>
  <c r="BX187" i="4" s="1"/>
  <c r="BA181" i="4"/>
  <c r="BX181" i="4" s="1"/>
  <c r="BA176" i="4"/>
  <c r="BX176" i="4" s="1"/>
  <c r="BA172" i="4"/>
  <c r="BX172" i="4" s="1"/>
  <c r="U166" i="4"/>
  <c r="AR166" i="4" s="1"/>
  <c r="BA163" i="4"/>
  <c r="BX163" i="4" s="1"/>
  <c r="U324" i="4"/>
  <c r="AR324" i="4" s="1"/>
  <c r="BA314" i="4"/>
  <c r="BX314" i="4" s="1"/>
  <c r="U291" i="4"/>
  <c r="AR291" i="4" s="1"/>
  <c r="U288" i="4"/>
  <c r="AR288" i="4" s="1"/>
  <c r="U270" i="4"/>
  <c r="AR270" i="4" s="1"/>
  <c r="BA267" i="4"/>
  <c r="BX267" i="4" s="1"/>
  <c r="BA262" i="4"/>
  <c r="BX262" i="4" s="1"/>
  <c r="BA242" i="4"/>
  <c r="BX242" i="4" s="1"/>
  <c r="U240" i="4"/>
  <c r="AR240" i="4" s="1"/>
  <c r="U227" i="4"/>
  <c r="AR227" i="4" s="1"/>
  <c r="U217" i="4"/>
  <c r="AR217" i="4" s="1"/>
  <c r="U213" i="4"/>
  <c r="AR213" i="4" s="1"/>
  <c r="U209" i="4"/>
  <c r="AR209" i="4" s="1"/>
  <c r="U199" i="4"/>
  <c r="AR199" i="4" s="1"/>
  <c r="BA192" i="4"/>
  <c r="BX192" i="4" s="1"/>
  <c r="U185" i="4"/>
  <c r="AR185" i="4" s="1"/>
  <c r="BA182" i="4"/>
  <c r="BX182" i="4" s="1"/>
  <c r="U179" i="4"/>
  <c r="AR179" i="4" s="1"/>
  <c r="U175" i="4"/>
  <c r="AR175" i="4" s="1"/>
  <c r="U171" i="4"/>
  <c r="AR171" i="4" s="1"/>
  <c r="BA168" i="4"/>
  <c r="BX168" i="4" s="1"/>
  <c r="U162" i="4"/>
  <c r="AR162" i="4" s="1"/>
  <c r="BA320" i="4"/>
  <c r="BX320" i="4" s="1"/>
  <c r="U317" i="4"/>
  <c r="AR317" i="4" s="1"/>
  <c r="U311" i="4"/>
  <c r="AR311" i="4" s="1"/>
  <c r="U297" i="4"/>
  <c r="AR297" i="4" s="1"/>
  <c r="U294" i="4"/>
  <c r="AR294" i="4" s="1"/>
  <c r="BA284" i="4"/>
  <c r="BX284" i="4" s="1"/>
  <c r="U282" i="4"/>
  <c r="AR282" i="4" s="1"/>
  <c r="U265" i="4"/>
  <c r="AR265" i="4" s="1"/>
  <c r="BA229" i="4"/>
  <c r="BX229" i="4" s="1"/>
  <c r="BA221" i="4"/>
  <c r="BX221" i="4" s="1"/>
  <c r="BA219" i="4"/>
  <c r="BX219" i="4" s="1"/>
  <c r="BA215" i="4"/>
  <c r="BX215" i="4" s="1"/>
  <c r="BA211" i="4"/>
  <c r="BX211" i="4" s="1"/>
  <c r="BA207" i="4"/>
  <c r="BX207" i="4" s="1"/>
  <c r="U204" i="4"/>
  <c r="AR204" i="4" s="1"/>
  <c r="BA201" i="4"/>
  <c r="BX201" i="4" s="1"/>
  <c r="BA197" i="4"/>
  <c r="BX197" i="4" s="1"/>
  <c r="U195" i="4"/>
  <c r="AR195" i="4" s="1"/>
  <c r="U191" i="4"/>
  <c r="AR191" i="4" s="1"/>
  <c r="BA188" i="4"/>
  <c r="BX188" i="4" s="1"/>
  <c r="BA183" i="4"/>
  <c r="BX183" i="4" s="1"/>
  <c r="U180" i="4"/>
  <c r="AR180" i="4" s="1"/>
  <c r="BA177" i="4"/>
  <c r="BX177" i="4" s="1"/>
  <c r="BA173" i="4"/>
  <c r="BX173" i="4" s="1"/>
  <c r="BA169" i="4"/>
  <c r="BX169" i="4" s="1"/>
  <c r="U167" i="4"/>
  <c r="AR167" i="4" s="1"/>
  <c r="BA164" i="4"/>
  <c r="BX164" i="4" s="1"/>
  <c r="BA160" i="4"/>
  <c r="BX160" i="4" s="1"/>
  <c r="U323" i="4"/>
  <c r="AR323" i="4" s="1"/>
  <c r="BA313" i="4"/>
  <c r="BX313" i="4" s="1"/>
  <c r="BA303" i="4"/>
  <c r="BX303" i="4" s="1"/>
  <c r="BA300" i="4"/>
  <c r="BX300" i="4" s="1"/>
  <c r="BA290" i="4"/>
  <c r="BX290" i="4" s="1"/>
  <c r="U287" i="4"/>
  <c r="AR287" i="4" s="1"/>
  <c r="U267" i="4"/>
  <c r="AR267" i="4" s="1"/>
  <c r="U262" i="4"/>
  <c r="AR262" i="4" s="1"/>
  <c r="U247" i="4"/>
  <c r="AR247" i="4" s="1"/>
  <c r="BA244" i="4"/>
  <c r="BX244" i="4" s="1"/>
  <c r="U242" i="4"/>
  <c r="AR242" i="4" s="1"/>
  <c r="BA239" i="4"/>
  <c r="BX239" i="4" s="1"/>
  <c r="BA234" i="4"/>
  <c r="BX234" i="4" s="1"/>
  <c r="BA226" i="4"/>
  <c r="BX226" i="4" s="1"/>
  <c r="U218" i="4"/>
  <c r="AR218" i="4" s="1"/>
  <c r="U214" i="4"/>
  <c r="AR214" i="4" s="1"/>
  <c r="U210" i="4"/>
  <c r="AR210" i="4" s="1"/>
  <c r="U205" i="4"/>
  <c r="AR205" i="4" s="1"/>
  <c r="BA202" i="4"/>
  <c r="BX202" i="4" s="1"/>
  <c r="U200" i="4"/>
  <c r="AR200" i="4" s="1"/>
  <c r="U196" i="4"/>
  <c r="AR196" i="4" s="1"/>
  <c r="BA193" i="4"/>
  <c r="BX193" i="4" s="1"/>
  <c r="U186" i="4"/>
  <c r="AR186" i="4" s="1"/>
  <c r="U176" i="4"/>
  <c r="AR176" i="4" s="1"/>
  <c r="U172" i="4"/>
  <c r="AR172" i="4" s="1"/>
  <c r="BA165" i="4"/>
  <c r="BX165" i="4" s="1"/>
  <c r="U163" i="4"/>
  <c r="AR163" i="4" s="1"/>
  <c r="BA316" i="4"/>
  <c r="BX316" i="4" s="1"/>
  <c r="BA271" i="4"/>
  <c r="BX271" i="4" s="1"/>
  <c r="BA261" i="4"/>
  <c r="BX261" i="4" s="1"/>
  <c r="BA246" i="4"/>
  <c r="BX246" i="4" s="1"/>
  <c r="U244" i="4"/>
  <c r="AR244" i="4" s="1"/>
  <c r="BA241" i="4"/>
  <c r="BX241" i="4" s="1"/>
  <c r="U239" i="4"/>
  <c r="AR239" i="4" s="1"/>
  <c r="U234" i="4"/>
  <c r="AR234" i="4" s="1"/>
  <c r="U226" i="4"/>
  <c r="AR226" i="4" s="1"/>
  <c r="BA216" i="4"/>
  <c r="BX216" i="4" s="1"/>
  <c r="BA212" i="4"/>
  <c r="BX212" i="4" s="1"/>
  <c r="BA208" i="4"/>
  <c r="BX208" i="4" s="1"/>
  <c r="U206" i="4"/>
  <c r="AR206" i="4" s="1"/>
  <c r="BA198" i="4"/>
  <c r="BX198" i="4" s="1"/>
  <c r="U192" i="4"/>
  <c r="AR192" i="4" s="1"/>
  <c r="BA189" i="4"/>
  <c r="BX189" i="4" s="1"/>
  <c r="U187" i="4"/>
  <c r="AR187" i="4" s="1"/>
  <c r="BA184" i="4"/>
  <c r="BX184" i="4" s="1"/>
  <c r="U181" i="4"/>
  <c r="AR181" i="4" s="1"/>
  <c r="BA178" i="4"/>
  <c r="BX178" i="4" s="1"/>
  <c r="BA174" i="4"/>
  <c r="BX174" i="4" s="1"/>
  <c r="BA170" i="4"/>
  <c r="BX170" i="4" s="1"/>
  <c r="U168" i="4"/>
  <c r="AR168" i="4" s="1"/>
  <c r="BA161" i="4"/>
  <c r="BX161" i="4" s="1"/>
  <c r="BA322" i="4"/>
  <c r="BX322" i="4" s="1"/>
  <c r="U313" i="4"/>
  <c r="AR313" i="4" s="1"/>
  <c r="U303" i="4"/>
  <c r="AR303" i="4" s="1"/>
  <c r="BA299" i="4"/>
  <c r="BX299" i="4" s="1"/>
  <c r="BA289" i="4"/>
  <c r="BX289" i="4" s="1"/>
  <c r="BA283" i="4"/>
  <c r="BX283" i="4" s="1"/>
  <c r="BA278" i="4"/>
  <c r="BX278" i="4" s="1"/>
  <c r="U276" i="4"/>
  <c r="AR276" i="4" s="1"/>
  <c r="BA273" i="4"/>
  <c r="BX273" i="4" s="1"/>
  <c r="U256" i="4"/>
  <c r="AR256" i="4" s="1"/>
  <c r="BA253" i="4"/>
  <c r="BX253" i="4" s="1"/>
  <c r="BA248" i="4"/>
  <c r="BX248" i="4" s="1"/>
  <c r="U231" i="4"/>
  <c r="AR231" i="4" s="1"/>
  <c r="U223" i="4"/>
  <c r="AR223" i="4" s="1"/>
  <c r="BA220" i="4"/>
  <c r="BX220" i="4" s="1"/>
  <c r="U219" i="4"/>
  <c r="AR219" i="4" s="1"/>
  <c r="U215" i="4"/>
  <c r="AR215" i="4" s="1"/>
  <c r="U211" i="4"/>
  <c r="AR211" i="4" s="1"/>
  <c r="U207" i="4"/>
  <c r="AR207" i="4" s="1"/>
  <c r="BA203" i="4"/>
  <c r="BX203" i="4" s="1"/>
  <c r="U201" i="4"/>
  <c r="AR201" i="4" s="1"/>
  <c r="U197" i="4"/>
  <c r="AR197" i="4" s="1"/>
  <c r="BA194" i="4"/>
  <c r="BX194" i="4" s="1"/>
  <c r="BA190" i="4"/>
  <c r="BX190" i="4" s="1"/>
  <c r="U188" i="4"/>
  <c r="AR188" i="4" s="1"/>
  <c r="U182" i="4"/>
  <c r="AR182" i="4" s="1"/>
  <c r="BA179" i="4"/>
  <c r="BX179" i="4" s="1"/>
  <c r="U177" i="4"/>
  <c r="AR177" i="4" s="1"/>
  <c r="U173" i="4"/>
  <c r="AR173" i="4" s="1"/>
  <c r="U169" i="4"/>
  <c r="AR169" i="4" s="1"/>
  <c r="BA166" i="4"/>
  <c r="BX166" i="4" s="1"/>
  <c r="U164" i="4"/>
  <c r="AR164" i="4" s="1"/>
  <c r="U160" i="4"/>
  <c r="AR160" i="4" s="1"/>
  <c r="U159" i="4"/>
  <c r="AR159" i="4" s="1"/>
  <c r="U158" i="4"/>
  <c r="AR158" i="4" s="1"/>
  <c r="BA158" i="4"/>
  <c r="BX158" i="4" s="1"/>
  <c r="BA159" i="4"/>
  <c r="BX159" i="4" s="1"/>
  <c r="BW324" i="4"/>
  <c r="BW317" i="4"/>
  <c r="BW311" i="4"/>
  <c r="AQ309" i="4"/>
  <c r="AQ304" i="4"/>
  <c r="BW297" i="4"/>
  <c r="AQ295" i="4"/>
  <c r="BW292" i="4"/>
  <c r="AQ285" i="4"/>
  <c r="AQ279" i="4"/>
  <c r="BW276" i="4"/>
  <c r="AQ274" i="4"/>
  <c r="BW270" i="4"/>
  <c r="AQ268" i="4"/>
  <c r="AQ263" i="4"/>
  <c r="AQ259" i="4"/>
  <c r="BW256" i="4"/>
  <c r="AQ254" i="4"/>
  <c r="BW251" i="4"/>
  <c r="AQ249" i="4"/>
  <c r="AQ243" i="4"/>
  <c r="BW236" i="4"/>
  <c r="BW231" i="4"/>
  <c r="BW227" i="4"/>
  <c r="BW223" i="4"/>
  <c r="AQ321" i="4"/>
  <c r="BW318" i="4"/>
  <c r="AQ316" i="4"/>
  <c r="AQ315" i="4"/>
  <c r="BW312" i="4"/>
  <c r="BW306" i="4"/>
  <c r="BW302" i="4"/>
  <c r="AQ300" i="4"/>
  <c r="BW293" i="4"/>
  <c r="AQ290" i="4"/>
  <c r="BW287" i="4"/>
  <c r="BW282" i="4"/>
  <c r="AQ280" i="4"/>
  <c r="BW271" i="4"/>
  <c r="BW265" i="4"/>
  <c r="BW261" i="4"/>
  <c r="AQ255" i="4"/>
  <c r="BW246" i="4"/>
  <c r="AQ244" i="4"/>
  <c r="BW241" i="4"/>
  <c r="AQ239" i="4"/>
  <c r="AQ234" i="4"/>
  <c r="AQ230" i="4"/>
  <c r="AQ226" i="4"/>
  <c r="AQ222" i="4"/>
  <c r="BW325" i="4"/>
  <c r="AQ322" i="4"/>
  <c r="BW319" i="4"/>
  <c r="AQ310" i="4"/>
  <c r="BW307" i="4"/>
  <c r="AQ305" i="4"/>
  <c r="AQ301" i="4"/>
  <c r="BW298" i="4"/>
  <c r="AQ296" i="4"/>
  <c r="AQ286" i="4"/>
  <c r="AQ323" i="4"/>
  <c r="AQ317" i="4"/>
  <c r="BW313" i="4"/>
  <c r="BW308" i="4"/>
  <c r="BW303" i="4"/>
  <c r="AQ297" i="4"/>
  <c r="BW294" i="4"/>
  <c r="AQ291" i="4"/>
  <c r="BW288" i="4"/>
  <c r="BW283" i="4"/>
  <c r="BW278" i="4"/>
  <c r="AQ276" i="4"/>
  <c r="BW273" i="4"/>
  <c r="AQ270" i="4"/>
  <c r="BW267" i="4"/>
  <c r="BW262" i="4"/>
  <c r="AQ256" i="4"/>
  <c r="BW253" i="4"/>
  <c r="BW248" i="4"/>
  <c r="BW242" i="4"/>
  <c r="AQ240" i="4"/>
  <c r="AQ231" i="4"/>
  <c r="AQ227" i="4"/>
  <c r="AQ223" i="4"/>
  <c r="BW220" i="4"/>
  <c r="BW322" i="4"/>
  <c r="AQ319" i="4"/>
  <c r="BW316" i="4"/>
  <c r="AQ313" i="4"/>
  <c r="AQ303" i="4"/>
  <c r="BW300" i="4"/>
  <c r="AQ294" i="4"/>
  <c r="BW290" i="4"/>
  <c r="AQ288" i="4"/>
  <c r="AQ283" i="4"/>
  <c r="BW280" i="4"/>
  <c r="AQ273" i="4"/>
  <c r="AQ267" i="4"/>
  <c r="AQ262" i="4"/>
  <c r="BW255" i="4"/>
  <c r="AQ253" i="4"/>
  <c r="AQ247" i="4"/>
  <c r="BW244" i="4"/>
  <c r="AQ242" i="4"/>
  <c r="BW239" i="4"/>
  <c r="BW234" i="4"/>
  <c r="BW230" i="4"/>
  <c r="BW226" i="4"/>
  <c r="BW222" i="4"/>
  <c r="AQ220" i="4"/>
  <c r="BW315" i="4"/>
  <c r="AQ302" i="4"/>
  <c r="AQ299" i="4"/>
  <c r="BW295" i="4"/>
  <c r="AQ292" i="4"/>
  <c r="AQ289" i="4"/>
  <c r="BW285" i="4"/>
  <c r="BW268" i="4"/>
  <c r="AQ266" i="4"/>
  <c r="BW263" i="4"/>
  <c r="AQ228" i="4"/>
  <c r="AQ216" i="4"/>
  <c r="AQ212" i="4"/>
  <c r="AQ208" i="4"/>
  <c r="BW205" i="4"/>
  <c r="AQ202" i="4"/>
  <c r="AQ198" i="4"/>
  <c r="BW195" i="4"/>
  <c r="BW191" i="4"/>
  <c r="AQ189" i="4"/>
  <c r="BW186" i="4"/>
  <c r="AQ184" i="4"/>
  <c r="BW180" i="4"/>
  <c r="AQ178" i="4"/>
  <c r="AQ174" i="4"/>
  <c r="AQ170" i="4"/>
  <c r="BW167" i="4"/>
  <c r="AQ161" i="4"/>
  <c r="AQ325" i="4"/>
  <c r="BW321" i="4"/>
  <c r="AQ312" i="4"/>
  <c r="BW305" i="4"/>
  <c r="AQ278" i="4"/>
  <c r="BW275" i="4"/>
  <c r="BW260" i="4"/>
  <c r="AQ258" i="4"/>
  <c r="BW250" i="4"/>
  <c r="AQ248" i="4"/>
  <c r="BW245" i="4"/>
  <c r="BW240" i="4"/>
  <c r="AQ238" i="4"/>
  <c r="BW235" i="4"/>
  <c r="AQ233" i="4"/>
  <c r="AQ225" i="4"/>
  <c r="BW218" i="4"/>
  <c r="BW214" i="4"/>
  <c r="BW210" i="4"/>
  <c r="BW206" i="4"/>
  <c r="AQ203" i="4"/>
  <c r="BW200" i="4"/>
  <c r="BW196" i="4"/>
  <c r="AQ194" i="4"/>
  <c r="AQ190" i="4"/>
  <c r="BW187" i="4"/>
  <c r="BW181" i="4"/>
  <c r="BW176" i="4"/>
  <c r="BW172" i="4"/>
  <c r="AQ166" i="4"/>
  <c r="BW163" i="4"/>
  <c r="AQ324" i="4"/>
  <c r="AQ318" i="4"/>
  <c r="BW314" i="4"/>
  <c r="BW301" i="4"/>
  <c r="AQ298" i="4"/>
  <c r="BW291" i="4"/>
  <c r="BW277" i="4"/>
  <c r="AQ275" i="4"/>
  <c r="BW272" i="4"/>
  <c r="AQ260" i="4"/>
  <c r="BW257" i="4"/>
  <c r="BW252" i="4"/>
  <c r="AQ250" i="4"/>
  <c r="BW247" i="4"/>
  <c r="AQ245" i="4"/>
  <c r="BW237" i="4"/>
  <c r="AQ235" i="4"/>
  <c r="BW232" i="4"/>
  <c r="BW224" i="4"/>
  <c r="AQ217" i="4"/>
  <c r="AQ213" i="4"/>
  <c r="AQ209" i="4"/>
  <c r="AQ199" i="4"/>
  <c r="BW192" i="4"/>
  <c r="AQ185" i="4"/>
  <c r="BW182" i="4"/>
  <c r="AQ179" i="4"/>
  <c r="AQ175" i="4"/>
  <c r="AQ171" i="4"/>
  <c r="BW168" i="4"/>
  <c r="AQ162" i="4"/>
  <c r="BW320" i="4"/>
  <c r="AQ311" i="4"/>
  <c r="AQ308" i="4"/>
  <c r="BW304" i="4"/>
  <c r="BW284" i="4"/>
  <c r="AQ282" i="4"/>
  <c r="AQ265" i="4"/>
  <c r="BW229" i="4"/>
  <c r="BW221" i="4"/>
  <c r="BW219" i="4"/>
  <c r="BW215" i="4"/>
  <c r="BW211" i="4"/>
  <c r="BW207" i="4"/>
  <c r="AQ204" i="4"/>
  <c r="BW201" i="4"/>
  <c r="BW197" i="4"/>
  <c r="AQ195" i="4"/>
  <c r="AQ191" i="4"/>
  <c r="BW188" i="4"/>
  <c r="BW183" i="4"/>
  <c r="AQ180" i="4"/>
  <c r="BW177" i="4"/>
  <c r="BW173" i="4"/>
  <c r="BW169" i="4"/>
  <c r="AQ167" i="4"/>
  <c r="BW164" i="4"/>
  <c r="BW160" i="4"/>
  <c r="BW323" i="4"/>
  <c r="AQ314" i="4"/>
  <c r="AQ287" i="4"/>
  <c r="BW279" i="4"/>
  <c r="AQ277" i="4"/>
  <c r="BW274" i="4"/>
  <c r="AQ272" i="4"/>
  <c r="BW259" i="4"/>
  <c r="AQ257" i="4"/>
  <c r="BW254" i="4"/>
  <c r="AQ252" i="4"/>
  <c r="BW249" i="4"/>
  <c r="AQ237" i="4"/>
  <c r="AQ232" i="4"/>
  <c r="AQ224" i="4"/>
  <c r="AQ218" i="4"/>
  <c r="AQ214" i="4"/>
  <c r="AQ210" i="4"/>
  <c r="AQ205" i="4"/>
  <c r="BW202" i="4"/>
  <c r="AQ200" i="4"/>
  <c r="AQ196" i="4"/>
  <c r="BW193" i="4"/>
  <c r="AQ186" i="4"/>
  <c r="AQ176" i="4"/>
  <c r="AQ172" i="4"/>
  <c r="BW165" i="4"/>
  <c r="AQ163" i="4"/>
  <c r="AQ320" i="4"/>
  <c r="BW310" i="4"/>
  <c r="AQ307" i="4"/>
  <c r="AQ284" i="4"/>
  <c r="BW281" i="4"/>
  <c r="BW269" i="4"/>
  <c r="BW264" i="4"/>
  <c r="AQ229" i="4"/>
  <c r="AQ221" i="4"/>
  <c r="BW216" i="4"/>
  <c r="BW212" i="4"/>
  <c r="BW208" i="4"/>
  <c r="AQ206" i="4"/>
  <c r="BW198" i="4"/>
  <c r="AQ192" i="4"/>
  <c r="BW189" i="4"/>
  <c r="AQ187" i="4"/>
  <c r="BW184" i="4"/>
  <c r="AQ181" i="4"/>
  <c r="BW178" i="4"/>
  <c r="BW174" i="4"/>
  <c r="BW170" i="4"/>
  <c r="AQ168" i="4"/>
  <c r="BW161" i="4"/>
  <c r="BW299" i="4"/>
  <c r="BW296" i="4"/>
  <c r="AQ293" i="4"/>
  <c r="BW289" i="4"/>
  <c r="BW286" i="4"/>
  <c r="AQ281" i="4"/>
  <c r="AQ269" i="4"/>
  <c r="BW266" i="4"/>
  <c r="AQ264" i="4"/>
  <c r="BW228" i="4"/>
  <c r="AQ219" i="4"/>
  <c r="AQ215" i="4"/>
  <c r="AQ211" i="4"/>
  <c r="AQ207" i="4"/>
  <c r="BW203" i="4"/>
  <c r="AQ201" i="4"/>
  <c r="AQ197" i="4"/>
  <c r="BW194" i="4"/>
  <c r="BW190" i="4"/>
  <c r="AQ188" i="4"/>
  <c r="AQ182" i="4"/>
  <c r="BW179" i="4"/>
  <c r="AQ177" i="4"/>
  <c r="AQ173" i="4"/>
  <c r="AQ169" i="4"/>
  <c r="BW166" i="4"/>
  <c r="AQ164" i="4"/>
  <c r="AQ160" i="4"/>
  <c r="BW309" i="4"/>
  <c r="AQ306" i="4"/>
  <c r="AQ271" i="4"/>
  <c r="AQ261" i="4"/>
  <c r="BW258" i="4"/>
  <c r="AQ251" i="4"/>
  <c r="AQ246" i="4"/>
  <c r="BW243" i="4"/>
  <c r="AQ241" i="4"/>
  <c r="BW238" i="4"/>
  <c r="AQ236" i="4"/>
  <c r="BW233" i="4"/>
  <c r="BW225" i="4"/>
  <c r="BW217" i="4"/>
  <c r="BW213" i="4"/>
  <c r="BW209" i="4"/>
  <c r="BW204" i="4"/>
  <c r="BW199" i="4"/>
  <c r="AQ193" i="4"/>
  <c r="BW185" i="4"/>
  <c r="AQ183" i="4"/>
  <c r="BW175" i="4"/>
  <c r="BW171" i="4"/>
  <c r="AQ165" i="4"/>
  <c r="BW162" i="4"/>
  <c r="AQ159" i="4"/>
  <c r="AQ158" i="4"/>
  <c r="BW158" i="4"/>
  <c r="BW159" i="4"/>
  <c r="AO7" i="5"/>
  <c r="AL7" i="5"/>
  <c r="S152" i="4"/>
  <c r="S116" i="4"/>
  <c r="S100" i="4"/>
  <c r="S88" i="4"/>
  <c r="S76" i="4"/>
  <c r="S68" i="4"/>
  <c r="S56" i="4"/>
  <c r="S44" i="4"/>
  <c r="S32" i="4"/>
  <c r="S148" i="4"/>
  <c r="S144" i="4"/>
  <c r="S140" i="4"/>
  <c r="S136" i="4"/>
  <c r="S132" i="4"/>
  <c r="S128" i="4"/>
  <c r="S124" i="4"/>
  <c r="S120" i="4"/>
  <c r="S112" i="4"/>
  <c r="S104" i="4"/>
  <c r="S92" i="4"/>
  <c r="S80" i="4"/>
  <c r="S64" i="4"/>
  <c r="S48" i="4"/>
  <c r="S155" i="4"/>
  <c r="S151" i="4"/>
  <c r="S147" i="4"/>
  <c r="S143" i="4"/>
  <c r="S139" i="4"/>
  <c r="S135" i="4"/>
  <c r="S131" i="4"/>
  <c r="S127" i="4"/>
  <c r="S123" i="4"/>
  <c r="S119" i="4"/>
  <c r="S115" i="4"/>
  <c r="S111" i="4"/>
  <c r="S107" i="4"/>
  <c r="S103" i="4"/>
  <c r="S99" i="4"/>
  <c r="S95" i="4"/>
  <c r="S91" i="4"/>
  <c r="S87" i="4"/>
  <c r="S83" i="4"/>
  <c r="S79" i="4"/>
  <c r="S75" i="4"/>
  <c r="S71" i="4"/>
  <c r="S67" i="4"/>
  <c r="S63" i="4"/>
  <c r="S59" i="4"/>
  <c r="S55" i="4"/>
  <c r="S51" i="4"/>
  <c r="S47" i="4"/>
  <c r="S43" i="4"/>
  <c r="S39" i="4"/>
  <c r="S35" i="4"/>
  <c r="S31" i="4"/>
  <c r="S27" i="4"/>
  <c r="S23" i="4"/>
  <c r="S19" i="4"/>
  <c r="S15" i="4"/>
  <c r="S11" i="4"/>
  <c r="S7" i="4"/>
  <c r="S157" i="4"/>
  <c r="S153" i="4"/>
  <c r="S149" i="4"/>
  <c r="S145" i="4"/>
  <c r="S141" i="4"/>
  <c r="S137" i="4"/>
  <c r="S133" i="4"/>
  <c r="S129" i="4"/>
  <c r="S125" i="4"/>
  <c r="S121" i="4"/>
  <c r="S117" i="4"/>
  <c r="S113" i="4"/>
  <c r="S109" i="4"/>
  <c r="S105" i="4"/>
  <c r="S101" i="4"/>
  <c r="S97" i="4"/>
  <c r="S93" i="4"/>
  <c r="S89" i="4"/>
  <c r="S85" i="4"/>
  <c r="S81" i="4"/>
  <c r="S77" i="4"/>
  <c r="S73" i="4"/>
  <c r="S69" i="4"/>
  <c r="S65" i="4"/>
  <c r="S61" i="4"/>
  <c r="S57" i="4"/>
  <c r="S53" i="4"/>
  <c r="S49" i="4"/>
  <c r="S45" i="4"/>
  <c r="S41" i="4"/>
  <c r="S37" i="4"/>
  <c r="S33" i="4"/>
  <c r="S29" i="4"/>
  <c r="S25" i="4"/>
  <c r="S21" i="4"/>
  <c r="S17" i="4"/>
  <c r="S13" i="4"/>
  <c r="S9" i="4"/>
  <c r="S156" i="4"/>
  <c r="S108" i="4"/>
  <c r="S96" i="4"/>
  <c r="S84" i="4"/>
  <c r="S72" i="4"/>
  <c r="S60" i="4"/>
  <c r="S52" i="4"/>
  <c r="S40" i="4"/>
  <c r="S36" i="4"/>
  <c r="S24" i="4"/>
  <c r="S122" i="4"/>
  <c r="S90" i="4"/>
  <c r="S58" i="4"/>
  <c r="S18" i="4"/>
  <c r="S10" i="4"/>
  <c r="S78" i="4"/>
  <c r="S46" i="4"/>
  <c r="S26" i="4"/>
  <c r="S98" i="4"/>
  <c r="S66" i="4"/>
  <c r="S34" i="4"/>
  <c r="S8" i="4"/>
  <c r="S114" i="4"/>
  <c r="S82" i="4"/>
  <c r="S20" i="4"/>
  <c r="S150" i="4"/>
  <c r="S134" i="4"/>
  <c r="S110" i="4"/>
  <c r="S16" i="4"/>
  <c r="S142" i="4"/>
  <c r="S62" i="4"/>
  <c r="S30" i="4"/>
  <c r="S154" i="4"/>
  <c r="S70" i="4"/>
  <c r="S38" i="4"/>
  <c r="S146" i="4"/>
  <c r="S130" i="4"/>
  <c r="S118" i="4"/>
  <c r="S86" i="4"/>
  <c r="S54" i="4"/>
  <c r="S106" i="4"/>
  <c r="S74" i="4"/>
  <c r="S42" i="4"/>
  <c r="S22" i="4"/>
  <c r="S14" i="4"/>
  <c r="S126" i="4"/>
  <c r="S94" i="4"/>
  <c r="S50" i="4"/>
  <c r="S12" i="4"/>
  <c r="S138" i="4"/>
  <c r="S102" i="4"/>
  <c r="S28" i="4"/>
  <c r="B89" i="2"/>
  <c r="AQ156" i="4"/>
  <c r="AQ152" i="4"/>
  <c r="AQ148" i="4"/>
  <c r="AQ144" i="4"/>
  <c r="AQ140" i="4"/>
  <c r="AQ136" i="4"/>
  <c r="AQ132" i="4"/>
  <c r="AQ128" i="4"/>
  <c r="AQ124" i="4"/>
  <c r="AQ120" i="4"/>
  <c r="AQ116" i="4"/>
  <c r="AQ112" i="4"/>
  <c r="AQ108" i="4"/>
  <c r="AQ104" i="4"/>
  <c r="AQ100" i="4"/>
  <c r="AQ96" i="4"/>
  <c r="AQ92" i="4"/>
  <c r="AQ88" i="4"/>
  <c r="AQ84" i="4"/>
  <c r="AQ80" i="4"/>
  <c r="AQ76" i="4"/>
  <c r="AQ72" i="4"/>
  <c r="AQ68" i="4"/>
  <c r="AQ64" i="4"/>
  <c r="AQ60" i="4"/>
  <c r="AQ56" i="4"/>
  <c r="AQ52" i="4"/>
  <c r="AQ48" i="4"/>
  <c r="AQ44" i="4"/>
  <c r="AQ40" i="4"/>
  <c r="AQ36" i="4"/>
  <c r="AQ32" i="4"/>
  <c r="AQ28" i="4"/>
  <c r="AQ24" i="4"/>
  <c r="AQ20" i="4"/>
  <c r="AQ16" i="4"/>
  <c r="AQ12" i="4"/>
  <c r="AQ8" i="4"/>
  <c r="AQ155" i="4"/>
  <c r="AQ151" i="4"/>
  <c r="AQ147" i="4"/>
  <c r="AQ143" i="4"/>
  <c r="AQ139" i="4"/>
  <c r="AQ135" i="4"/>
  <c r="AQ131" i="4"/>
  <c r="AQ127" i="4"/>
  <c r="AQ154" i="4"/>
  <c r="AQ150" i="4"/>
  <c r="AQ146" i="4"/>
  <c r="AQ142" i="4"/>
  <c r="AQ138" i="4"/>
  <c r="AQ134" i="4"/>
  <c r="AQ130" i="4"/>
  <c r="AQ126" i="4"/>
  <c r="AQ122" i="4"/>
  <c r="AQ118" i="4"/>
  <c r="AQ114" i="4"/>
  <c r="AQ110" i="4"/>
  <c r="AQ106" i="4"/>
  <c r="AQ102" i="4"/>
  <c r="AQ98" i="4"/>
  <c r="AQ94" i="4"/>
  <c r="AQ90" i="4"/>
  <c r="AQ86" i="4"/>
  <c r="AQ82" i="4"/>
  <c r="AQ78" i="4"/>
  <c r="AQ74" i="4"/>
  <c r="AQ70" i="4"/>
  <c r="AQ66" i="4"/>
  <c r="AQ62" i="4"/>
  <c r="AQ58" i="4"/>
  <c r="AQ54" i="4"/>
  <c r="AQ50" i="4"/>
  <c r="AQ46" i="4"/>
  <c r="AQ42" i="4"/>
  <c r="AQ38" i="4"/>
  <c r="AQ34" i="4"/>
  <c r="AQ30" i="4"/>
  <c r="AQ26" i="4"/>
  <c r="AQ22" i="4"/>
  <c r="AQ18" i="4"/>
  <c r="AQ14" i="4"/>
  <c r="AQ10" i="4"/>
  <c r="BW16" i="4"/>
  <c r="AQ153" i="4"/>
  <c r="AQ137" i="4"/>
  <c r="AQ111" i="4"/>
  <c r="AQ101" i="4"/>
  <c r="AQ79" i="4"/>
  <c r="AQ69" i="4"/>
  <c r="AQ47" i="4"/>
  <c r="AQ37" i="4"/>
  <c r="AQ27" i="4"/>
  <c r="AQ99" i="4"/>
  <c r="AQ67" i="4"/>
  <c r="AQ35" i="4"/>
  <c r="AQ17" i="4"/>
  <c r="AQ9" i="4"/>
  <c r="AQ149" i="4"/>
  <c r="AQ119" i="4"/>
  <c r="AQ87" i="4"/>
  <c r="AQ55" i="4"/>
  <c r="AQ25" i="4"/>
  <c r="AQ115" i="4"/>
  <c r="AQ83" i="4"/>
  <c r="AQ41" i="4"/>
  <c r="AQ157" i="4"/>
  <c r="AQ61" i="4"/>
  <c r="AQ123" i="4"/>
  <c r="AQ81" i="4"/>
  <c r="AQ49" i="4"/>
  <c r="AQ19" i="4"/>
  <c r="AQ121" i="4"/>
  <c r="AQ89" i="4"/>
  <c r="AQ57" i="4"/>
  <c r="AQ133" i="4"/>
  <c r="AQ109" i="4"/>
  <c r="AQ77" i="4"/>
  <c r="AQ45" i="4"/>
  <c r="AQ105" i="4"/>
  <c r="AQ13" i="4"/>
  <c r="AQ141" i="4"/>
  <c r="AQ93" i="4"/>
  <c r="AQ39" i="4"/>
  <c r="AQ113" i="4"/>
  <c r="AQ107" i="4"/>
  <c r="AQ97" i="4"/>
  <c r="AQ75" i="4"/>
  <c r="AQ65" i="4"/>
  <c r="AQ43" i="4"/>
  <c r="AQ33" i="4"/>
  <c r="AQ23" i="4"/>
  <c r="AQ15" i="4"/>
  <c r="AQ7" i="4"/>
  <c r="AQ145" i="4"/>
  <c r="AQ129" i="4"/>
  <c r="AQ117" i="4"/>
  <c r="AQ95" i="4"/>
  <c r="AQ85" i="4"/>
  <c r="AQ63" i="4"/>
  <c r="AQ53" i="4"/>
  <c r="AQ31" i="4"/>
  <c r="AQ73" i="4"/>
  <c r="AQ51" i="4"/>
  <c r="AQ21" i="4"/>
  <c r="AQ125" i="4"/>
  <c r="AQ103" i="4"/>
  <c r="AQ71" i="4"/>
  <c r="AQ29" i="4"/>
  <c r="AQ91" i="4"/>
  <c r="AQ59" i="4"/>
  <c r="AQ11" i="4"/>
  <c r="U151" i="4"/>
  <c r="AR151" i="4" s="1"/>
  <c r="U135" i="4"/>
  <c r="AR135" i="4" s="1"/>
  <c r="U119" i="4"/>
  <c r="AR119" i="4" s="1"/>
  <c r="U114" i="4"/>
  <c r="AR114" i="4" s="1"/>
  <c r="U93" i="4"/>
  <c r="AR93" i="4" s="1"/>
  <c r="U85" i="4"/>
  <c r="AR85" i="4" s="1"/>
  <c r="U156" i="4"/>
  <c r="AR156" i="4" s="1"/>
  <c r="U148" i="4"/>
  <c r="AR148" i="4" s="1"/>
  <c r="U140" i="4"/>
  <c r="AR140" i="4" s="1"/>
  <c r="U132" i="4"/>
  <c r="AR132" i="4" s="1"/>
  <c r="U124" i="4"/>
  <c r="AR124" i="4" s="1"/>
  <c r="U116" i="4"/>
  <c r="AR116" i="4" s="1"/>
  <c r="U111" i="4"/>
  <c r="AR111" i="4" s="1"/>
  <c r="U98" i="4"/>
  <c r="AR98" i="4" s="1"/>
  <c r="U90" i="4"/>
  <c r="AR90" i="4" s="1"/>
  <c r="U82" i="4"/>
  <c r="AR82" i="4" s="1"/>
  <c r="U69" i="4"/>
  <c r="AR69" i="4" s="1"/>
  <c r="U61" i="4"/>
  <c r="AR61" i="4" s="1"/>
  <c r="U53" i="4"/>
  <c r="AR53" i="4" s="1"/>
  <c r="U45" i="4"/>
  <c r="AR45" i="4" s="1"/>
  <c r="U37" i="4"/>
  <c r="AR37" i="4" s="1"/>
  <c r="U32" i="4"/>
  <c r="AR32" i="4" s="1"/>
  <c r="U24" i="4"/>
  <c r="AR24" i="4" s="1"/>
  <c r="U16" i="4"/>
  <c r="AR16" i="4" s="1"/>
  <c r="U11" i="4"/>
  <c r="AR11" i="4" s="1"/>
  <c r="U123" i="4"/>
  <c r="AR123" i="4" s="1"/>
  <c r="U97" i="4"/>
  <c r="AR97" i="4" s="1"/>
  <c r="U52" i="4"/>
  <c r="AR52" i="4" s="1"/>
  <c r="U23" i="4"/>
  <c r="AR23" i="4" s="1"/>
  <c r="U15" i="4"/>
  <c r="AR15" i="4" s="1"/>
  <c r="U153" i="4"/>
  <c r="AR153" i="4" s="1"/>
  <c r="U145" i="4"/>
  <c r="AR145" i="4" s="1"/>
  <c r="U137" i="4"/>
  <c r="AR137" i="4" s="1"/>
  <c r="U129" i="4"/>
  <c r="AR129" i="4" s="1"/>
  <c r="U121" i="4"/>
  <c r="AR121" i="4" s="1"/>
  <c r="U108" i="4"/>
  <c r="AR108" i="4" s="1"/>
  <c r="U103" i="4"/>
  <c r="AR103" i="4" s="1"/>
  <c r="U95" i="4"/>
  <c r="AR95" i="4" s="1"/>
  <c r="U87" i="4"/>
  <c r="AR87" i="4" s="1"/>
  <c r="U79" i="4"/>
  <c r="AR79" i="4" s="1"/>
  <c r="U74" i="4"/>
  <c r="AR74" i="4" s="1"/>
  <c r="U66" i="4"/>
  <c r="AR66" i="4" s="1"/>
  <c r="U58" i="4"/>
  <c r="AR58" i="4" s="1"/>
  <c r="U50" i="4"/>
  <c r="AR50" i="4" s="1"/>
  <c r="U42" i="4"/>
  <c r="AR42" i="4" s="1"/>
  <c r="U29" i="4"/>
  <c r="AR29" i="4" s="1"/>
  <c r="U21" i="4"/>
  <c r="AR21" i="4" s="1"/>
  <c r="U8" i="4"/>
  <c r="AR8" i="4" s="1"/>
  <c r="U147" i="4"/>
  <c r="AR147" i="4" s="1"/>
  <c r="U131" i="4"/>
  <c r="AR131" i="4" s="1"/>
  <c r="U110" i="4"/>
  <c r="AR110" i="4" s="1"/>
  <c r="U89" i="4"/>
  <c r="AR89" i="4" s="1"/>
  <c r="U60" i="4"/>
  <c r="AR60" i="4" s="1"/>
  <c r="U31" i="4"/>
  <c r="AR31" i="4" s="1"/>
  <c r="U10" i="4"/>
  <c r="AR10" i="4" s="1"/>
  <c r="U150" i="4"/>
  <c r="AR150" i="4" s="1"/>
  <c r="U142" i="4"/>
  <c r="AR142" i="4" s="1"/>
  <c r="U134" i="4"/>
  <c r="AR134" i="4" s="1"/>
  <c r="U126" i="4"/>
  <c r="AR126" i="4" s="1"/>
  <c r="U118" i="4"/>
  <c r="AR118" i="4" s="1"/>
  <c r="U113" i="4"/>
  <c r="AR113" i="4" s="1"/>
  <c r="U105" i="4"/>
  <c r="AR105" i="4" s="1"/>
  <c r="U100" i="4"/>
  <c r="AR100" i="4" s="1"/>
  <c r="U92" i="4"/>
  <c r="AR92" i="4" s="1"/>
  <c r="U84" i="4"/>
  <c r="AR84" i="4" s="1"/>
  <c r="U76" i="4"/>
  <c r="AR76" i="4" s="1"/>
  <c r="U71" i="4"/>
  <c r="AR71" i="4" s="1"/>
  <c r="U63" i="4"/>
  <c r="AR63" i="4" s="1"/>
  <c r="U55" i="4"/>
  <c r="AR55" i="4" s="1"/>
  <c r="U47" i="4"/>
  <c r="AR47" i="4" s="1"/>
  <c r="U39" i="4"/>
  <c r="AR39" i="4" s="1"/>
  <c r="U34" i="4"/>
  <c r="AR34" i="4" s="1"/>
  <c r="U26" i="4"/>
  <c r="AR26" i="4" s="1"/>
  <c r="U18" i="4"/>
  <c r="AR18" i="4" s="1"/>
  <c r="U13" i="4"/>
  <c r="AR13" i="4" s="1"/>
  <c r="U139" i="4"/>
  <c r="AR139" i="4" s="1"/>
  <c r="U115" i="4"/>
  <c r="AR115" i="4" s="1"/>
  <c r="U81" i="4"/>
  <c r="AR81" i="4" s="1"/>
  <c r="U68" i="4"/>
  <c r="AR68" i="4" s="1"/>
  <c r="U36" i="4"/>
  <c r="AR36" i="4" s="1"/>
  <c r="U155" i="4"/>
  <c r="AR155" i="4" s="1"/>
  <c r="U152" i="4"/>
  <c r="AR152" i="4" s="1"/>
  <c r="U144" i="4"/>
  <c r="AR144" i="4" s="1"/>
  <c r="U136" i="4"/>
  <c r="AR136" i="4" s="1"/>
  <c r="U128" i="4"/>
  <c r="AR128" i="4" s="1"/>
  <c r="U120" i="4"/>
  <c r="AR120" i="4" s="1"/>
  <c r="U107" i="4"/>
  <c r="AR107" i="4" s="1"/>
  <c r="U102" i="4"/>
  <c r="AR102" i="4" s="1"/>
  <c r="U94" i="4"/>
  <c r="AR94" i="4" s="1"/>
  <c r="U86" i="4"/>
  <c r="AR86" i="4" s="1"/>
  <c r="U78" i="4"/>
  <c r="AR78" i="4" s="1"/>
  <c r="U73" i="4"/>
  <c r="AR73" i="4" s="1"/>
  <c r="U65" i="4"/>
  <c r="AR65" i="4" s="1"/>
  <c r="U57" i="4"/>
  <c r="AR57" i="4" s="1"/>
  <c r="U157" i="4"/>
  <c r="AR157" i="4" s="1"/>
  <c r="U149" i="4"/>
  <c r="AR149" i="4" s="1"/>
  <c r="U141" i="4"/>
  <c r="AR141" i="4" s="1"/>
  <c r="U133" i="4"/>
  <c r="AR133" i="4" s="1"/>
  <c r="U125" i="4"/>
  <c r="AR125" i="4" s="1"/>
  <c r="U117" i="4"/>
  <c r="AR117" i="4" s="1"/>
  <c r="U154" i="4"/>
  <c r="AR154" i="4" s="1"/>
  <c r="U146" i="4"/>
  <c r="AR146" i="4" s="1"/>
  <c r="U138" i="4"/>
  <c r="AR138" i="4" s="1"/>
  <c r="U130" i="4"/>
  <c r="AR130" i="4" s="1"/>
  <c r="U122" i="4"/>
  <c r="AR122" i="4" s="1"/>
  <c r="U109" i="4"/>
  <c r="AR109" i="4" s="1"/>
  <c r="U104" i="4"/>
  <c r="AR104" i="4" s="1"/>
  <c r="U96" i="4"/>
  <c r="AR96" i="4" s="1"/>
  <c r="U88" i="4"/>
  <c r="AR88" i="4" s="1"/>
  <c r="U80" i="4"/>
  <c r="AR80" i="4" s="1"/>
  <c r="U67" i="4"/>
  <c r="AR67" i="4" s="1"/>
  <c r="U59" i="4"/>
  <c r="AR59" i="4" s="1"/>
  <c r="U51" i="4"/>
  <c r="AR51" i="4" s="1"/>
  <c r="U43" i="4"/>
  <c r="AR43" i="4" s="1"/>
  <c r="U35" i="4"/>
  <c r="AR35" i="4" s="1"/>
  <c r="U30" i="4"/>
  <c r="AR30" i="4" s="1"/>
  <c r="U22" i="4"/>
  <c r="AR22" i="4" s="1"/>
  <c r="U9" i="4"/>
  <c r="AR9" i="4" s="1"/>
  <c r="U143" i="4"/>
  <c r="AR143" i="4" s="1"/>
  <c r="U127" i="4"/>
  <c r="AR127" i="4" s="1"/>
  <c r="U106" i="4"/>
  <c r="AR106" i="4" s="1"/>
  <c r="U101" i="4"/>
  <c r="AR101" i="4" s="1"/>
  <c r="U77" i="4"/>
  <c r="AR77" i="4" s="1"/>
  <c r="U83" i="4"/>
  <c r="AR83" i="4" s="1"/>
  <c r="U62" i="4"/>
  <c r="AR62" i="4" s="1"/>
  <c r="U48" i="4"/>
  <c r="AR48" i="4" s="1"/>
  <c r="U7" i="4"/>
  <c r="AR7" i="4" s="1"/>
  <c r="U64" i="4"/>
  <c r="AR64" i="4" s="1"/>
  <c r="U25" i="4"/>
  <c r="AR25" i="4" s="1"/>
  <c r="U75" i="4"/>
  <c r="AR75" i="4" s="1"/>
  <c r="U72" i="4"/>
  <c r="AR72" i="4" s="1"/>
  <c r="U41" i="4"/>
  <c r="AR41" i="4" s="1"/>
  <c r="U38" i="4"/>
  <c r="AR38" i="4" s="1"/>
  <c r="U17" i="4"/>
  <c r="AR17" i="4" s="1"/>
  <c r="U112" i="4"/>
  <c r="AR112" i="4" s="1"/>
  <c r="U91" i="4"/>
  <c r="AR91" i="4" s="1"/>
  <c r="U54" i="4"/>
  <c r="AR54" i="4" s="1"/>
  <c r="U44" i="4"/>
  <c r="AR44" i="4" s="1"/>
  <c r="U27" i="4"/>
  <c r="AR27" i="4" s="1"/>
  <c r="U20" i="4"/>
  <c r="AR20" i="4" s="1"/>
  <c r="U14" i="4"/>
  <c r="AR14" i="4" s="1"/>
  <c r="U12" i="4"/>
  <c r="AR12" i="4" s="1"/>
  <c r="U40" i="4"/>
  <c r="AR40" i="4" s="1"/>
  <c r="U33" i="4"/>
  <c r="AR33" i="4" s="1"/>
  <c r="U56" i="4"/>
  <c r="AR56" i="4" s="1"/>
  <c r="U46" i="4"/>
  <c r="AR46" i="4" s="1"/>
  <c r="U70" i="4"/>
  <c r="AR70" i="4" s="1"/>
  <c r="U28" i="4"/>
  <c r="AR28" i="4" s="1"/>
  <c r="U49" i="4"/>
  <c r="AR49" i="4" s="1"/>
  <c r="U19" i="4"/>
  <c r="AR19" i="4" s="1"/>
  <c r="U99" i="4"/>
  <c r="AR99" i="4" s="1"/>
  <c r="H52" i="1"/>
  <c r="B127" i="2" s="1"/>
  <c r="B145" i="2"/>
  <c r="B150" i="2" s="1"/>
  <c r="B149" i="2"/>
  <c r="B87" i="2"/>
  <c r="B88" i="2" s="1"/>
  <c r="B155" i="2"/>
  <c r="K66" i="2"/>
  <c r="J65" i="2"/>
  <c r="K8" i="2"/>
  <c r="B67" i="2"/>
  <c r="Q46" i="1"/>
  <c r="B137" i="2"/>
  <c r="P7" i="5" s="1"/>
  <c r="AH8" i="5"/>
  <c r="B153" i="2"/>
  <c r="B152" i="2"/>
  <c r="B143" i="2"/>
  <c r="T7" i="5"/>
  <c r="AI7" i="5"/>
  <c r="AP7" i="5"/>
  <c r="AH7" i="5"/>
  <c r="B139" i="2"/>
  <c r="B3" i="8"/>
  <c r="B12" i="5"/>
  <c r="B5" i="8"/>
  <c r="B11" i="5"/>
  <c r="B4" i="8"/>
  <c r="B207" i="2"/>
  <c r="B208" i="2" s="1"/>
  <c r="M8" i="4"/>
  <c r="BW9" i="4"/>
  <c r="BW17" i="4"/>
  <c r="BW25" i="4"/>
  <c r="BW33" i="4"/>
  <c r="BW41" i="4"/>
  <c r="BW49" i="4"/>
  <c r="BW57" i="4"/>
  <c r="BW65" i="4"/>
  <c r="BW73" i="4"/>
  <c r="BW81" i="4"/>
  <c r="BW89" i="4"/>
  <c r="BW97" i="4"/>
  <c r="BW105" i="4"/>
  <c r="BW113" i="4"/>
  <c r="BW121" i="4"/>
  <c r="BW129" i="4"/>
  <c r="BW137" i="4"/>
  <c r="BW145" i="4"/>
  <c r="BW153" i="4"/>
  <c r="BW10" i="4"/>
  <c r="BW18" i="4"/>
  <c r="BW26" i="4"/>
  <c r="BW34" i="4"/>
  <c r="BW42" i="4"/>
  <c r="BW50" i="4"/>
  <c r="BW58" i="4"/>
  <c r="BW66" i="4"/>
  <c r="BW74" i="4"/>
  <c r="BW82" i="4"/>
  <c r="BW90" i="4"/>
  <c r="BW98" i="4"/>
  <c r="BW106" i="4"/>
  <c r="BW114" i="4"/>
  <c r="BW122" i="4"/>
  <c r="BW130" i="4"/>
  <c r="BW138" i="4"/>
  <c r="BW146" i="4"/>
  <c r="BW154" i="4"/>
  <c r="BW31" i="4"/>
  <c r="BW55" i="4"/>
  <c r="BW71" i="4"/>
  <c r="BW87" i="4"/>
  <c r="BW111" i="4"/>
  <c r="BW127" i="4"/>
  <c r="BW143" i="4"/>
  <c r="BW24" i="4"/>
  <c r="BW48" i="4"/>
  <c r="BW72" i="4"/>
  <c r="BW80" i="4"/>
  <c r="BW104" i="4"/>
  <c r="BW120" i="4"/>
  <c r="BW136" i="4"/>
  <c r="BW11" i="4"/>
  <c r="BW19" i="4"/>
  <c r="BW27" i="4"/>
  <c r="BW35" i="4"/>
  <c r="BW43" i="4"/>
  <c r="BW51" i="4"/>
  <c r="BW59" i="4"/>
  <c r="BW67" i="4"/>
  <c r="BW75" i="4"/>
  <c r="BW83" i="4"/>
  <c r="BW91" i="4"/>
  <c r="BW99" i="4"/>
  <c r="BW107" i="4"/>
  <c r="BW115" i="4"/>
  <c r="BW123" i="4"/>
  <c r="BW131" i="4"/>
  <c r="BW139" i="4"/>
  <c r="BW147" i="4"/>
  <c r="BW155" i="4"/>
  <c r="BW12" i="4"/>
  <c r="BW20" i="4"/>
  <c r="BW28" i="4"/>
  <c r="BW36" i="4"/>
  <c r="BW44" i="4"/>
  <c r="BW52" i="4"/>
  <c r="BW60" i="4"/>
  <c r="BW68" i="4"/>
  <c r="BW76" i="4"/>
  <c r="BW84" i="4"/>
  <c r="BW92" i="4"/>
  <c r="BW100" i="4"/>
  <c r="BW108" i="4"/>
  <c r="BW116" i="4"/>
  <c r="BW124" i="4"/>
  <c r="BW132" i="4"/>
  <c r="BW140" i="4"/>
  <c r="BW148" i="4"/>
  <c r="BW156" i="4"/>
  <c r="BW15" i="4"/>
  <c r="BW47" i="4"/>
  <c r="BW79" i="4"/>
  <c r="BW103" i="4"/>
  <c r="BW135" i="4"/>
  <c r="BW8" i="4"/>
  <c r="BW40" i="4"/>
  <c r="BW64" i="4"/>
  <c r="BW88" i="4"/>
  <c r="BW112" i="4"/>
  <c r="BW144" i="4"/>
  <c r="BW13" i="4"/>
  <c r="BW21" i="4"/>
  <c r="BW29" i="4"/>
  <c r="BW37" i="4"/>
  <c r="BW45" i="4"/>
  <c r="BW53" i="4"/>
  <c r="BW61" i="4"/>
  <c r="BW69" i="4"/>
  <c r="BW77" i="4"/>
  <c r="BW85" i="4"/>
  <c r="BW93" i="4"/>
  <c r="BW101" i="4"/>
  <c r="BW109" i="4"/>
  <c r="BW117" i="4"/>
  <c r="BW125" i="4"/>
  <c r="BW133" i="4"/>
  <c r="BW141" i="4"/>
  <c r="BW149" i="4"/>
  <c r="BW157" i="4"/>
  <c r="BW14" i="4"/>
  <c r="BW22" i="4"/>
  <c r="BW30" i="4"/>
  <c r="BW38" i="4"/>
  <c r="BW46" i="4"/>
  <c r="BW54" i="4"/>
  <c r="BW62" i="4"/>
  <c r="BW70" i="4"/>
  <c r="BW78" i="4"/>
  <c r="BW86" i="4"/>
  <c r="BW94" i="4"/>
  <c r="BW102" i="4"/>
  <c r="BW110" i="4"/>
  <c r="BW118" i="4"/>
  <c r="BW126" i="4"/>
  <c r="BW134" i="4"/>
  <c r="BW142" i="4"/>
  <c r="BW150" i="4"/>
  <c r="BW7" i="4"/>
  <c r="BW23" i="4"/>
  <c r="BW39" i="4"/>
  <c r="BW63" i="4"/>
  <c r="BW95" i="4"/>
  <c r="BW119" i="4"/>
  <c r="BW151" i="4"/>
  <c r="BW32" i="4"/>
  <c r="BW56" i="4"/>
  <c r="BW96" i="4"/>
  <c r="BW128" i="4"/>
  <c r="BW152" i="4"/>
  <c r="AY15" i="4"/>
  <c r="AY17" i="4"/>
  <c r="AY19" i="4"/>
  <c r="AY21" i="4"/>
  <c r="AY23" i="4"/>
  <c r="AY25" i="4"/>
  <c r="AY27" i="4"/>
  <c r="AY29" i="4"/>
  <c r="AY31" i="4"/>
  <c r="AY33" i="4"/>
  <c r="AY35" i="4"/>
  <c r="AY37" i="4"/>
  <c r="AY39" i="4"/>
  <c r="AY41" i="4"/>
  <c r="AY20" i="4"/>
  <c r="AY28" i="4"/>
  <c r="AY36" i="4"/>
  <c r="AY16" i="4"/>
  <c r="AY30" i="4"/>
  <c r="AY34" i="4"/>
  <c r="AY44" i="4"/>
  <c r="AY49" i="4"/>
  <c r="AY52" i="4"/>
  <c r="AY57" i="4"/>
  <c r="AY60" i="4"/>
  <c r="AY65" i="4"/>
  <c r="AY68" i="4"/>
  <c r="AY73" i="4"/>
  <c r="AY76" i="4"/>
  <c r="AY81" i="4"/>
  <c r="AY84" i="4"/>
  <c r="AY89" i="4"/>
  <c r="AY92" i="4"/>
  <c r="AY97" i="4"/>
  <c r="AY100" i="4"/>
  <c r="AY105" i="4"/>
  <c r="AY108" i="4"/>
  <c r="AY113" i="4"/>
  <c r="AY116" i="4"/>
  <c r="AY121" i="4"/>
  <c r="AY124" i="4"/>
  <c r="AY129" i="4"/>
  <c r="AY132" i="4"/>
  <c r="AY137" i="4"/>
  <c r="AY140" i="4"/>
  <c r="AY145" i="4"/>
  <c r="AY148" i="4"/>
  <c r="AY153" i="4"/>
  <c r="AY156" i="4"/>
  <c r="AY11" i="4"/>
  <c r="AY14" i="4"/>
  <c r="AY24" i="4"/>
  <c r="AY38" i="4"/>
  <c r="AY42" i="4"/>
  <c r="AY47" i="4"/>
  <c r="AY50" i="4"/>
  <c r="AY55" i="4"/>
  <c r="AY58" i="4"/>
  <c r="AY63" i="4"/>
  <c r="AY66" i="4"/>
  <c r="AY71" i="4"/>
  <c r="AY74" i="4"/>
  <c r="AY79" i="4"/>
  <c r="AY82" i="4"/>
  <c r="AY87" i="4"/>
  <c r="AY90" i="4"/>
  <c r="AY95" i="4"/>
  <c r="AY98" i="4"/>
  <c r="AY103" i="4"/>
  <c r="AY106" i="4"/>
  <c r="AY111" i="4"/>
  <c r="AY114" i="4"/>
  <c r="AY119" i="4"/>
  <c r="AY122" i="4"/>
  <c r="AY127" i="4"/>
  <c r="AY130" i="4"/>
  <c r="AY135" i="4"/>
  <c r="AY138" i="4"/>
  <c r="AY143" i="4"/>
  <c r="AY146" i="4"/>
  <c r="AY151" i="4"/>
  <c r="AY154" i="4"/>
  <c r="AY9" i="4"/>
  <c r="AY12" i="4"/>
  <c r="AY18" i="4"/>
  <c r="AY32" i="4"/>
  <c r="AY45" i="4"/>
  <c r="AY48" i="4"/>
  <c r="AY53" i="4"/>
  <c r="AY56" i="4"/>
  <c r="AY61" i="4"/>
  <c r="AY64" i="4"/>
  <c r="AY69" i="4"/>
  <c r="AY72" i="4"/>
  <c r="AY77" i="4"/>
  <c r="AY80" i="4"/>
  <c r="AY85" i="4"/>
  <c r="AY88" i="4"/>
  <c r="AY93" i="4"/>
  <c r="AY96" i="4"/>
  <c r="AY101" i="4"/>
  <c r="AY104" i="4"/>
  <c r="AY109" i="4"/>
  <c r="AY112" i="4"/>
  <c r="AY117" i="4"/>
  <c r="AY120" i="4"/>
  <c r="AY125" i="4"/>
  <c r="AY128" i="4"/>
  <c r="AY133" i="4"/>
  <c r="AY136" i="4"/>
  <c r="AY141" i="4"/>
  <c r="AY144" i="4"/>
  <c r="AY149" i="4"/>
  <c r="AY152" i="4"/>
  <c r="AY157" i="4"/>
  <c r="AY10" i="4"/>
  <c r="AY22" i="4"/>
  <c r="AY26" i="4"/>
  <c r="AY40" i="4"/>
  <c r="AY43" i="4"/>
  <c r="AY46" i="4"/>
  <c r="AY51" i="4"/>
  <c r="AY54" i="4"/>
  <c r="AY59" i="4"/>
  <c r="AY62" i="4"/>
  <c r="AY67" i="4"/>
  <c r="AY70" i="4"/>
  <c r="AY75" i="4"/>
  <c r="AY78" i="4"/>
  <c r="AY83" i="4"/>
  <c r="AY86" i="4"/>
  <c r="AY91" i="4"/>
  <c r="AY94" i="4"/>
  <c r="AY99" i="4"/>
  <c r="AY102" i="4"/>
  <c r="AY107" i="4"/>
  <c r="AY110" i="4"/>
  <c r="AY115" i="4"/>
  <c r="AY118" i="4"/>
  <c r="AY123" i="4"/>
  <c r="AY126" i="4"/>
  <c r="AY131" i="4"/>
  <c r="AY134" i="4"/>
  <c r="AY139" i="4"/>
  <c r="AY142" i="4"/>
  <c r="AY147" i="4"/>
  <c r="AY150" i="4"/>
  <c r="AY155" i="4"/>
  <c r="AY8" i="4"/>
  <c r="AY13" i="4"/>
  <c r="B23" i="5"/>
  <c r="O15" i="4"/>
  <c r="B109" i="2"/>
  <c r="H40" i="1" s="1"/>
  <c r="AY7" i="4"/>
  <c r="B111" i="2"/>
  <c r="H42" i="1" s="1"/>
  <c r="O12" i="4"/>
  <c r="AN8" i="5"/>
  <c r="AK8" i="5"/>
  <c r="AM13" i="5"/>
  <c r="T13" i="5"/>
  <c r="AJ13" i="5"/>
  <c r="T8" i="5"/>
  <c r="U8" i="5" s="1"/>
  <c r="O10" i="5"/>
  <c r="AG10" i="5" s="1"/>
  <c r="AP8" i="5"/>
  <c r="AR8" i="5" s="1"/>
  <c r="AM12" i="5"/>
  <c r="T12" i="5"/>
  <c r="AJ12" i="5"/>
  <c r="B47" i="5"/>
  <c r="D47" i="5" s="1"/>
  <c r="B147" i="2"/>
  <c r="B131" i="2"/>
  <c r="H56" i="1" s="1"/>
  <c r="B133" i="2"/>
  <c r="B10" i="5"/>
  <c r="AL19" i="5"/>
  <c r="AK19" i="5"/>
  <c r="AK474" i="5"/>
  <c r="AL474" i="5"/>
  <c r="AK471" i="5"/>
  <c r="AL471" i="5"/>
  <c r="AL546" i="5"/>
  <c r="AK546" i="5"/>
  <c r="AK468" i="5"/>
  <c r="AL468" i="5"/>
  <c r="AL524" i="5"/>
  <c r="AK524" i="5"/>
  <c r="AL544" i="5"/>
  <c r="AK544" i="5"/>
  <c r="AL526" i="5"/>
  <c r="AK526" i="5"/>
  <c r="AK472" i="5"/>
  <c r="AL472" i="5"/>
  <c r="AK437" i="5"/>
  <c r="AL437" i="5"/>
  <c r="AK375" i="5"/>
  <c r="AL375" i="5"/>
  <c r="AK513" i="5"/>
  <c r="AL513" i="5"/>
  <c r="AL493" i="5"/>
  <c r="AK493" i="5"/>
  <c r="AK450" i="5"/>
  <c r="AL450" i="5"/>
  <c r="AL438" i="5"/>
  <c r="AK438" i="5"/>
  <c r="AK511" i="5"/>
  <c r="AL511" i="5"/>
  <c r="AL470" i="5"/>
  <c r="AK470" i="5"/>
  <c r="AK453" i="5"/>
  <c r="AL453" i="5"/>
  <c r="AK407" i="5"/>
  <c r="AL407" i="5"/>
  <c r="AL372" i="5"/>
  <c r="AK372" i="5"/>
  <c r="AK323" i="5"/>
  <c r="AL323" i="5"/>
  <c r="AK388" i="5"/>
  <c r="AL388" i="5"/>
  <c r="AK348" i="5"/>
  <c r="AL348" i="5"/>
  <c r="AK434" i="5"/>
  <c r="AL434" i="5"/>
  <c r="AK389" i="5"/>
  <c r="AL389" i="5"/>
  <c r="AK363" i="5"/>
  <c r="AL363" i="5"/>
  <c r="AL337" i="5"/>
  <c r="AK337" i="5"/>
  <c r="AK334" i="5"/>
  <c r="AL334" i="5"/>
  <c r="AL304" i="5"/>
  <c r="AK304" i="5"/>
  <c r="AK276" i="5"/>
  <c r="AL276" i="5"/>
  <c r="AK245" i="5"/>
  <c r="AL245" i="5"/>
  <c r="AL315" i="5"/>
  <c r="AK315" i="5"/>
  <c r="AK268" i="5"/>
  <c r="AL268" i="5"/>
  <c r="AK248" i="5"/>
  <c r="AL248" i="5"/>
  <c r="AK321" i="5"/>
  <c r="AL321" i="5"/>
  <c r="AL262" i="5"/>
  <c r="AK262" i="5"/>
  <c r="AK208" i="5"/>
  <c r="AL208" i="5"/>
  <c r="AK220" i="5"/>
  <c r="AL220" i="5"/>
  <c r="AK192" i="5"/>
  <c r="AL192" i="5"/>
  <c r="AK202" i="5"/>
  <c r="AL202" i="5"/>
  <c r="AK235" i="5"/>
  <c r="AL235" i="5"/>
  <c r="AK204" i="5"/>
  <c r="AL204" i="5"/>
  <c r="AK196" i="5"/>
  <c r="AL196" i="5"/>
  <c r="AL182" i="5"/>
  <c r="AK182" i="5"/>
  <c r="AK185" i="5"/>
  <c r="AL185" i="5"/>
  <c r="AK151" i="5"/>
  <c r="AL151" i="5"/>
  <c r="AK140" i="5"/>
  <c r="AL140" i="5"/>
  <c r="AK80" i="5"/>
  <c r="AL80" i="5"/>
  <c r="AK134" i="5"/>
  <c r="AL134" i="5"/>
  <c r="AK161" i="5"/>
  <c r="AL161" i="5"/>
  <c r="AP117" i="5"/>
  <c r="AK117" i="5"/>
  <c r="AL117" i="5"/>
  <c r="AK103" i="5"/>
  <c r="AL103" i="5"/>
  <c r="AK104" i="5"/>
  <c r="AL104" i="5"/>
  <c r="AL91" i="5"/>
  <c r="AK91" i="5"/>
  <c r="AK73" i="5"/>
  <c r="AL73" i="5"/>
  <c r="AK57" i="5"/>
  <c r="AL57" i="5"/>
  <c r="AK53" i="5"/>
  <c r="AL53" i="5"/>
  <c r="AK63" i="5"/>
  <c r="AL63" i="5"/>
  <c r="AK41" i="5"/>
  <c r="AL41" i="5"/>
  <c r="AK23" i="5"/>
  <c r="AL23" i="5"/>
  <c r="AI521" i="5"/>
  <c r="AH521" i="5"/>
  <c r="AP521" i="5"/>
  <c r="AH558" i="5"/>
  <c r="AI558" i="5"/>
  <c r="AP558" i="5"/>
  <c r="AP426" i="5"/>
  <c r="AI426" i="5"/>
  <c r="AH426" i="5"/>
  <c r="AP377" i="5"/>
  <c r="AI377" i="5"/>
  <c r="AH377" i="5"/>
  <c r="AI495" i="5"/>
  <c r="AH495" i="5"/>
  <c r="AP495" i="5"/>
  <c r="AI528" i="5"/>
  <c r="AH528" i="5"/>
  <c r="AI380" i="5"/>
  <c r="AP380" i="5"/>
  <c r="AH380" i="5"/>
  <c r="AH553" i="5"/>
  <c r="AI553" i="5"/>
  <c r="AP553" i="5"/>
  <c r="AI507" i="5"/>
  <c r="AP507" i="5"/>
  <c r="AH507" i="5"/>
  <c r="AI486" i="5"/>
  <c r="AH486" i="5"/>
  <c r="AI474" i="5"/>
  <c r="AH474" i="5"/>
  <c r="AP474" i="5"/>
  <c r="AI459" i="5"/>
  <c r="AH459" i="5"/>
  <c r="AP459" i="5"/>
  <c r="AI439" i="5"/>
  <c r="AH439" i="5"/>
  <c r="AP439" i="5"/>
  <c r="AP337" i="5"/>
  <c r="AI337" i="5"/>
  <c r="AH337" i="5"/>
  <c r="AI516" i="5"/>
  <c r="AH516" i="5"/>
  <c r="AP516" i="5"/>
  <c r="AH496" i="5"/>
  <c r="AP496" i="5"/>
  <c r="AI496" i="5"/>
  <c r="AI460" i="5"/>
  <c r="AP460" i="5"/>
  <c r="AH460" i="5"/>
  <c r="AI447" i="5"/>
  <c r="AH447" i="5"/>
  <c r="AP447" i="5"/>
  <c r="AI370" i="5"/>
  <c r="AP370" i="5"/>
  <c r="AH370" i="5"/>
  <c r="AI530" i="5"/>
  <c r="AH530" i="5"/>
  <c r="AP530" i="5"/>
  <c r="AI510" i="5"/>
  <c r="AP510" i="5"/>
  <c r="AH510" i="5"/>
  <c r="AI494" i="5"/>
  <c r="AP494" i="5"/>
  <c r="AH494" i="5"/>
  <c r="AI487" i="5"/>
  <c r="AH487" i="5"/>
  <c r="AP487" i="5"/>
  <c r="AI451" i="5"/>
  <c r="AP451" i="5"/>
  <c r="AH451" i="5"/>
  <c r="AI438" i="5"/>
  <c r="AH438" i="5"/>
  <c r="AP438" i="5"/>
  <c r="AI412" i="5"/>
  <c r="AH412" i="5"/>
  <c r="AP412" i="5"/>
  <c r="AI346" i="5"/>
  <c r="AP346" i="5"/>
  <c r="AH346" i="5"/>
  <c r="AH275" i="5"/>
  <c r="AI275" i="5"/>
  <c r="AP275" i="5"/>
  <c r="AI417" i="5"/>
  <c r="AP417" i="5"/>
  <c r="AH417" i="5"/>
  <c r="AI402" i="5"/>
  <c r="AH402" i="5"/>
  <c r="AP402" i="5"/>
  <c r="AH375" i="5"/>
  <c r="AP375" i="5"/>
  <c r="AI375" i="5"/>
  <c r="AI360" i="5"/>
  <c r="AH360" i="5"/>
  <c r="AP360" i="5"/>
  <c r="AI347" i="5"/>
  <c r="AP347" i="5"/>
  <c r="AH347" i="5"/>
  <c r="AP410" i="5"/>
  <c r="AI410" i="5"/>
  <c r="AH410" i="5"/>
  <c r="AI396" i="5"/>
  <c r="AP396" i="5"/>
  <c r="AH396" i="5"/>
  <c r="AP386" i="5"/>
  <c r="AI386" i="5"/>
  <c r="AH386" i="5"/>
  <c r="AH368" i="5"/>
  <c r="AP368" i="5"/>
  <c r="AI368" i="5"/>
  <c r="AI340" i="5"/>
  <c r="AH340" i="5"/>
  <c r="AP340" i="5"/>
  <c r="AH321" i="5"/>
  <c r="AP321" i="5"/>
  <c r="AI321" i="5"/>
  <c r="AH262" i="5"/>
  <c r="AI262" i="5"/>
  <c r="AP262" i="5"/>
  <c r="AP436" i="5"/>
  <c r="AI436" i="5"/>
  <c r="AH436" i="5"/>
  <c r="AI421" i="5"/>
  <c r="AH421" i="5"/>
  <c r="AP421" i="5"/>
  <c r="AI403" i="5"/>
  <c r="AH403" i="5"/>
  <c r="AP403" i="5"/>
  <c r="AI397" i="5"/>
  <c r="AH397" i="5"/>
  <c r="AP397" i="5"/>
  <c r="AI378" i="5"/>
  <c r="AH378" i="5"/>
  <c r="AP378" i="5"/>
  <c r="AI341" i="5"/>
  <c r="AP341" i="5"/>
  <c r="AH341" i="5"/>
  <c r="AH284" i="5"/>
  <c r="AP284" i="5"/>
  <c r="AI284" i="5"/>
  <c r="AI356" i="5"/>
  <c r="AH356" i="5"/>
  <c r="AP356" i="5"/>
  <c r="AI345" i="5"/>
  <c r="AH345" i="5"/>
  <c r="AP345" i="5"/>
  <c r="AI336" i="5"/>
  <c r="AH336" i="5"/>
  <c r="AP336" i="5"/>
  <c r="AI313" i="5"/>
  <c r="AH313" i="5"/>
  <c r="AP313" i="5"/>
  <c r="AP296" i="5"/>
  <c r="AI296" i="5"/>
  <c r="AH296" i="5"/>
  <c r="AI281" i="5"/>
  <c r="AH281" i="5"/>
  <c r="AP281" i="5"/>
  <c r="AH261" i="5"/>
  <c r="AI261" i="5"/>
  <c r="AP261" i="5"/>
  <c r="AH237" i="5"/>
  <c r="AI237" i="5"/>
  <c r="AP237" i="5"/>
  <c r="AI328" i="5"/>
  <c r="AP328" i="5"/>
  <c r="AH328" i="5"/>
  <c r="AH316" i="5"/>
  <c r="AI316" i="5"/>
  <c r="AP316" i="5"/>
  <c r="AI299" i="5"/>
  <c r="AP299" i="5"/>
  <c r="AH299" i="5"/>
  <c r="AH286" i="5"/>
  <c r="AP286" i="5"/>
  <c r="AI286" i="5"/>
  <c r="AH276" i="5"/>
  <c r="AI276" i="5"/>
  <c r="AP276" i="5"/>
  <c r="AH250" i="5"/>
  <c r="AI250" i="5"/>
  <c r="AP250" i="5"/>
  <c r="AH210" i="5"/>
  <c r="AI210" i="5"/>
  <c r="AP210" i="5"/>
  <c r="AI324" i="5"/>
  <c r="AP324" i="5"/>
  <c r="AH324" i="5"/>
  <c r="AI314" i="5"/>
  <c r="AH314" i="5"/>
  <c r="AP314" i="5"/>
  <c r="AP301" i="5"/>
  <c r="AI301" i="5"/>
  <c r="AH301" i="5"/>
  <c r="AP283" i="5"/>
  <c r="AH283" i="5"/>
  <c r="AI283" i="5"/>
  <c r="AI273" i="5"/>
  <c r="AH273" i="5"/>
  <c r="AP273" i="5"/>
  <c r="AP257" i="5"/>
  <c r="AH257" i="5"/>
  <c r="AI257" i="5"/>
  <c r="AP251" i="5"/>
  <c r="AH251" i="5"/>
  <c r="AI251" i="5"/>
  <c r="AI240" i="5"/>
  <c r="AH240" i="5"/>
  <c r="AP240" i="5"/>
  <c r="AP233" i="5"/>
  <c r="AH233" i="5"/>
  <c r="AI233" i="5"/>
  <c r="AI221" i="5"/>
  <c r="AH221" i="5"/>
  <c r="AP221" i="5"/>
  <c r="AI195" i="5"/>
  <c r="AH195" i="5"/>
  <c r="AP195" i="5"/>
  <c r="AI159" i="5"/>
  <c r="AH159" i="5"/>
  <c r="AP159" i="5"/>
  <c r="AH229" i="5"/>
  <c r="AI229" i="5"/>
  <c r="AP229" i="5"/>
  <c r="AI211" i="5"/>
  <c r="AH211" i="5"/>
  <c r="AP211" i="5"/>
  <c r="AH164" i="5"/>
  <c r="AI164" i="5"/>
  <c r="AP164" i="5"/>
  <c r="AH239" i="5"/>
  <c r="AI239" i="5"/>
  <c r="AP239" i="5"/>
  <c r="AH218" i="5"/>
  <c r="AI218" i="5"/>
  <c r="AP218" i="5"/>
  <c r="AH176" i="5"/>
  <c r="AI176" i="5"/>
  <c r="AP176" i="5"/>
  <c r="AH199" i="5"/>
  <c r="AI199" i="5"/>
  <c r="AP199" i="5"/>
  <c r="AH190" i="5"/>
  <c r="AI190" i="5"/>
  <c r="AP190" i="5"/>
  <c r="AI175" i="5"/>
  <c r="AH175" i="5"/>
  <c r="AP175" i="5"/>
  <c r="AH160" i="5"/>
  <c r="AI160" i="5"/>
  <c r="AP160" i="5"/>
  <c r="AH133" i="5"/>
  <c r="AP133" i="5"/>
  <c r="AI133" i="5"/>
  <c r="AI182" i="5"/>
  <c r="AH182" i="5"/>
  <c r="AP182" i="5"/>
  <c r="AI165" i="5"/>
  <c r="AH165" i="5"/>
  <c r="AP165" i="5"/>
  <c r="AH131" i="5"/>
  <c r="AI131" i="5"/>
  <c r="AP131" i="5"/>
  <c r="AI187" i="5"/>
  <c r="AH187" i="5"/>
  <c r="AP187" i="5"/>
  <c r="AH177" i="5"/>
  <c r="AI177" i="5"/>
  <c r="AP177" i="5"/>
  <c r="AI153" i="5"/>
  <c r="AH153" i="5"/>
  <c r="AP153" i="5"/>
  <c r="AH135" i="5"/>
  <c r="AI135" i="5"/>
  <c r="AP135" i="5"/>
  <c r="AH110" i="5"/>
  <c r="AI110" i="5"/>
  <c r="AP110" i="5"/>
  <c r="AH139" i="5"/>
  <c r="AI139" i="5"/>
  <c r="AP139" i="5"/>
  <c r="AH130" i="5"/>
  <c r="AI130" i="5"/>
  <c r="AH118" i="5"/>
  <c r="AI118" i="5"/>
  <c r="AP118" i="5"/>
  <c r="AH92" i="5"/>
  <c r="AI92" i="5"/>
  <c r="AP92" i="5"/>
  <c r="AH142" i="5"/>
  <c r="AP142" i="5"/>
  <c r="AI142" i="5"/>
  <c r="AI89" i="5"/>
  <c r="AH89" i="5"/>
  <c r="AP89" i="5"/>
  <c r="AI141" i="5"/>
  <c r="AH141" i="5"/>
  <c r="AP141" i="5"/>
  <c r="AH121" i="5"/>
  <c r="AI121" i="5"/>
  <c r="AP121" i="5"/>
  <c r="AH100" i="5"/>
  <c r="AI100" i="5"/>
  <c r="AP100" i="5"/>
  <c r="AI91" i="5"/>
  <c r="AH91" i="5"/>
  <c r="AP91" i="5"/>
  <c r="AI79" i="5"/>
  <c r="AH79" i="5"/>
  <c r="AP79" i="5"/>
  <c r="AP103" i="5"/>
  <c r="AH103" i="5"/>
  <c r="AI103" i="5"/>
  <c r="AI96" i="5"/>
  <c r="AH96" i="5"/>
  <c r="AP96" i="5"/>
  <c r="AI93" i="5"/>
  <c r="AH93" i="5"/>
  <c r="AP93" i="5"/>
  <c r="AH78" i="5"/>
  <c r="AI78" i="5"/>
  <c r="AP78" i="5"/>
  <c r="AI55" i="5"/>
  <c r="AH55" i="5"/>
  <c r="AP55" i="5"/>
  <c r="AH69" i="5"/>
  <c r="AI69" i="5"/>
  <c r="AP69" i="5"/>
  <c r="AI66" i="5"/>
  <c r="AH66" i="5"/>
  <c r="AP66" i="5"/>
  <c r="AP23" i="5"/>
  <c r="AH23" i="5"/>
  <c r="AI23" i="5"/>
  <c r="AH65" i="5"/>
  <c r="AI65" i="5"/>
  <c r="AP65" i="5"/>
  <c r="AI41" i="5"/>
  <c r="AH41" i="5"/>
  <c r="AP41" i="5"/>
  <c r="AH54" i="5"/>
  <c r="AI54" i="5"/>
  <c r="AP54" i="5"/>
  <c r="AI25" i="5"/>
  <c r="AH25" i="5"/>
  <c r="AP25" i="5"/>
  <c r="AI47" i="5"/>
  <c r="AH47" i="5"/>
  <c r="AP47" i="5"/>
  <c r="AH34" i="5"/>
  <c r="AI34" i="5"/>
  <c r="AP34" i="5"/>
  <c r="AH42" i="5"/>
  <c r="AI42" i="5"/>
  <c r="AP42" i="5"/>
  <c r="AI24" i="5"/>
  <c r="AH24" i="5"/>
  <c r="AP24" i="5"/>
  <c r="AH38" i="5"/>
  <c r="AP38" i="5"/>
  <c r="AI38" i="5"/>
  <c r="AP29" i="5"/>
  <c r="AI29" i="5"/>
  <c r="AH29" i="5"/>
  <c r="AO546" i="5"/>
  <c r="AN546" i="5"/>
  <c r="AN450" i="5"/>
  <c r="AO450" i="5"/>
  <c r="AO552" i="5"/>
  <c r="AN552" i="5"/>
  <c r="AO535" i="5"/>
  <c r="AN535" i="5"/>
  <c r="AN491" i="5"/>
  <c r="AO491" i="5"/>
  <c r="AN551" i="5"/>
  <c r="AO551" i="5"/>
  <c r="AN543" i="5"/>
  <c r="AO543" i="5"/>
  <c r="AO445" i="5"/>
  <c r="AN445" i="5"/>
  <c r="AO560" i="5"/>
  <c r="AN560" i="5"/>
  <c r="AN540" i="5"/>
  <c r="AO540" i="5"/>
  <c r="AN527" i="5"/>
  <c r="AO527" i="5"/>
  <c r="AO485" i="5"/>
  <c r="AN485" i="5"/>
  <c r="AO421" i="5"/>
  <c r="AN421" i="5"/>
  <c r="AO556" i="5"/>
  <c r="AN556" i="5"/>
  <c r="AN539" i="5"/>
  <c r="AO539" i="5"/>
  <c r="AN520" i="5"/>
  <c r="AO520" i="5"/>
  <c r="AO508" i="5"/>
  <c r="AN508" i="5"/>
  <c r="AO500" i="5"/>
  <c r="AN500" i="5"/>
  <c r="AO493" i="5"/>
  <c r="AN493" i="5"/>
  <c r="AO487" i="5"/>
  <c r="AN487" i="5"/>
  <c r="AN476" i="5"/>
  <c r="AO476" i="5"/>
  <c r="AO463" i="5"/>
  <c r="AN463" i="5"/>
  <c r="AO451" i="5"/>
  <c r="AN451" i="5"/>
  <c r="AO434" i="5"/>
  <c r="AN434" i="5"/>
  <c r="AO396" i="5"/>
  <c r="AN396" i="5"/>
  <c r="AO347" i="5"/>
  <c r="AN347" i="5"/>
  <c r="AO514" i="5"/>
  <c r="AN514" i="5"/>
  <c r="AN506" i="5"/>
  <c r="AO506" i="5"/>
  <c r="AN477" i="5"/>
  <c r="AO477" i="5"/>
  <c r="AO467" i="5"/>
  <c r="AN467" i="5"/>
  <c r="AN447" i="5"/>
  <c r="AO447" i="5"/>
  <c r="AN427" i="5"/>
  <c r="AO427" i="5"/>
  <c r="AO397" i="5"/>
  <c r="AN397" i="5"/>
  <c r="AN325" i="5"/>
  <c r="AO325" i="5"/>
  <c r="AO526" i="5"/>
  <c r="AN526" i="5"/>
  <c r="AO497" i="5"/>
  <c r="AN497" i="5"/>
  <c r="AO475" i="5"/>
  <c r="AN475" i="5"/>
  <c r="AO459" i="5"/>
  <c r="AN459" i="5"/>
  <c r="AO442" i="5"/>
  <c r="AN442" i="5"/>
  <c r="AN362" i="5"/>
  <c r="AO362" i="5"/>
  <c r="AO415" i="5"/>
  <c r="AN415" i="5"/>
  <c r="AO395" i="5"/>
  <c r="AN395" i="5"/>
  <c r="AO374" i="5"/>
  <c r="AN374" i="5"/>
  <c r="AO355" i="5"/>
  <c r="AN355" i="5"/>
  <c r="AO341" i="5"/>
  <c r="AN341" i="5"/>
  <c r="AN292" i="5"/>
  <c r="AO292" i="5"/>
  <c r="AO273" i="5"/>
  <c r="AN273" i="5"/>
  <c r="AN209" i="5"/>
  <c r="AO209" i="5"/>
  <c r="AN413" i="5"/>
  <c r="AO413" i="5"/>
  <c r="AN392" i="5"/>
  <c r="AO392" i="5"/>
  <c r="AO384" i="5"/>
  <c r="AN384" i="5"/>
  <c r="AO370" i="5"/>
  <c r="AN370" i="5"/>
  <c r="AO359" i="5"/>
  <c r="AN359" i="5"/>
  <c r="AN334" i="5"/>
  <c r="AO334" i="5"/>
  <c r="AO260" i="5"/>
  <c r="AN260" i="5"/>
  <c r="AN436" i="5"/>
  <c r="AO436" i="5"/>
  <c r="AN423" i="5"/>
  <c r="AO423" i="5"/>
  <c r="AN410" i="5"/>
  <c r="AO410" i="5"/>
  <c r="AN385" i="5"/>
  <c r="AO385" i="5"/>
  <c r="AO369" i="5"/>
  <c r="AN369" i="5"/>
  <c r="AO338" i="5"/>
  <c r="AN338" i="5"/>
  <c r="AN299" i="5"/>
  <c r="AO299" i="5"/>
  <c r="AN206" i="5"/>
  <c r="AO206" i="5"/>
  <c r="AN346" i="5"/>
  <c r="AO346" i="5"/>
  <c r="AN337" i="5"/>
  <c r="AO337" i="5"/>
  <c r="AO324" i="5"/>
  <c r="AN324" i="5"/>
  <c r="AO314" i="5"/>
  <c r="AN314" i="5"/>
  <c r="AO306" i="5"/>
  <c r="AN306" i="5"/>
  <c r="AO287" i="5"/>
  <c r="AN287" i="5"/>
  <c r="AO265" i="5"/>
  <c r="AN265" i="5"/>
  <c r="AO251" i="5"/>
  <c r="AN251" i="5"/>
  <c r="AO232" i="5"/>
  <c r="AN232" i="5"/>
  <c r="AO331" i="5"/>
  <c r="AN331" i="5"/>
  <c r="AN305" i="5"/>
  <c r="AO305" i="5"/>
  <c r="AN284" i="5"/>
  <c r="AO284" i="5"/>
  <c r="AN262" i="5"/>
  <c r="AO262" i="5"/>
  <c r="AO207" i="5"/>
  <c r="AN207" i="5"/>
  <c r="AO318" i="5"/>
  <c r="AN318" i="5"/>
  <c r="AO300" i="5"/>
  <c r="AN300" i="5"/>
  <c r="AO285" i="5"/>
  <c r="AN285" i="5"/>
  <c r="AO276" i="5"/>
  <c r="AN276" i="5"/>
  <c r="AO264" i="5"/>
  <c r="AN264" i="5"/>
  <c r="AO223" i="5"/>
  <c r="AN223" i="5"/>
  <c r="AO189" i="5"/>
  <c r="AN189" i="5"/>
  <c r="AN234" i="5"/>
  <c r="AO234" i="5"/>
  <c r="AO200" i="5"/>
  <c r="AN200" i="5"/>
  <c r="AO178" i="5"/>
  <c r="AN178" i="5"/>
  <c r="AO238" i="5"/>
  <c r="AN238" i="5"/>
  <c r="AO222" i="5"/>
  <c r="AN222" i="5"/>
  <c r="AO212" i="5"/>
  <c r="AN212" i="5"/>
  <c r="AO195" i="5"/>
  <c r="AN195" i="5"/>
  <c r="AO243" i="5"/>
  <c r="AN243" i="5"/>
  <c r="AO225" i="5"/>
  <c r="AN225" i="5"/>
  <c r="AO211" i="5"/>
  <c r="AN211" i="5"/>
  <c r="AN174" i="5"/>
  <c r="AO174" i="5"/>
  <c r="AO130" i="5"/>
  <c r="AN130" i="5"/>
  <c r="AO198" i="5"/>
  <c r="AN198" i="5"/>
  <c r="AN173" i="5"/>
  <c r="AO173" i="5"/>
  <c r="AN156" i="5"/>
  <c r="AO156" i="5"/>
  <c r="AN122" i="5"/>
  <c r="AO122" i="5"/>
  <c r="AO176" i="5"/>
  <c r="AN176" i="5"/>
  <c r="AN164" i="5"/>
  <c r="AO164" i="5"/>
  <c r="AN141" i="5"/>
  <c r="AO141" i="5"/>
  <c r="AN175" i="5"/>
  <c r="AO175" i="5"/>
  <c r="AO160" i="5"/>
  <c r="AN160" i="5"/>
  <c r="AN148" i="5"/>
  <c r="AO148" i="5"/>
  <c r="AO137" i="5"/>
  <c r="AN137" i="5"/>
  <c r="AN113" i="5"/>
  <c r="AO113" i="5"/>
  <c r="AN149" i="5"/>
  <c r="AO149" i="5"/>
  <c r="AO135" i="5"/>
  <c r="AN135" i="5"/>
  <c r="AN125" i="5"/>
  <c r="AO125" i="5"/>
  <c r="AO112" i="5"/>
  <c r="AN112" i="5"/>
  <c r="AN85" i="5"/>
  <c r="AO85" i="5"/>
  <c r="AO140" i="5"/>
  <c r="AN140" i="5"/>
  <c r="AN114" i="5"/>
  <c r="AO114" i="5"/>
  <c r="AN109" i="5"/>
  <c r="AO109" i="5"/>
  <c r="AO108" i="5"/>
  <c r="AN108" i="5"/>
  <c r="AO98" i="5"/>
  <c r="AN98" i="5"/>
  <c r="AN92" i="5"/>
  <c r="AO92" i="5"/>
  <c r="AO88" i="5"/>
  <c r="AN88" i="5"/>
  <c r="AO82" i="5"/>
  <c r="AN82" i="5"/>
  <c r="AN69" i="5"/>
  <c r="AO69" i="5"/>
  <c r="AO47" i="5"/>
  <c r="AN47" i="5"/>
  <c r="AN71" i="5"/>
  <c r="AO71" i="5"/>
  <c r="AO72" i="5"/>
  <c r="AN72" i="5"/>
  <c r="AN66" i="5"/>
  <c r="AO66" i="5"/>
  <c r="AN51" i="5"/>
  <c r="AO51" i="5"/>
  <c r="AO48" i="5"/>
  <c r="AN48" i="5"/>
  <c r="AN73" i="5"/>
  <c r="AO73" i="5"/>
  <c r="AO60" i="5"/>
  <c r="AN60" i="5"/>
  <c r="AO32" i="5"/>
  <c r="AN32" i="5"/>
  <c r="AN41" i="5"/>
  <c r="AO41" i="5"/>
  <c r="AO20" i="5"/>
  <c r="AN20" i="5"/>
  <c r="AN27" i="5"/>
  <c r="AO27" i="5"/>
  <c r="AN45" i="5"/>
  <c r="AO45" i="5"/>
  <c r="AN29" i="5"/>
  <c r="AO29" i="5"/>
  <c r="AL553" i="5"/>
  <c r="AK553" i="5"/>
  <c r="AK514" i="5"/>
  <c r="AL514" i="5"/>
  <c r="AL360" i="5"/>
  <c r="AK360" i="5"/>
  <c r="AK525" i="5"/>
  <c r="AL525" i="5"/>
  <c r="AK486" i="5"/>
  <c r="AL486" i="5"/>
  <c r="AK457" i="5"/>
  <c r="AL457" i="5"/>
  <c r="AL548" i="5"/>
  <c r="AK548" i="5"/>
  <c r="AL541" i="5"/>
  <c r="AK541" i="5"/>
  <c r="AL528" i="5"/>
  <c r="AK528" i="5"/>
  <c r="AL462" i="5"/>
  <c r="AK462" i="5"/>
  <c r="AK550" i="5"/>
  <c r="AL550" i="5"/>
  <c r="AK459" i="5"/>
  <c r="AL459" i="5"/>
  <c r="AL291" i="5"/>
  <c r="AK291" i="5"/>
  <c r="AL558" i="5"/>
  <c r="AK558" i="5"/>
  <c r="AL542" i="5"/>
  <c r="AK542" i="5"/>
  <c r="AK534" i="5"/>
  <c r="AL534" i="5"/>
  <c r="AK517" i="5"/>
  <c r="AL517" i="5"/>
  <c r="AK490" i="5"/>
  <c r="AL490" i="5"/>
  <c r="AK464" i="5"/>
  <c r="AL464" i="5"/>
  <c r="AK448" i="5"/>
  <c r="AL448" i="5"/>
  <c r="AK435" i="5"/>
  <c r="AL435" i="5"/>
  <c r="AK422" i="5"/>
  <c r="AL422" i="5"/>
  <c r="AK411" i="5"/>
  <c r="AL411" i="5"/>
  <c r="AK351" i="5"/>
  <c r="AL351" i="5"/>
  <c r="AK521" i="5"/>
  <c r="AL521" i="5"/>
  <c r="AL510" i="5"/>
  <c r="AK510" i="5"/>
  <c r="AL502" i="5"/>
  <c r="AK502" i="5"/>
  <c r="AK489" i="5"/>
  <c r="AL489" i="5"/>
  <c r="AL473" i="5"/>
  <c r="AK473" i="5"/>
  <c r="AK455" i="5"/>
  <c r="AL455" i="5"/>
  <c r="AK449" i="5"/>
  <c r="AL449" i="5"/>
  <c r="AK436" i="5"/>
  <c r="AL436" i="5"/>
  <c r="AK367" i="5"/>
  <c r="AL367" i="5"/>
  <c r="AK523" i="5"/>
  <c r="AL523" i="5"/>
  <c r="AL506" i="5"/>
  <c r="AK506" i="5"/>
  <c r="AK492" i="5"/>
  <c r="AL492" i="5"/>
  <c r="AK479" i="5"/>
  <c r="AL479" i="5"/>
  <c r="AK467" i="5"/>
  <c r="AL467" i="5"/>
  <c r="AL446" i="5"/>
  <c r="AK446" i="5"/>
  <c r="AK429" i="5"/>
  <c r="AL429" i="5"/>
  <c r="AL338" i="5"/>
  <c r="AK338" i="5"/>
  <c r="AK405" i="5"/>
  <c r="AL405" i="5"/>
  <c r="AK396" i="5"/>
  <c r="AL396" i="5"/>
  <c r="AK382" i="5"/>
  <c r="AL382" i="5"/>
  <c r="AK368" i="5"/>
  <c r="AL368" i="5"/>
  <c r="AL303" i="5"/>
  <c r="AK303" i="5"/>
  <c r="AK420" i="5"/>
  <c r="AL420" i="5"/>
  <c r="AL398" i="5"/>
  <c r="AK398" i="5"/>
  <c r="AK378" i="5"/>
  <c r="AL378" i="5"/>
  <c r="AK358" i="5"/>
  <c r="AL358" i="5"/>
  <c r="AK342" i="5"/>
  <c r="AL342" i="5"/>
  <c r="AK274" i="5"/>
  <c r="AL274" i="5"/>
  <c r="AK432" i="5"/>
  <c r="AL432" i="5"/>
  <c r="AK416" i="5"/>
  <c r="AL416" i="5"/>
  <c r="AK399" i="5"/>
  <c r="AL399" i="5"/>
  <c r="AK384" i="5"/>
  <c r="AL384" i="5"/>
  <c r="AK371" i="5"/>
  <c r="AL371" i="5"/>
  <c r="AK359" i="5"/>
  <c r="AL359" i="5"/>
  <c r="AK346" i="5"/>
  <c r="AL346" i="5"/>
  <c r="AK327" i="5"/>
  <c r="AL327" i="5"/>
  <c r="AK281" i="5"/>
  <c r="AL281" i="5"/>
  <c r="AL353" i="5"/>
  <c r="AK353" i="5"/>
  <c r="AK333" i="5"/>
  <c r="AL333" i="5"/>
  <c r="AK316" i="5"/>
  <c r="AL316" i="5"/>
  <c r="AL299" i="5"/>
  <c r="AK299" i="5"/>
  <c r="AL286" i="5"/>
  <c r="AK286" i="5"/>
  <c r="AL273" i="5"/>
  <c r="AK273" i="5"/>
  <c r="AL258" i="5"/>
  <c r="AK258" i="5"/>
  <c r="AK221" i="5"/>
  <c r="AL221" i="5"/>
  <c r="AL324" i="5"/>
  <c r="AK324" i="5"/>
  <c r="AL314" i="5"/>
  <c r="AK314" i="5"/>
  <c r="AL301" i="5"/>
  <c r="AK301" i="5"/>
  <c r="AL283" i="5"/>
  <c r="AK283" i="5"/>
  <c r="AL265" i="5"/>
  <c r="AK265" i="5"/>
  <c r="AK254" i="5"/>
  <c r="AL254" i="5"/>
  <c r="AK230" i="5"/>
  <c r="AL230" i="5"/>
  <c r="AK330" i="5"/>
  <c r="AL330" i="5"/>
  <c r="AL317" i="5"/>
  <c r="AK317" i="5"/>
  <c r="AL298" i="5"/>
  <c r="AK298" i="5"/>
  <c r="AK278" i="5"/>
  <c r="AL278" i="5"/>
  <c r="AK256" i="5"/>
  <c r="AL256" i="5"/>
  <c r="AK236" i="5"/>
  <c r="AL236" i="5"/>
  <c r="AL163" i="5"/>
  <c r="AK163" i="5"/>
  <c r="AK227" i="5"/>
  <c r="AL227" i="5"/>
  <c r="AL218" i="5"/>
  <c r="AK218" i="5"/>
  <c r="AL201" i="5"/>
  <c r="AK201" i="5"/>
  <c r="AK189" i="5"/>
  <c r="AL189" i="5"/>
  <c r="AL172" i="5"/>
  <c r="AK172" i="5"/>
  <c r="AL234" i="5"/>
  <c r="AK234" i="5"/>
  <c r="AK199" i="5"/>
  <c r="AL199" i="5"/>
  <c r="AK242" i="5"/>
  <c r="AL242" i="5"/>
  <c r="AK228" i="5"/>
  <c r="AL228" i="5"/>
  <c r="AP217" i="5"/>
  <c r="AK217" i="5"/>
  <c r="AL217" i="5"/>
  <c r="AK203" i="5"/>
  <c r="AL203" i="5"/>
  <c r="AL160" i="5"/>
  <c r="AK160" i="5"/>
  <c r="AK207" i="5"/>
  <c r="AL207" i="5"/>
  <c r="AK191" i="5"/>
  <c r="AL191" i="5"/>
  <c r="AK171" i="5"/>
  <c r="AL171" i="5"/>
  <c r="AP119" i="5"/>
  <c r="AL119" i="5"/>
  <c r="AK119" i="5"/>
  <c r="AK173" i="5"/>
  <c r="AL173" i="5"/>
  <c r="AL180" i="5"/>
  <c r="AK180" i="5"/>
  <c r="AK166" i="5"/>
  <c r="AL166" i="5"/>
  <c r="AK113" i="5"/>
  <c r="AL113" i="5"/>
  <c r="AK150" i="5"/>
  <c r="AL150" i="5"/>
  <c r="AK133" i="5"/>
  <c r="AL133" i="5"/>
  <c r="AL121" i="5"/>
  <c r="AK121" i="5"/>
  <c r="AL105" i="5"/>
  <c r="AK105" i="5"/>
  <c r="AP64" i="5"/>
  <c r="AL64" i="5"/>
  <c r="AK64" i="5"/>
  <c r="AK143" i="5"/>
  <c r="AL143" i="5"/>
  <c r="AK132" i="5"/>
  <c r="AL132" i="5"/>
  <c r="AK116" i="5"/>
  <c r="AL116" i="5"/>
  <c r="AK158" i="5"/>
  <c r="AL158" i="5"/>
  <c r="AK138" i="5"/>
  <c r="AL138" i="5"/>
  <c r="AK125" i="5"/>
  <c r="AL125" i="5"/>
  <c r="AK112" i="5"/>
  <c r="AL112" i="5"/>
  <c r="AK97" i="5"/>
  <c r="AL97" i="5"/>
  <c r="AK96" i="5"/>
  <c r="AL96" i="5"/>
  <c r="AL89" i="5"/>
  <c r="AK89" i="5"/>
  <c r="AL101" i="5"/>
  <c r="AK101" i="5"/>
  <c r="AK85" i="5"/>
  <c r="AL85" i="5"/>
  <c r="AK72" i="5"/>
  <c r="AL72" i="5"/>
  <c r="AL88" i="5"/>
  <c r="AK88" i="5"/>
  <c r="AL68" i="5"/>
  <c r="AK68" i="5"/>
  <c r="AL60" i="5"/>
  <c r="AK60" i="5"/>
  <c r="AK71" i="5"/>
  <c r="AL71" i="5"/>
  <c r="AK56" i="5"/>
  <c r="AL56" i="5"/>
  <c r="AK47" i="5"/>
  <c r="AL47" i="5"/>
  <c r="AK61" i="5"/>
  <c r="AL61" i="5"/>
  <c r="AK51" i="5"/>
  <c r="AL51" i="5"/>
  <c r="AL52" i="5"/>
  <c r="AK52" i="5"/>
  <c r="AK35" i="5"/>
  <c r="AL35" i="5"/>
  <c r="AK21" i="5"/>
  <c r="AL21" i="5"/>
  <c r="AK38" i="5"/>
  <c r="AL38" i="5"/>
  <c r="AK20" i="5"/>
  <c r="AL20" i="5"/>
  <c r="AK31" i="5"/>
  <c r="AL31" i="5"/>
  <c r="AK22" i="5"/>
  <c r="AL22" i="5"/>
  <c r="AI538" i="5"/>
  <c r="AP538" i="5"/>
  <c r="AH538" i="5"/>
  <c r="AI503" i="5"/>
  <c r="AH503" i="5"/>
  <c r="AP503" i="5"/>
  <c r="AH446" i="5"/>
  <c r="AP446" i="5"/>
  <c r="AI446" i="5"/>
  <c r="AH556" i="5"/>
  <c r="AI556" i="5"/>
  <c r="AP556" i="5"/>
  <c r="AH511" i="5"/>
  <c r="AP511" i="5"/>
  <c r="AI511" i="5"/>
  <c r="AP432" i="5"/>
  <c r="AI432" i="5"/>
  <c r="AH432" i="5"/>
  <c r="AI413" i="5"/>
  <c r="AH413" i="5"/>
  <c r="AP413" i="5"/>
  <c r="AH365" i="5"/>
  <c r="AI365" i="5"/>
  <c r="AP365" i="5"/>
  <c r="AI532" i="5"/>
  <c r="AH532" i="5"/>
  <c r="AP532" i="5"/>
  <c r="AI533" i="5"/>
  <c r="AP533" i="5"/>
  <c r="AH533" i="5"/>
  <c r="AI484" i="5"/>
  <c r="AP484" i="5"/>
  <c r="AH484" i="5"/>
  <c r="AI441" i="5"/>
  <c r="AH441" i="5"/>
  <c r="AP441" i="5"/>
  <c r="AI541" i="5"/>
  <c r="AH541" i="5"/>
  <c r="AP541" i="5"/>
  <c r="AI520" i="5"/>
  <c r="AH520" i="5"/>
  <c r="AP520" i="5"/>
  <c r="AI482" i="5"/>
  <c r="AP482" i="5"/>
  <c r="AH482" i="5"/>
  <c r="AI463" i="5"/>
  <c r="AH463" i="5"/>
  <c r="AP463" i="5"/>
  <c r="AH204" i="5"/>
  <c r="AI204" i="5"/>
  <c r="AP204" i="5"/>
  <c r="AH551" i="5"/>
  <c r="AP551" i="5"/>
  <c r="AI551" i="5"/>
  <c r="AI546" i="5"/>
  <c r="AH546" i="5"/>
  <c r="AP546" i="5"/>
  <c r="AH524" i="5"/>
  <c r="AP524" i="5"/>
  <c r="AI524" i="5"/>
  <c r="AI505" i="5"/>
  <c r="AH505" i="5"/>
  <c r="AP505" i="5"/>
  <c r="AI480" i="5"/>
  <c r="AH480" i="5"/>
  <c r="AP480" i="5"/>
  <c r="AI471" i="5"/>
  <c r="AH471" i="5"/>
  <c r="AP471" i="5"/>
  <c r="AI457" i="5"/>
  <c r="AP457" i="5"/>
  <c r="AH457" i="5"/>
  <c r="AI423" i="5"/>
  <c r="AP423" i="5"/>
  <c r="AH423" i="5"/>
  <c r="AH302" i="5"/>
  <c r="AP302" i="5"/>
  <c r="AI302" i="5"/>
  <c r="AI515" i="5"/>
  <c r="AH515" i="5"/>
  <c r="AP515" i="5"/>
  <c r="AI491" i="5"/>
  <c r="AH491" i="5"/>
  <c r="AP491" i="5"/>
  <c r="AI475" i="5"/>
  <c r="AH475" i="5"/>
  <c r="AP475" i="5"/>
  <c r="AI458" i="5"/>
  <c r="AH458" i="5"/>
  <c r="AP458" i="5"/>
  <c r="AP442" i="5"/>
  <c r="AI442" i="5"/>
  <c r="AH442" i="5"/>
  <c r="AP422" i="5"/>
  <c r="AI422" i="5"/>
  <c r="AH422" i="5"/>
  <c r="AH357" i="5"/>
  <c r="AP357" i="5"/>
  <c r="AI357" i="5"/>
  <c r="AI522" i="5"/>
  <c r="AH522" i="5"/>
  <c r="AP522" i="5"/>
  <c r="AP508" i="5"/>
  <c r="AI508" i="5"/>
  <c r="AH508" i="5"/>
  <c r="AI493" i="5"/>
  <c r="AH493" i="5"/>
  <c r="AP493" i="5"/>
  <c r="AI481" i="5"/>
  <c r="AP481" i="5"/>
  <c r="AH481" i="5"/>
  <c r="AP450" i="5"/>
  <c r="AI450" i="5"/>
  <c r="AH450" i="5"/>
  <c r="AI431" i="5"/>
  <c r="AH431" i="5"/>
  <c r="AP431" i="5"/>
  <c r="AI379" i="5"/>
  <c r="AH379" i="5"/>
  <c r="AP379" i="5"/>
  <c r="AI344" i="5"/>
  <c r="AH344" i="5"/>
  <c r="AP344" i="5"/>
  <c r="AH256" i="5"/>
  <c r="AI256" i="5"/>
  <c r="AP256" i="5"/>
  <c r="AI414" i="5"/>
  <c r="AH414" i="5"/>
  <c r="AP414" i="5"/>
  <c r="AI390" i="5"/>
  <c r="AH390" i="5"/>
  <c r="AP390" i="5"/>
  <c r="AI373" i="5"/>
  <c r="AP373" i="5"/>
  <c r="AH373" i="5"/>
  <c r="AP353" i="5"/>
  <c r="AI353" i="5"/>
  <c r="AH353" i="5"/>
  <c r="AP339" i="5"/>
  <c r="AI339" i="5"/>
  <c r="AH339" i="5"/>
  <c r="AI409" i="5"/>
  <c r="AH409" i="5"/>
  <c r="AP409" i="5"/>
  <c r="AI393" i="5"/>
  <c r="AH393" i="5"/>
  <c r="AP393" i="5"/>
  <c r="AI381" i="5"/>
  <c r="AP381" i="5"/>
  <c r="AH381" i="5"/>
  <c r="AI367" i="5"/>
  <c r="AH367" i="5"/>
  <c r="AP367" i="5"/>
  <c r="AI333" i="5"/>
  <c r="AH333" i="5"/>
  <c r="AP333" i="5"/>
  <c r="AI298" i="5"/>
  <c r="AH298" i="5"/>
  <c r="AP298" i="5"/>
  <c r="AH226" i="5"/>
  <c r="AI226" i="5"/>
  <c r="AP226" i="5"/>
  <c r="AI433" i="5"/>
  <c r="AH433" i="5"/>
  <c r="AP433" i="5"/>
  <c r="AI420" i="5"/>
  <c r="AP420" i="5"/>
  <c r="AH420" i="5"/>
  <c r="AI401" i="5"/>
  <c r="AH401" i="5"/>
  <c r="AP401" i="5"/>
  <c r="AI394" i="5"/>
  <c r="AP394" i="5"/>
  <c r="AH394" i="5"/>
  <c r="AI374" i="5"/>
  <c r="AH374" i="5"/>
  <c r="AP374" i="5"/>
  <c r="AI330" i="5"/>
  <c r="AP330" i="5"/>
  <c r="AH330" i="5"/>
  <c r="AH231" i="5"/>
  <c r="AI231" i="5"/>
  <c r="AP231" i="5"/>
  <c r="AH354" i="5"/>
  <c r="AI354" i="5"/>
  <c r="AP354" i="5"/>
  <c r="AI343" i="5"/>
  <c r="AH343" i="5"/>
  <c r="AI335" i="5"/>
  <c r="AH335" i="5"/>
  <c r="AP335" i="5"/>
  <c r="AH307" i="5"/>
  <c r="AP307" i="5"/>
  <c r="AI307" i="5"/>
  <c r="AI291" i="5"/>
  <c r="AH291" i="5"/>
  <c r="AP291" i="5"/>
  <c r="AH271" i="5"/>
  <c r="AI271" i="5"/>
  <c r="AP271" i="5"/>
  <c r="AI259" i="5"/>
  <c r="AH259" i="5"/>
  <c r="AP259" i="5"/>
  <c r="AH200" i="5"/>
  <c r="AI200" i="5"/>
  <c r="AP200" i="5"/>
  <c r="AI327" i="5"/>
  <c r="AH327" i="5"/>
  <c r="AP327" i="5"/>
  <c r="AH311" i="5"/>
  <c r="AP311" i="5"/>
  <c r="AI311" i="5"/>
  <c r="AI297" i="5"/>
  <c r="AH297" i="5"/>
  <c r="AP297" i="5"/>
  <c r="AI282" i="5"/>
  <c r="AH282" i="5"/>
  <c r="AP282" i="5"/>
  <c r="AH270" i="5"/>
  <c r="AI270" i="5"/>
  <c r="AP270" i="5"/>
  <c r="AH246" i="5"/>
  <c r="AI246" i="5"/>
  <c r="AP246" i="5"/>
  <c r="AI205" i="5"/>
  <c r="AP205" i="5"/>
  <c r="AH205" i="5"/>
  <c r="AI322" i="5"/>
  <c r="AP322" i="5"/>
  <c r="AH322" i="5"/>
  <c r="AH312" i="5"/>
  <c r="AP312" i="5"/>
  <c r="AI312" i="5"/>
  <c r="AI295" i="5"/>
  <c r="AH295" i="5"/>
  <c r="AP295" i="5"/>
  <c r="AH280" i="5"/>
  <c r="AI280" i="5"/>
  <c r="AP280" i="5"/>
  <c r="AH265" i="5"/>
  <c r="AP265" i="5"/>
  <c r="AI265" i="5"/>
  <c r="AH255" i="5"/>
  <c r="AP255" i="5"/>
  <c r="AI255" i="5"/>
  <c r="AH249" i="5"/>
  <c r="AI249" i="5"/>
  <c r="AP249" i="5"/>
  <c r="AH238" i="5"/>
  <c r="AI238" i="5"/>
  <c r="AP238" i="5"/>
  <c r="AH230" i="5"/>
  <c r="AI230" i="5"/>
  <c r="AP230" i="5"/>
  <c r="AI217" i="5"/>
  <c r="AH217" i="5"/>
  <c r="AP191" i="5"/>
  <c r="AI191" i="5"/>
  <c r="AH191" i="5"/>
  <c r="AH243" i="5"/>
  <c r="AI243" i="5"/>
  <c r="AP243" i="5"/>
  <c r="AI224" i="5"/>
  <c r="AH224" i="5"/>
  <c r="AP224" i="5"/>
  <c r="AH209" i="5"/>
  <c r="AI209" i="5"/>
  <c r="AP209" i="5"/>
  <c r="AH248" i="5"/>
  <c r="AI248" i="5"/>
  <c r="AP248" i="5"/>
  <c r="AI234" i="5"/>
  <c r="AP234" i="5"/>
  <c r="AH234" i="5"/>
  <c r="AI215" i="5"/>
  <c r="AP215" i="5"/>
  <c r="AH215" i="5"/>
  <c r="AH154" i="5"/>
  <c r="AI154" i="5"/>
  <c r="AP154" i="5"/>
  <c r="AH198" i="5"/>
  <c r="AI198" i="5"/>
  <c r="AP198" i="5"/>
  <c r="AH189" i="5"/>
  <c r="AI189" i="5"/>
  <c r="AP189" i="5"/>
  <c r="AH172" i="5"/>
  <c r="AI172" i="5"/>
  <c r="AP172" i="5"/>
  <c r="AI157" i="5"/>
  <c r="AH157" i="5"/>
  <c r="AP157" i="5"/>
  <c r="AI111" i="5"/>
  <c r="AH111" i="5"/>
  <c r="AP111" i="5"/>
  <c r="AI181" i="5"/>
  <c r="AH181" i="5"/>
  <c r="AP181" i="5"/>
  <c r="AI163" i="5"/>
  <c r="AH163" i="5"/>
  <c r="AP163" i="5"/>
  <c r="AH128" i="5"/>
  <c r="AI128" i="5"/>
  <c r="AI183" i="5"/>
  <c r="AH183" i="5"/>
  <c r="AP183" i="5"/>
  <c r="AH173" i="5"/>
  <c r="AI173" i="5"/>
  <c r="AP173" i="5"/>
  <c r="AH150" i="5"/>
  <c r="AP150" i="5"/>
  <c r="AI150" i="5"/>
  <c r="AI129" i="5"/>
  <c r="AH129" i="5"/>
  <c r="AP129" i="5"/>
  <c r="AI84" i="5"/>
  <c r="AH84" i="5"/>
  <c r="AP84" i="5"/>
  <c r="AH138" i="5"/>
  <c r="AP138" i="5"/>
  <c r="AI138" i="5"/>
  <c r="AI122" i="5"/>
  <c r="AH122" i="5"/>
  <c r="AP122" i="5"/>
  <c r="AP109" i="5"/>
  <c r="AH109" i="5"/>
  <c r="AI109" i="5"/>
  <c r="AH156" i="5"/>
  <c r="AI156" i="5"/>
  <c r="AP156" i="5"/>
  <c r="AI126" i="5"/>
  <c r="AH126" i="5"/>
  <c r="AP126" i="5"/>
  <c r="AH71" i="5"/>
  <c r="AI71" i="5"/>
  <c r="AP71" i="5"/>
  <c r="AH136" i="5"/>
  <c r="AI136" i="5"/>
  <c r="AP136" i="5"/>
  <c r="AI115" i="5"/>
  <c r="AP115" i="5"/>
  <c r="AH115" i="5"/>
  <c r="AI83" i="5"/>
  <c r="AH83" i="5"/>
  <c r="AP83" i="5"/>
  <c r="AH88" i="5"/>
  <c r="AI88" i="5"/>
  <c r="AP88" i="5"/>
  <c r="AH75" i="5"/>
  <c r="AI75" i="5"/>
  <c r="AP75" i="5"/>
  <c r="AI102" i="5"/>
  <c r="AH102" i="5"/>
  <c r="AP102" i="5"/>
  <c r="AH87" i="5"/>
  <c r="AI87" i="5"/>
  <c r="AP87" i="5"/>
  <c r="AH90" i="5"/>
  <c r="AI90" i="5"/>
  <c r="AP90" i="5"/>
  <c r="AI77" i="5"/>
  <c r="AH77" i="5"/>
  <c r="AP77" i="5"/>
  <c r="AP52" i="5"/>
  <c r="AH52" i="5"/>
  <c r="AI52" i="5"/>
  <c r="AP22" i="5"/>
  <c r="AI22" i="5"/>
  <c r="AH22" i="5"/>
  <c r="AI63" i="5"/>
  <c r="AH63" i="5"/>
  <c r="AP63" i="5"/>
  <c r="AI20" i="5"/>
  <c r="AH20" i="5"/>
  <c r="AP20" i="5"/>
  <c r="AH62" i="5"/>
  <c r="AI62" i="5"/>
  <c r="AP62" i="5"/>
  <c r="AH64" i="5"/>
  <c r="AI64" i="5"/>
  <c r="AI53" i="5"/>
  <c r="AH53" i="5"/>
  <c r="AP53" i="5"/>
  <c r="AH51" i="5"/>
  <c r="AI51" i="5"/>
  <c r="AP51" i="5"/>
  <c r="AH43" i="5"/>
  <c r="AI43" i="5"/>
  <c r="AP43" i="5"/>
  <c r="AI31" i="5"/>
  <c r="AH31" i="5"/>
  <c r="AP31" i="5"/>
  <c r="AI39" i="5"/>
  <c r="AH39" i="5"/>
  <c r="AP39" i="5"/>
  <c r="AP21" i="5"/>
  <c r="AI21" i="5"/>
  <c r="AH21" i="5"/>
  <c r="AH35" i="5"/>
  <c r="AI35" i="5"/>
  <c r="AP35" i="5"/>
  <c r="B44" i="5"/>
  <c r="AO537" i="5"/>
  <c r="AN537" i="5"/>
  <c r="AN438" i="5"/>
  <c r="AO438" i="5"/>
  <c r="AN547" i="5"/>
  <c r="AO547" i="5"/>
  <c r="AO533" i="5"/>
  <c r="AN533" i="5"/>
  <c r="AN481" i="5"/>
  <c r="AO481" i="5"/>
  <c r="AO550" i="5"/>
  <c r="AN550" i="5"/>
  <c r="AO538" i="5"/>
  <c r="AN538" i="5"/>
  <c r="AO437" i="5"/>
  <c r="AN437" i="5"/>
  <c r="AN557" i="5"/>
  <c r="AO557" i="5"/>
  <c r="AO536" i="5"/>
  <c r="AN536" i="5"/>
  <c r="AN521" i="5"/>
  <c r="AO521" i="5"/>
  <c r="AN456" i="5"/>
  <c r="AO456" i="5"/>
  <c r="AN328" i="5"/>
  <c r="AO328" i="5"/>
  <c r="AO555" i="5"/>
  <c r="AN555" i="5"/>
  <c r="AO530" i="5"/>
  <c r="AN530" i="5"/>
  <c r="AN518" i="5"/>
  <c r="AO518" i="5"/>
  <c r="AO505" i="5"/>
  <c r="AN505" i="5"/>
  <c r="AN499" i="5"/>
  <c r="AO499" i="5"/>
  <c r="AN492" i="5"/>
  <c r="AO492" i="5"/>
  <c r="AN486" i="5"/>
  <c r="AO486" i="5"/>
  <c r="AO473" i="5"/>
  <c r="AN473" i="5"/>
  <c r="AO455" i="5"/>
  <c r="AN455" i="5"/>
  <c r="AO444" i="5"/>
  <c r="AN444" i="5"/>
  <c r="AN432" i="5"/>
  <c r="AO432" i="5"/>
  <c r="AN387" i="5"/>
  <c r="AO387" i="5"/>
  <c r="AN308" i="5"/>
  <c r="AO308" i="5"/>
  <c r="AN512" i="5"/>
  <c r="AO512" i="5"/>
  <c r="AO498" i="5"/>
  <c r="AN498" i="5"/>
  <c r="AO474" i="5"/>
  <c r="AN474" i="5"/>
  <c r="AO465" i="5"/>
  <c r="AN465" i="5"/>
  <c r="AN446" i="5"/>
  <c r="AO446" i="5"/>
  <c r="AN426" i="5"/>
  <c r="AO426" i="5"/>
  <c r="AO394" i="5"/>
  <c r="AN394" i="5"/>
  <c r="AN270" i="5"/>
  <c r="AO270" i="5"/>
  <c r="AO525" i="5"/>
  <c r="AN525" i="5"/>
  <c r="AO496" i="5"/>
  <c r="AN496" i="5"/>
  <c r="AN472" i="5"/>
  <c r="AO472" i="5"/>
  <c r="AO458" i="5"/>
  <c r="AN458" i="5"/>
  <c r="AN422" i="5"/>
  <c r="AO422" i="5"/>
  <c r="AO354" i="5"/>
  <c r="AN354" i="5"/>
  <c r="AO406" i="5"/>
  <c r="AN406" i="5"/>
  <c r="AN388" i="5"/>
  <c r="AO388" i="5"/>
  <c r="AN371" i="5"/>
  <c r="AO371" i="5"/>
  <c r="AO349" i="5"/>
  <c r="AN349" i="5"/>
  <c r="AO340" i="5"/>
  <c r="AN340" i="5"/>
  <c r="AN289" i="5"/>
  <c r="AO289" i="5"/>
  <c r="AO267" i="5"/>
  <c r="AN267" i="5"/>
  <c r="AN419" i="5"/>
  <c r="AO419" i="5"/>
  <c r="AN408" i="5"/>
  <c r="AO408" i="5"/>
  <c r="AO390" i="5"/>
  <c r="AN390" i="5"/>
  <c r="AO380" i="5"/>
  <c r="AN380" i="5"/>
  <c r="AO365" i="5"/>
  <c r="AN365" i="5"/>
  <c r="AN356" i="5"/>
  <c r="AO356" i="5"/>
  <c r="AN304" i="5"/>
  <c r="AO304" i="5"/>
  <c r="AO252" i="5"/>
  <c r="AN252" i="5"/>
  <c r="AO435" i="5"/>
  <c r="AN435" i="5"/>
  <c r="AN420" i="5"/>
  <c r="AO420" i="5"/>
  <c r="AO409" i="5"/>
  <c r="AN409" i="5"/>
  <c r="AN383" i="5"/>
  <c r="AO383" i="5"/>
  <c r="AO367" i="5"/>
  <c r="AN367" i="5"/>
  <c r="AO335" i="5"/>
  <c r="AN335" i="5"/>
  <c r="AO258" i="5"/>
  <c r="AN258" i="5"/>
  <c r="AO358" i="5"/>
  <c r="AN358" i="5"/>
  <c r="AN344" i="5"/>
  <c r="AO344" i="5"/>
  <c r="AN332" i="5"/>
  <c r="AO332" i="5"/>
  <c r="AO322" i="5"/>
  <c r="AN322" i="5"/>
  <c r="AO312" i="5"/>
  <c r="AN312" i="5"/>
  <c r="AN302" i="5"/>
  <c r="AO302" i="5"/>
  <c r="AO283" i="5"/>
  <c r="AN283" i="5"/>
  <c r="AO263" i="5"/>
  <c r="AN263" i="5"/>
  <c r="AO249" i="5"/>
  <c r="AN249" i="5"/>
  <c r="AN227" i="5"/>
  <c r="AO227" i="5"/>
  <c r="AO326" i="5"/>
  <c r="AN326" i="5"/>
  <c r="AO298" i="5"/>
  <c r="AN298" i="5"/>
  <c r="AN278" i="5"/>
  <c r="AO278" i="5"/>
  <c r="AO256" i="5"/>
  <c r="AN256" i="5"/>
  <c r="AN157" i="5"/>
  <c r="AO157" i="5"/>
  <c r="AO313" i="5"/>
  <c r="AN313" i="5"/>
  <c r="AO296" i="5"/>
  <c r="AN296" i="5"/>
  <c r="AN282" i="5"/>
  <c r="AO282" i="5"/>
  <c r="AO274" i="5"/>
  <c r="AN274" i="5"/>
  <c r="AO261" i="5"/>
  <c r="AN261" i="5"/>
  <c r="AO220" i="5"/>
  <c r="AN220" i="5"/>
  <c r="AN240" i="5"/>
  <c r="AO240" i="5"/>
  <c r="AN231" i="5"/>
  <c r="AO231" i="5"/>
  <c r="AN199" i="5"/>
  <c r="AO199" i="5"/>
  <c r="AO161" i="5"/>
  <c r="AN161" i="5"/>
  <c r="AO235" i="5"/>
  <c r="AN235" i="5"/>
  <c r="AN219" i="5"/>
  <c r="AO219" i="5"/>
  <c r="AO210" i="5"/>
  <c r="AN210" i="5"/>
  <c r="AO194" i="5"/>
  <c r="AN194" i="5"/>
  <c r="AN236" i="5"/>
  <c r="AO236" i="5"/>
  <c r="AO221" i="5"/>
  <c r="AN221" i="5"/>
  <c r="AN208" i="5"/>
  <c r="AO208" i="5"/>
  <c r="AN171" i="5"/>
  <c r="AO171" i="5"/>
  <c r="AN118" i="5"/>
  <c r="AO118" i="5"/>
  <c r="AO197" i="5"/>
  <c r="AN197" i="5"/>
  <c r="AO168" i="5"/>
  <c r="AN168" i="5"/>
  <c r="AO152" i="5"/>
  <c r="AN152" i="5"/>
  <c r="AN115" i="5"/>
  <c r="AO115" i="5"/>
  <c r="AN172" i="5"/>
  <c r="AO172" i="5"/>
  <c r="AO159" i="5"/>
  <c r="AN159" i="5"/>
  <c r="AN116" i="5"/>
  <c r="AO116" i="5"/>
  <c r="AO169" i="5"/>
  <c r="AN169" i="5"/>
  <c r="AN132" i="5"/>
  <c r="AO132" i="5"/>
  <c r="AO145" i="5"/>
  <c r="AN145" i="5"/>
  <c r="AN127" i="5"/>
  <c r="AO127" i="5"/>
  <c r="AN107" i="5"/>
  <c r="AO107" i="5"/>
  <c r="AO147" i="5"/>
  <c r="AN147" i="5"/>
  <c r="AO133" i="5"/>
  <c r="AN133" i="5"/>
  <c r="AN123" i="5"/>
  <c r="AO123" i="5"/>
  <c r="AN111" i="5"/>
  <c r="AO111" i="5"/>
  <c r="AN81" i="5"/>
  <c r="AO81" i="5"/>
  <c r="AO131" i="5"/>
  <c r="AN131" i="5"/>
  <c r="AN110" i="5"/>
  <c r="AO110" i="5"/>
  <c r="AN103" i="5"/>
  <c r="AO103" i="5"/>
  <c r="AN105" i="5"/>
  <c r="AO105" i="5"/>
  <c r="AO97" i="5"/>
  <c r="AN97" i="5"/>
  <c r="AO91" i="5"/>
  <c r="AN91" i="5"/>
  <c r="AN83" i="5"/>
  <c r="AO83" i="5"/>
  <c r="AO80" i="5"/>
  <c r="AN80" i="5"/>
  <c r="AN65" i="5"/>
  <c r="AO65" i="5"/>
  <c r="AN23" i="5"/>
  <c r="AO23" i="5"/>
  <c r="AN53" i="5"/>
  <c r="AO53" i="5"/>
  <c r="AO70" i="5"/>
  <c r="AN70" i="5"/>
  <c r="AO61" i="5"/>
  <c r="AN61" i="5"/>
  <c r="AN24" i="5"/>
  <c r="AO24" i="5"/>
  <c r="AN39" i="5"/>
  <c r="AO39" i="5"/>
  <c r="AO68" i="5"/>
  <c r="AN68" i="5"/>
  <c r="AO56" i="5"/>
  <c r="AN56" i="5"/>
  <c r="AO50" i="5"/>
  <c r="AN50" i="5"/>
  <c r="AO38" i="5"/>
  <c r="AN38" i="5"/>
  <c r="AN43" i="5"/>
  <c r="AO43" i="5"/>
  <c r="AO26" i="5"/>
  <c r="AN26" i="5"/>
  <c r="AO40" i="5"/>
  <c r="AN40" i="5"/>
  <c r="AP528" i="5"/>
  <c r="AK531" i="5"/>
  <c r="AL531" i="5"/>
  <c r="AL560" i="5"/>
  <c r="AK560" i="5"/>
  <c r="AL559" i="5"/>
  <c r="AK559" i="5"/>
  <c r="AL261" i="5"/>
  <c r="AK261" i="5"/>
  <c r="AK491" i="5"/>
  <c r="AL491" i="5"/>
  <c r="AL424" i="5"/>
  <c r="AK424" i="5"/>
  <c r="AL266" i="5"/>
  <c r="AK266" i="5"/>
  <c r="AK481" i="5"/>
  <c r="AL481" i="5"/>
  <c r="AK373" i="5"/>
  <c r="AL373" i="5"/>
  <c r="AK495" i="5"/>
  <c r="AL495" i="5"/>
  <c r="AK430" i="5"/>
  <c r="AL430" i="5"/>
  <c r="AK397" i="5"/>
  <c r="AL397" i="5"/>
  <c r="AK400" i="5"/>
  <c r="AL400" i="5"/>
  <c r="AL318" i="5"/>
  <c r="AK318" i="5"/>
  <c r="AL408" i="5"/>
  <c r="AK408" i="5"/>
  <c r="AK350" i="5"/>
  <c r="AL350" i="5"/>
  <c r="AK355" i="5"/>
  <c r="AL355" i="5"/>
  <c r="AK289" i="5"/>
  <c r="AL289" i="5"/>
  <c r="AK332" i="5"/>
  <c r="AL332" i="5"/>
  <c r="AL287" i="5"/>
  <c r="AK287" i="5"/>
  <c r="AK331" i="5"/>
  <c r="AL331" i="5"/>
  <c r="AK284" i="5"/>
  <c r="AL284" i="5"/>
  <c r="AK229" i="5"/>
  <c r="AL229" i="5"/>
  <c r="AK175" i="5"/>
  <c r="AL175" i="5"/>
  <c r="AL244" i="5"/>
  <c r="AK244" i="5"/>
  <c r="AK162" i="5"/>
  <c r="AL162" i="5"/>
  <c r="AK137" i="5"/>
  <c r="AL137" i="5"/>
  <c r="AL168" i="5"/>
  <c r="AK168" i="5"/>
  <c r="AK123" i="5"/>
  <c r="AL123" i="5"/>
  <c r="AK145" i="5"/>
  <c r="AL145" i="5"/>
  <c r="AL146" i="5"/>
  <c r="AK146" i="5"/>
  <c r="AK98" i="5"/>
  <c r="AL98" i="5"/>
  <c r="AK93" i="5"/>
  <c r="AL93" i="5"/>
  <c r="AL76" i="5"/>
  <c r="AK76" i="5"/>
  <c r="AK66" i="5"/>
  <c r="AL66" i="5"/>
  <c r="AL24" i="5"/>
  <c r="AK24" i="5"/>
  <c r="AL37" i="5"/>
  <c r="AK37" i="5"/>
  <c r="AI544" i="5"/>
  <c r="AP544" i="5"/>
  <c r="AH544" i="5"/>
  <c r="AI454" i="5"/>
  <c r="AH454" i="5"/>
  <c r="AP454" i="5"/>
  <c r="AH536" i="5"/>
  <c r="AP536" i="5"/>
  <c r="AI536" i="5"/>
  <c r="AP444" i="5"/>
  <c r="AI444" i="5"/>
  <c r="AH444" i="5"/>
  <c r="AI492" i="5"/>
  <c r="AP492" i="5"/>
  <c r="AH492" i="5"/>
  <c r="AI525" i="5"/>
  <c r="AH525" i="5"/>
  <c r="AP525" i="5"/>
  <c r="AI483" i="5"/>
  <c r="AP483" i="5"/>
  <c r="AH483" i="5"/>
  <c r="AL545" i="5"/>
  <c r="AK545" i="5"/>
  <c r="AL557" i="5"/>
  <c r="AK557" i="5"/>
  <c r="AK478" i="5"/>
  <c r="AL478" i="5"/>
  <c r="AL554" i="5"/>
  <c r="AK554" i="5"/>
  <c r="AL539" i="5"/>
  <c r="AK539" i="5"/>
  <c r="AK522" i="5"/>
  <c r="AL522" i="5"/>
  <c r="AK369" i="5"/>
  <c r="AL369" i="5"/>
  <c r="AL549" i="5"/>
  <c r="AK549" i="5"/>
  <c r="AK452" i="5"/>
  <c r="AL452" i="5"/>
  <c r="AL285" i="5"/>
  <c r="AK285" i="5"/>
  <c r="AL552" i="5"/>
  <c r="AK552" i="5"/>
  <c r="AL540" i="5"/>
  <c r="AK540" i="5"/>
  <c r="AL533" i="5"/>
  <c r="AK533" i="5"/>
  <c r="AL501" i="5"/>
  <c r="AK501" i="5"/>
  <c r="AL485" i="5"/>
  <c r="AK485" i="5"/>
  <c r="AL460" i="5"/>
  <c r="AK460" i="5"/>
  <c r="AK445" i="5"/>
  <c r="AL445" i="5"/>
  <c r="AK433" i="5"/>
  <c r="AL433" i="5"/>
  <c r="AL421" i="5"/>
  <c r="AK421" i="5"/>
  <c r="AK402" i="5"/>
  <c r="AL402" i="5"/>
  <c r="AK339" i="5"/>
  <c r="AL339" i="5"/>
  <c r="AL520" i="5"/>
  <c r="AK520" i="5"/>
  <c r="AL509" i="5"/>
  <c r="AK509" i="5"/>
  <c r="AK499" i="5"/>
  <c r="AL499" i="5"/>
  <c r="AK488" i="5"/>
  <c r="AL488" i="5"/>
  <c r="AK469" i="5"/>
  <c r="AL469" i="5"/>
  <c r="AK454" i="5"/>
  <c r="AL454" i="5"/>
  <c r="AK443" i="5"/>
  <c r="AL443" i="5"/>
  <c r="AK431" i="5"/>
  <c r="AL431" i="5"/>
  <c r="AK361" i="5"/>
  <c r="AL361" i="5"/>
  <c r="AK519" i="5"/>
  <c r="AL519" i="5"/>
  <c r="AK505" i="5"/>
  <c r="AL505" i="5"/>
  <c r="AK484" i="5"/>
  <c r="AL484" i="5"/>
  <c r="AK477" i="5"/>
  <c r="AL477" i="5"/>
  <c r="AK465" i="5"/>
  <c r="AL465" i="5"/>
  <c r="AK444" i="5"/>
  <c r="AL444" i="5"/>
  <c r="AL428" i="5"/>
  <c r="AK428" i="5"/>
  <c r="AL410" i="5"/>
  <c r="AK410" i="5"/>
  <c r="AL403" i="5"/>
  <c r="AK403" i="5"/>
  <c r="AK391" i="5"/>
  <c r="AL391" i="5"/>
  <c r="AL381" i="5"/>
  <c r="AK381" i="5"/>
  <c r="AK362" i="5"/>
  <c r="AL362" i="5"/>
  <c r="AL300" i="5"/>
  <c r="AK300" i="5"/>
  <c r="AK415" i="5"/>
  <c r="AL415" i="5"/>
  <c r="AK395" i="5"/>
  <c r="AL395" i="5"/>
  <c r="AK374" i="5"/>
  <c r="AL374" i="5"/>
  <c r="AK354" i="5"/>
  <c r="AL354" i="5"/>
  <c r="AL341" i="5"/>
  <c r="AK341" i="5"/>
  <c r="AK271" i="5"/>
  <c r="AL271" i="5"/>
  <c r="AK427" i="5"/>
  <c r="AL427" i="5"/>
  <c r="AL413" i="5"/>
  <c r="AK413" i="5"/>
  <c r="AK392" i="5"/>
  <c r="AL392" i="5"/>
  <c r="AK380" i="5"/>
  <c r="AL380" i="5"/>
  <c r="AK370" i="5"/>
  <c r="AL370" i="5"/>
  <c r="AL357" i="5"/>
  <c r="AK357" i="5"/>
  <c r="AK345" i="5"/>
  <c r="AL345" i="5"/>
  <c r="AK313" i="5"/>
  <c r="AL313" i="5"/>
  <c r="AK246" i="5"/>
  <c r="AL246" i="5"/>
  <c r="AK347" i="5"/>
  <c r="AL347" i="5"/>
  <c r="AL328" i="5"/>
  <c r="AK328" i="5"/>
  <c r="AL311" i="5"/>
  <c r="AK311" i="5"/>
  <c r="AL297" i="5"/>
  <c r="AK297" i="5"/>
  <c r="AL282" i="5"/>
  <c r="AK282" i="5"/>
  <c r="AK270" i="5"/>
  <c r="AL270" i="5"/>
  <c r="AL252" i="5"/>
  <c r="AK252" i="5"/>
  <c r="AL213" i="5"/>
  <c r="AK213" i="5"/>
  <c r="AK322" i="5"/>
  <c r="AL322" i="5"/>
  <c r="AL312" i="5"/>
  <c r="AK312" i="5"/>
  <c r="AL295" i="5"/>
  <c r="AK295" i="5"/>
  <c r="AK280" i="5"/>
  <c r="AL280" i="5"/>
  <c r="AK263" i="5"/>
  <c r="AL263" i="5"/>
  <c r="AL251" i="5"/>
  <c r="AK251" i="5"/>
  <c r="AK225" i="5"/>
  <c r="AL225" i="5"/>
  <c r="AK329" i="5"/>
  <c r="AL329" i="5"/>
  <c r="AL310" i="5"/>
  <c r="AK310" i="5"/>
  <c r="AL294" i="5"/>
  <c r="AK294" i="5"/>
  <c r="AK272" i="5"/>
  <c r="AL272" i="5"/>
  <c r="AK253" i="5"/>
  <c r="AL253" i="5"/>
  <c r="AK233" i="5"/>
  <c r="AL233" i="5"/>
  <c r="AP241" i="5"/>
  <c r="AK241" i="5"/>
  <c r="AL241" i="5"/>
  <c r="AK224" i="5"/>
  <c r="AL224" i="5"/>
  <c r="AK216" i="5"/>
  <c r="AL216" i="5"/>
  <c r="AK198" i="5"/>
  <c r="AL198" i="5"/>
  <c r="AK187" i="5"/>
  <c r="AL187" i="5"/>
  <c r="AK169" i="5"/>
  <c r="AL169" i="5"/>
  <c r="AK231" i="5"/>
  <c r="AL231" i="5"/>
  <c r="AL197" i="5"/>
  <c r="AK197" i="5"/>
  <c r="AK240" i="5"/>
  <c r="AL240" i="5"/>
  <c r="AK226" i="5"/>
  <c r="AL226" i="5"/>
  <c r="AK214" i="5"/>
  <c r="AL214" i="5"/>
  <c r="AL195" i="5"/>
  <c r="AK195" i="5"/>
  <c r="AL148" i="5"/>
  <c r="AK148" i="5"/>
  <c r="AL205" i="5"/>
  <c r="AK205" i="5"/>
  <c r="AL188" i="5"/>
  <c r="AK188" i="5"/>
  <c r="AL170" i="5"/>
  <c r="AK170" i="5"/>
  <c r="AK183" i="5"/>
  <c r="AL183" i="5"/>
  <c r="AL156" i="5"/>
  <c r="AK156" i="5"/>
  <c r="AL176" i="5"/>
  <c r="AK176" i="5"/>
  <c r="AL164" i="5"/>
  <c r="AK164" i="5"/>
  <c r="AK155" i="5"/>
  <c r="AL155" i="5"/>
  <c r="AK147" i="5"/>
  <c r="AL147" i="5"/>
  <c r="AK131" i="5"/>
  <c r="AL131" i="5"/>
  <c r="AK114" i="5"/>
  <c r="AL114" i="5"/>
  <c r="AK102" i="5"/>
  <c r="AL102" i="5"/>
  <c r="AK157" i="5"/>
  <c r="AL157" i="5"/>
  <c r="AL141" i="5"/>
  <c r="AK141" i="5"/>
  <c r="AP130" i="5"/>
  <c r="AL130" i="5"/>
  <c r="AK130" i="5"/>
  <c r="AK115" i="5"/>
  <c r="AL115" i="5"/>
  <c r="AL152" i="5"/>
  <c r="AK152" i="5"/>
  <c r="AK135" i="5"/>
  <c r="AL135" i="5"/>
  <c r="AK120" i="5"/>
  <c r="AL120" i="5"/>
  <c r="AK111" i="5"/>
  <c r="AL111" i="5"/>
  <c r="AK107" i="5"/>
  <c r="AL107" i="5"/>
  <c r="AL95" i="5"/>
  <c r="AK95" i="5"/>
  <c r="AK84" i="5"/>
  <c r="AL84" i="5"/>
  <c r="AK99" i="5"/>
  <c r="AL99" i="5"/>
  <c r="AK81" i="5"/>
  <c r="AL81" i="5"/>
  <c r="AK70" i="5"/>
  <c r="AL70" i="5"/>
  <c r="AK83" i="5"/>
  <c r="AL83" i="5"/>
  <c r="AK58" i="5"/>
  <c r="AL58" i="5"/>
  <c r="AK40" i="5"/>
  <c r="AL40" i="5"/>
  <c r="AL65" i="5"/>
  <c r="AK65" i="5"/>
  <c r="AK54" i="5"/>
  <c r="AL54" i="5"/>
  <c r="AL36" i="5"/>
  <c r="AK36" i="5"/>
  <c r="AK59" i="5"/>
  <c r="AL59" i="5"/>
  <c r="AK34" i="5"/>
  <c r="AL34" i="5"/>
  <c r="AK45" i="5"/>
  <c r="AL45" i="5"/>
  <c r="AL32" i="5"/>
  <c r="AK32" i="5"/>
  <c r="AK46" i="5"/>
  <c r="AL46" i="5"/>
  <c r="AK33" i="5"/>
  <c r="AL33" i="5"/>
  <c r="AK48" i="5"/>
  <c r="AL48" i="5"/>
  <c r="AK26" i="5"/>
  <c r="AL26" i="5"/>
  <c r="T28" i="5"/>
  <c r="T29" i="5"/>
  <c r="T38" i="5"/>
  <c r="T44" i="5"/>
  <c r="T46" i="5"/>
  <c r="T21" i="5"/>
  <c r="T24" i="5"/>
  <c r="T26" i="5"/>
  <c r="T27" i="5"/>
  <c r="T31" i="5"/>
  <c r="T32" i="5"/>
  <c r="T39" i="5"/>
  <c r="T42" i="5"/>
  <c r="T45" i="5"/>
  <c r="T22" i="5"/>
  <c r="T34" i="5"/>
  <c r="T36" i="5"/>
  <c r="T40" i="5"/>
  <c r="T43" i="5"/>
  <c r="T47" i="5"/>
  <c r="T48" i="5"/>
  <c r="T49" i="5"/>
  <c r="T41" i="5"/>
  <c r="T52" i="5"/>
  <c r="T53" i="5"/>
  <c r="T54" i="5"/>
  <c r="T64" i="5"/>
  <c r="T70" i="5"/>
  <c r="T20" i="5"/>
  <c r="T23" i="5"/>
  <c r="T30" i="5"/>
  <c r="T33" i="5"/>
  <c r="T50" i="5"/>
  <c r="T51" i="5"/>
  <c r="T56" i="5"/>
  <c r="T59" i="5"/>
  <c r="T62" i="5"/>
  <c r="T65" i="5"/>
  <c r="T67" i="5"/>
  <c r="T35" i="5"/>
  <c r="T55" i="5"/>
  <c r="T58" i="5"/>
  <c r="T63" i="5"/>
  <c r="T66" i="5"/>
  <c r="T68" i="5"/>
  <c r="T71" i="5"/>
  <c r="T76" i="5"/>
  <c r="T80" i="5"/>
  <c r="T74" i="5"/>
  <c r="T77" i="5"/>
  <c r="T57" i="5"/>
  <c r="T61" i="5"/>
  <c r="T73" i="5"/>
  <c r="T78" i="5"/>
  <c r="T89" i="5"/>
  <c r="T92" i="5"/>
  <c r="T25" i="5"/>
  <c r="T81" i="5"/>
  <c r="T82" i="5"/>
  <c r="T94" i="5"/>
  <c r="T96" i="5"/>
  <c r="T97" i="5"/>
  <c r="T98" i="5"/>
  <c r="T69" i="5"/>
  <c r="T95" i="5"/>
  <c r="T102" i="5"/>
  <c r="T105" i="5"/>
  <c r="T107" i="5"/>
  <c r="T60" i="5"/>
  <c r="T72" i="5"/>
  <c r="T83" i="5"/>
  <c r="T85" i="5"/>
  <c r="T88" i="5"/>
  <c r="T90" i="5"/>
  <c r="T91" i="5"/>
  <c r="T101" i="5"/>
  <c r="T108" i="5"/>
  <c r="T110" i="5"/>
  <c r="T37" i="5"/>
  <c r="T87" i="5"/>
  <c r="T93" i="5"/>
  <c r="T113" i="5"/>
  <c r="T121" i="5"/>
  <c r="T126" i="5"/>
  <c r="T127" i="5"/>
  <c r="T132" i="5"/>
  <c r="T136" i="5"/>
  <c r="T139" i="5"/>
  <c r="T141" i="5"/>
  <c r="T147" i="5"/>
  <c r="T155" i="5"/>
  <c r="T84" i="5"/>
  <c r="T99" i="5"/>
  <c r="T103" i="5"/>
  <c r="T106" i="5"/>
  <c r="T109" i="5"/>
  <c r="T112" i="5"/>
  <c r="T116" i="5"/>
  <c r="T117" i="5"/>
  <c r="T123" i="5"/>
  <c r="T124" i="5"/>
  <c r="T129" i="5"/>
  <c r="T131" i="5"/>
  <c r="T137" i="5"/>
  <c r="T142" i="5"/>
  <c r="T148" i="5"/>
  <c r="T151" i="5"/>
  <c r="T156" i="5"/>
  <c r="T75" i="5"/>
  <c r="T104" i="5"/>
  <c r="T114" i="5"/>
  <c r="T115" i="5"/>
  <c r="T119" i="5"/>
  <c r="T122" i="5"/>
  <c r="T130" i="5"/>
  <c r="T138" i="5"/>
  <c r="T143" i="5"/>
  <c r="T145" i="5"/>
  <c r="T146" i="5"/>
  <c r="T152" i="5"/>
  <c r="T125" i="5"/>
  <c r="T128" i="5"/>
  <c r="T134" i="5"/>
  <c r="T149" i="5"/>
  <c r="T165" i="5"/>
  <c r="T167" i="5"/>
  <c r="T171" i="5"/>
  <c r="T173" i="5"/>
  <c r="T177" i="5"/>
  <c r="T178" i="5"/>
  <c r="T181" i="5"/>
  <c r="T187" i="5"/>
  <c r="T86" i="5"/>
  <c r="T111" i="5"/>
  <c r="T118" i="5"/>
  <c r="T133" i="5"/>
  <c r="T140" i="5"/>
  <c r="T163" i="5"/>
  <c r="T169" i="5"/>
  <c r="T170" i="5"/>
  <c r="T182" i="5"/>
  <c r="T184" i="5"/>
  <c r="T79" i="5"/>
  <c r="T100" i="5"/>
  <c r="T154" i="5"/>
  <c r="T158" i="5"/>
  <c r="T161" i="5"/>
  <c r="T172" i="5"/>
  <c r="T175" i="5"/>
  <c r="T179" i="5"/>
  <c r="T183" i="5"/>
  <c r="T185" i="5"/>
  <c r="T186" i="5"/>
  <c r="T189" i="5"/>
  <c r="T190" i="5"/>
  <c r="T194" i="5"/>
  <c r="T197" i="5"/>
  <c r="T198" i="5"/>
  <c r="T201" i="5"/>
  <c r="T204" i="5"/>
  <c r="T206" i="5"/>
  <c r="T164" i="5"/>
  <c r="T188" i="5"/>
  <c r="T196" i="5"/>
  <c r="T200" i="5"/>
  <c r="T202" i="5"/>
  <c r="T203" i="5"/>
  <c r="T205" i="5"/>
  <c r="T208" i="5"/>
  <c r="T209" i="5"/>
  <c r="T211" i="5"/>
  <c r="T215" i="5"/>
  <c r="T218" i="5"/>
  <c r="T220" i="5"/>
  <c r="T223" i="5"/>
  <c r="T224" i="5"/>
  <c r="T227" i="5"/>
  <c r="T234" i="5"/>
  <c r="T239" i="5"/>
  <c r="T245" i="5"/>
  <c r="T120" i="5"/>
  <c r="T144" i="5"/>
  <c r="T150" i="5"/>
  <c r="T159" i="5"/>
  <c r="T166" i="5"/>
  <c r="T193" i="5"/>
  <c r="T199" i="5"/>
  <c r="T212" i="5"/>
  <c r="T216" i="5"/>
  <c r="T217" i="5"/>
  <c r="T222" i="5"/>
  <c r="T229" i="5"/>
  <c r="T232" i="5"/>
  <c r="T238" i="5"/>
  <c r="T242" i="5"/>
  <c r="T243" i="5"/>
  <c r="T157" i="5"/>
  <c r="T168" i="5"/>
  <c r="T174" i="5"/>
  <c r="T180" i="5"/>
  <c r="T191" i="5"/>
  <c r="T192" i="5"/>
  <c r="T207" i="5"/>
  <c r="T210" i="5"/>
  <c r="T213" i="5"/>
  <c r="T219" i="5"/>
  <c r="T221" i="5"/>
  <c r="T225" i="5"/>
  <c r="T230" i="5"/>
  <c r="T233" i="5"/>
  <c r="T235" i="5"/>
  <c r="T236" i="5"/>
  <c r="T240" i="5"/>
  <c r="T153" i="5"/>
  <c r="T176" i="5"/>
  <c r="T241" i="5"/>
  <c r="T248" i="5"/>
  <c r="T249" i="5"/>
  <c r="T252" i="5"/>
  <c r="T254" i="5"/>
  <c r="T255" i="5"/>
  <c r="T257" i="5"/>
  <c r="T260" i="5"/>
  <c r="T263" i="5"/>
  <c r="T265" i="5"/>
  <c r="T270" i="5"/>
  <c r="T273" i="5"/>
  <c r="T274" i="5"/>
  <c r="T277" i="5"/>
  <c r="T278" i="5"/>
  <c r="T279" i="5"/>
  <c r="T282" i="5"/>
  <c r="T289" i="5"/>
  <c r="T295" i="5"/>
  <c r="T301" i="5"/>
  <c r="T306" i="5"/>
  <c r="T308" i="5"/>
  <c r="T314" i="5"/>
  <c r="T318" i="5"/>
  <c r="T322" i="5"/>
  <c r="T327" i="5"/>
  <c r="T332" i="5"/>
  <c r="T334" i="5"/>
  <c r="T135" i="5"/>
  <c r="T237" i="5"/>
  <c r="T244" i="5"/>
  <c r="T250" i="5"/>
  <c r="T251" i="5"/>
  <c r="T258" i="5"/>
  <c r="T266" i="5"/>
  <c r="T276" i="5"/>
  <c r="T284" i="5"/>
  <c r="T288" i="5"/>
  <c r="T291" i="5"/>
  <c r="T292" i="5"/>
  <c r="T299" i="5"/>
  <c r="T302" i="5"/>
  <c r="T311" i="5"/>
  <c r="T313" i="5"/>
  <c r="T316" i="5"/>
  <c r="T323" i="5"/>
  <c r="T325" i="5"/>
  <c r="T328" i="5"/>
  <c r="T331" i="5"/>
  <c r="T160" i="5"/>
  <c r="T226" i="5"/>
  <c r="T231" i="5"/>
  <c r="T246" i="5"/>
  <c r="T253" i="5"/>
  <c r="T256" i="5"/>
  <c r="T259" i="5"/>
  <c r="T261" i="5"/>
  <c r="T264" i="5"/>
  <c r="T268" i="5"/>
  <c r="T269" i="5"/>
  <c r="T271" i="5"/>
  <c r="T281" i="5"/>
  <c r="T285" i="5"/>
  <c r="T290" i="5"/>
  <c r="T293" i="5"/>
  <c r="T296" i="5"/>
  <c r="T298" i="5"/>
  <c r="T300" i="5"/>
  <c r="T303" i="5"/>
  <c r="T305" i="5"/>
  <c r="T307" i="5"/>
  <c r="T310" i="5"/>
  <c r="T320" i="5"/>
  <c r="T321" i="5"/>
  <c r="T326" i="5"/>
  <c r="T330" i="5"/>
  <c r="T335" i="5"/>
  <c r="T343" i="5"/>
  <c r="T349" i="5"/>
  <c r="T354" i="5"/>
  <c r="T356" i="5"/>
  <c r="T262" i="5"/>
  <c r="T267" i="5"/>
  <c r="T280" i="5"/>
  <c r="T283" i="5"/>
  <c r="T286" i="5"/>
  <c r="T309" i="5"/>
  <c r="T312" i="5"/>
  <c r="T315" i="5"/>
  <c r="T329" i="5"/>
  <c r="T337" i="5"/>
  <c r="T342" i="5"/>
  <c r="T345" i="5"/>
  <c r="T350" i="5"/>
  <c r="T359" i="5"/>
  <c r="T362" i="5"/>
  <c r="T364" i="5"/>
  <c r="T366" i="5"/>
  <c r="T367" i="5"/>
  <c r="T378" i="5"/>
  <c r="T381" i="5"/>
  <c r="T387" i="5"/>
  <c r="T390" i="5"/>
  <c r="T393" i="5"/>
  <c r="T400" i="5"/>
  <c r="T403" i="5"/>
  <c r="T405" i="5"/>
  <c r="T410" i="5"/>
  <c r="T415" i="5"/>
  <c r="T420" i="5"/>
  <c r="T421" i="5"/>
  <c r="T424" i="5"/>
  <c r="T429" i="5"/>
  <c r="T433" i="5"/>
  <c r="T436" i="5"/>
  <c r="T437" i="5"/>
  <c r="T214" i="5"/>
  <c r="T247" i="5"/>
  <c r="T297" i="5"/>
  <c r="T317" i="5"/>
  <c r="T341" i="5"/>
  <c r="T369" i="5"/>
  <c r="T371" i="5"/>
  <c r="T372" i="5"/>
  <c r="T375" i="5"/>
  <c r="T376" i="5"/>
  <c r="T380" i="5"/>
  <c r="T385" i="5"/>
  <c r="T386" i="5"/>
  <c r="T389" i="5"/>
  <c r="T391" i="5"/>
  <c r="T396" i="5"/>
  <c r="T407" i="5"/>
  <c r="T409" i="5"/>
  <c r="T418" i="5"/>
  <c r="T162" i="5"/>
  <c r="T195" i="5"/>
  <c r="T228" i="5"/>
  <c r="T272" i="5"/>
  <c r="T275" i="5"/>
  <c r="T294" i="5"/>
  <c r="T319" i="5"/>
  <c r="T336" i="5"/>
  <c r="T340" i="5"/>
  <c r="T348" i="5"/>
  <c r="T353" i="5"/>
  <c r="T355" i="5"/>
  <c r="T361" i="5"/>
  <c r="T363" i="5"/>
  <c r="T365" i="5"/>
  <c r="T373" i="5"/>
  <c r="T379" i="5"/>
  <c r="T382" i="5"/>
  <c r="T383" i="5"/>
  <c r="T388" i="5"/>
  <c r="T392" i="5"/>
  <c r="T399" i="5"/>
  <c r="T402" i="5"/>
  <c r="T404" i="5"/>
  <c r="T408" i="5"/>
  <c r="T411" i="5"/>
  <c r="T414" i="5"/>
  <c r="T417" i="5"/>
  <c r="T287" i="5"/>
  <c r="T324" i="5"/>
  <c r="T357" i="5"/>
  <c r="T370" i="5"/>
  <c r="T384" i="5"/>
  <c r="T428" i="5"/>
  <c r="T430" i="5"/>
  <c r="T432" i="5"/>
  <c r="T441" i="5"/>
  <c r="T443" i="5"/>
  <c r="T447" i="5"/>
  <c r="T448" i="5"/>
  <c r="T451" i="5"/>
  <c r="T458" i="5"/>
  <c r="T460" i="5"/>
  <c r="T466" i="5"/>
  <c r="T472" i="5"/>
  <c r="T478" i="5"/>
  <c r="T481" i="5"/>
  <c r="T491" i="5"/>
  <c r="T494" i="5"/>
  <c r="T499" i="5"/>
  <c r="T505" i="5"/>
  <c r="T507" i="5"/>
  <c r="T508" i="5"/>
  <c r="T513" i="5"/>
  <c r="T515" i="5"/>
  <c r="T516" i="5"/>
  <c r="T525" i="5"/>
  <c r="T532" i="5"/>
  <c r="T533" i="5"/>
  <c r="T537" i="5"/>
  <c r="T339" i="5"/>
  <c r="T347" i="5"/>
  <c r="T351" i="5"/>
  <c r="T427" i="5"/>
  <c r="T431" i="5"/>
  <c r="T438" i="5"/>
  <c r="T442" i="5"/>
  <c r="T453" i="5"/>
  <c r="T454" i="5"/>
  <c r="T456" i="5"/>
  <c r="T459" i="5"/>
  <c r="T462" i="5"/>
  <c r="T464" i="5"/>
  <c r="T468" i="5"/>
  <c r="T471" i="5"/>
  <c r="T474" i="5"/>
  <c r="T475" i="5"/>
  <c r="T480" i="5"/>
  <c r="T483" i="5"/>
  <c r="T485" i="5"/>
  <c r="T496" i="5"/>
  <c r="T498" i="5"/>
  <c r="T500" i="5"/>
  <c r="T501" i="5"/>
  <c r="T503" i="5"/>
  <c r="T504" i="5"/>
  <c r="T511" i="5"/>
  <c r="T512" i="5"/>
  <c r="T517" i="5"/>
  <c r="T519" i="5"/>
  <c r="T521" i="5"/>
  <c r="T522" i="5"/>
  <c r="T333" i="5"/>
  <c r="T358" i="5"/>
  <c r="T360" i="5"/>
  <c r="T368" i="5"/>
  <c r="T374" i="5"/>
  <c r="T377" i="5"/>
  <c r="T395" i="5"/>
  <c r="T398" i="5"/>
  <c r="T401" i="5"/>
  <c r="T413" i="5"/>
  <c r="T416" i="5"/>
  <c r="T422" i="5"/>
  <c r="T425" i="5"/>
  <c r="T434" i="5"/>
  <c r="T435" i="5"/>
  <c r="T439" i="5"/>
  <c r="T446" i="5"/>
  <c r="T452" i="5"/>
  <c r="T455" i="5"/>
  <c r="T457" i="5"/>
  <c r="T461" i="5"/>
  <c r="T463" i="5"/>
  <c r="T467" i="5"/>
  <c r="T470" i="5"/>
  <c r="T473" i="5"/>
  <c r="T477" i="5"/>
  <c r="T482" i="5"/>
  <c r="T486" i="5"/>
  <c r="T487" i="5"/>
  <c r="T489" i="5"/>
  <c r="T492" i="5"/>
  <c r="T493" i="5"/>
  <c r="T495" i="5"/>
  <c r="T506" i="5"/>
  <c r="T510" i="5"/>
  <c r="T526" i="5"/>
  <c r="T531" i="5"/>
  <c r="T538" i="5"/>
  <c r="T556" i="5"/>
  <c r="T557" i="5"/>
  <c r="T560" i="5"/>
  <c r="T304" i="5"/>
  <c r="T338" i="5"/>
  <c r="T344" i="5"/>
  <c r="T346" i="5"/>
  <c r="T352" i="5"/>
  <c r="T444" i="5"/>
  <c r="T465" i="5"/>
  <c r="T484" i="5"/>
  <c r="T529" i="5"/>
  <c r="T534" i="5"/>
  <c r="T536" i="5"/>
  <c r="T539" i="5"/>
  <c r="T540" i="5"/>
  <c r="T542" i="5"/>
  <c r="T545" i="5"/>
  <c r="T546" i="5"/>
  <c r="T548" i="5"/>
  <c r="T550" i="5"/>
  <c r="T554" i="5"/>
  <c r="T541" i="5"/>
  <c r="T544" i="5"/>
  <c r="T394" i="5"/>
  <c r="T406" i="5"/>
  <c r="T412" i="5"/>
  <c r="T426" i="5"/>
  <c r="T450" i="5"/>
  <c r="T490" i="5"/>
  <c r="T497" i="5"/>
  <c r="T514" i="5"/>
  <c r="T518" i="5"/>
  <c r="T524" i="5"/>
  <c r="T527" i="5"/>
  <c r="T543" i="5"/>
  <c r="T551" i="5"/>
  <c r="T552" i="5"/>
  <c r="T553" i="5"/>
  <c r="T555" i="5"/>
  <c r="T419" i="5"/>
  <c r="T440" i="5"/>
  <c r="T449" i="5"/>
  <c r="T528" i="5"/>
  <c r="T530" i="5"/>
  <c r="T535" i="5"/>
  <c r="T547" i="5"/>
  <c r="T549" i="5"/>
  <c r="T558" i="5"/>
  <c r="T559" i="5"/>
  <c r="T397" i="5"/>
  <c r="T423" i="5"/>
  <c r="T445" i="5"/>
  <c r="T469" i="5"/>
  <c r="T476" i="5"/>
  <c r="T479" i="5"/>
  <c r="T488" i="5"/>
  <c r="T502" i="5"/>
  <c r="T509" i="5"/>
  <c r="T520" i="5"/>
  <c r="T523" i="5"/>
  <c r="T19" i="5"/>
  <c r="AP486" i="5"/>
  <c r="AI534" i="5"/>
  <c r="AP534" i="5"/>
  <c r="AH534" i="5"/>
  <c r="AI500" i="5"/>
  <c r="AH500" i="5"/>
  <c r="AP500" i="5"/>
  <c r="AP440" i="5"/>
  <c r="AI440" i="5"/>
  <c r="AH440" i="5"/>
  <c r="AI537" i="5"/>
  <c r="AH537" i="5"/>
  <c r="AP537" i="5"/>
  <c r="AH467" i="5"/>
  <c r="AP467" i="5"/>
  <c r="AI467" i="5"/>
  <c r="AH430" i="5"/>
  <c r="AP430" i="5"/>
  <c r="AI430" i="5"/>
  <c r="AI395" i="5"/>
  <c r="AH395" i="5"/>
  <c r="AP395" i="5"/>
  <c r="AI358" i="5"/>
  <c r="AH358" i="5"/>
  <c r="AP358" i="5"/>
  <c r="AH555" i="5"/>
  <c r="AP555" i="5"/>
  <c r="AI555" i="5"/>
  <c r="AI526" i="5"/>
  <c r="AP526" i="5"/>
  <c r="AH526" i="5"/>
  <c r="AI465" i="5"/>
  <c r="AH465" i="5"/>
  <c r="AP465" i="5"/>
  <c r="AH554" i="5"/>
  <c r="AP554" i="5"/>
  <c r="AI554" i="5"/>
  <c r="AP539" i="5"/>
  <c r="AI539" i="5"/>
  <c r="AH539" i="5"/>
  <c r="AI509" i="5"/>
  <c r="AH509" i="5"/>
  <c r="AP509" i="5"/>
  <c r="AI479" i="5"/>
  <c r="AH479" i="5"/>
  <c r="AP479" i="5"/>
  <c r="AP416" i="5"/>
  <c r="AI416" i="5"/>
  <c r="AH416" i="5"/>
  <c r="AH559" i="5"/>
  <c r="AP559" i="5"/>
  <c r="AI559" i="5"/>
  <c r="AH550" i="5"/>
  <c r="AP550" i="5"/>
  <c r="AI550" i="5"/>
  <c r="AH543" i="5"/>
  <c r="AP543" i="5"/>
  <c r="AI543" i="5"/>
  <c r="AP514" i="5"/>
  <c r="AI514" i="5"/>
  <c r="AH514" i="5"/>
  <c r="AI504" i="5"/>
  <c r="AP504" i="5"/>
  <c r="AH504" i="5"/>
  <c r="AI478" i="5"/>
  <c r="AP478" i="5"/>
  <c r="AH478" i="5"/>
  <c r="AI468" i="5"/>
  <c r="AP468" i="5"/>
  <c r="AH468" i="5"/>
  <c r="AI453" i="5"/>
  <c r="AH453" i="5"/>
  <c r="AP453" i="5"/>
  <c r="AP399" i="5"/>
  <c r="AI399" i="5"/>
  <c r="AH399" i="5"/>
  <c r="AI272" i="5"/>
  <c r="AH272" i="5"/>
  <c r="AP272" i="5"/>
  <c r="AI501" i="5"/>
  <c r="AH501" i="5"/>
  <c r="AP501" i="5"/>
  <c r="AI490" i="5"/>
  <c r="AP490" i="5"/>
  <c r="AH490" i="5"/>
  <c r="AI472" i="5"/>
  <c r="AH472" i="5"/>
  <c r="AP472" i="5"/>
  <c r="AI456" i="5"/>
  <c r="AH456" i="5"/>
  <c r="AP456" i="5"/>
  <c r="AI435" i="5"/>
  <c r="AP435" i="5"/>
  <c r="AH435" i="5"/>
  <c r="AI408" i="5"/>
  <c r="AH408" i="5"/>
  <c r="AP408" i="5"/>
  <c r="AH331" i="5"/>
  <c r="AP331" i="5"/>
  <c r="AI331" i="5"/>
  <c r="AI518" i="5"/>
  <c r="AP518" i="5"/>
  <c r="AH518" i="5"/>
  <c r="AI502" i="5"/>
  <c r="AP502" i="5"/>
  <c r="AH502" i="5"/>
  <c r="AI489" i="5"/>
  <c r="AP489" i="5"/>
  <c r="AH489" i="5"/>
  <c r="AI469" i="5"/>
  <c r="AH469" i="5"/>
  <c r="AP469" i="5"/>
  <c r="AI445" i="5"/>
  <c r="AH445" i="5"/>
  <c r="AP445" i="5"/>
  <c r="AI427" i="5"/>
  <c r="AP427" i="5"/>
  <c r="AH427" i="5"/>
  <c r="AI371" i="5"/>
  <c r="AH371" i="5"/>
  <c r="AP371" i="5"/>
  <c r="AI334" i="5"/>
  <c r="AH334" i="5"/>
  <c r="AP334" i="5"/>
  <c r="AH168" i="5"/>
  <c r="AI168" i="5"/>
  <c r="AP168" i="5"/>
  <c r="AI411" i="5"/>
  <c r="AP411" i="5"/>
  <c r="AH411" i="5"/>
  <c r="AI385" i="5"/>
  <c r="AP385" i="5"/>
  <c r="AH385" i="5"/>
  <c r="AI369" i="5"/>
  <c r="AH369" i="5"/>
  <c r="AP369" i="5"/>
  <c r="AI352" i="5"/>
  <c r="AH352" i="5"/>
  <c r="AP352" i="5"/>
  <c r="AP317" i="5"/>
  <c r="AI317" i="5"/>
  <c r="AH317" i="5"/>
  <c r="AI407" i="5"/>
  <c r="AP407" i="5"/>
  <c r="AH407" i="5"/>
  <c r="AI391" i="5"/>
  <c r="AH391" i="5"/>
  <c r="AP391" i="5"/>
  <c r="AH376" i="5"/>
  <c r="AP376" i="5"/>
  <c r="AI376" i="5"/>
  <c r="AI362" i="5"/>
  <c r="AH362" i="5"/>
  <c r="AP362" i="5"/>
  <c r="AP329" i="5"/>
  <c r="AI329" i="5"/>
  <c r="AH329" i="5"/>
  <c r="AI268" i="5"/>
  <c r="AH268" i="5"/>
  <c r="AP268" i="5"/>
  <c r="AH180" i="5"/>
  <c r="AI180" i="5"/>
  <c r="AP180" i="5"/>
  <c r="AI429" i="5"/>
  <c r="AH429" i="5"/>
  <c r="AP429" i="5"/>
  <c r="AI415" i="5"/>
  <c r="AP415" i="5"/>
  <c r="AH415" i="5"/>
  <c r="AI400" i="5"/>
  <c r="AP400" i="5"/>
  <c r="AH400" i="5"/>
  <c r="AI388" i="5"/>
  <c r="AP388" i="5"/>
  <c r="AH388" i="5"/>
  <c r="AI366" i="5"/>
  <c r="AH366" i="5"/>
  <c r="AP366" i="5"/>
  <c r="AP310" i="5"/>
  <c r="AI310" i="5"/>
  <c r="AH310" i="5"/>
  <c r="AH174" i="5"/>
  <c r="AI174" i="5"/>
  <c r="AP174" i="5"/>
  <c r="AP349" i="5"/>
  <c r="AH349" i="5"/>
  <c r="AI349" i="5"/>
  <c r="AI342" i="5"/>
  <c r="AH342" i="5"/>
  <c r="AP342" i="5"/>
  <c r="AI323" i="5"/>
  <c r="AH323" i="5"/>
  <c r="AP323" i="5"/>
  <c r="AI303" i="5"/>
  <c r="AH303" i="5"/>
  <c r="AP303" i="5"/>
  <c r="AH288" i="5"/>
  <c r="AP288" i="5"/>
  <c r="AI288" i="5"/>
  <c r="AH269" i="5"/>
  <c r="AI269" i="5"/>
  <c r="AP269" i="5"/>
  <c r="AI253" i="5"/>
  <c r="AH253" i="5"/>
  <c r="AP253" i="5"/>
  <c r="AH196" i="5"/>
  <c r="AI196" i="5"/>
  <c r="AP196" i="5"/>
  <c r="AH325" i="5"/>
  <c r="AI325" i="5"/>
  <c r="AP325" i="5"/>
  <c r="AI308" i="5"/>
  <c r="AH308" i="5"/>
  <c r="AP308" i="5"/>
  <c r="AP292" i="5"/>
  <c r="AI292" i="5"/>
  <c r="AH292" i="5"/>
  <c r="AH279" i="5"/>
  <c r="AI279" i="5"/>
  <c r="AI266" i="5"/>
  <c r="AH266" i="5"/>
  <c r="AP266" i="5"/>
  <c r="AH241" i="5"/>
  <c r="AI241" i="5"/>
  <c r="AP203" i="5"/>
  <c r="AH203" i="5"/>
  <c r="AI203" i="5"/>
  <c r="AI320" i="5"/>
  <c r="AH320" i="5"/>
  <c r="AP320" i="5"/>
  <c r="AH309" i="5"/>
  <c r="AP309" i="5"/>
  <c r="AI309" i="5"/>
  <c r="AH293" i="5"/>
  <c r="AP293" i="5"/>
  <c r="AI293" i="5"/>
  <c r="AI277" i="5"/>
  <c r="AH277" i="5"/>
  <c r="AP277" i="5"/>
  <c r="AH263" i="5"/>
  <c r="AP263" i="5"/>
  <c r="AI263" i="5"/>
  <c r="AI254" i="5"/>
  <c r="AH254" i="5"/>
  <c r="AP254" i="5"/>
  <c r="AI228" i="5"/>
  <c r="AH228" i="5"/>
  <c r="AP228" i="5"/>
  <c r="AI236" i="5"/>
  <c r="AH236" i="5"/>
  <c r="AP236" i="5"/>
  <c r="AI225" i="5"/>
  <c r="AH225" i="5"/>
  <c r="AP225" i="5"/>
  <c r="AH213" i="5"/>
  <c r="AP213" i="5"/>
  <c r="AI213" i="5"/>
  <c r="AH188" i="5"/>
  <c r="AI188" i="5"/>
  <c r="AP188" i="5"/>
  <c r="AH242" i="5"/>
  <c r="AI242" i="5"/>
  <c r="AP242" i="5"/>
  <c r="AH220" i="5"/>
  <c r="AI220" i="5"/>
  <c r="AP220" i="5"/>
  <c r="AI207" i="5"/>
  <c r="AH207" i="5"/>
  <c r="AP207" i="5"/>
  <c r="AH247" i="5"/>
  <c r="AI247" i="5"/>
  <c r="AP247" i="5"/>
  <c r="AI227" i="5"/>
  <c r="AH227" i="5"/>
  <c r="AP227" i="5"/>
  <c r="AH208" i="5"/>
  <c r="AI208" i="5"/>
  <c r="AP208" i="5"/>
  <c r="AI206" i="5"/>
  <c r="AH206" i="5"/>
  <c r="AP206" i="5"/>
  <c r="AI197" i="5"/>
  <c r="AH197" i="5"/>
  <c r="AP197" i="5"/>
  <c r="AH186" i="5"/>
  <c r="AI186" i="5"/>
  <c r="AP186" i="5"/>
  <c r="AH167" i="5"/>
  <c r="AI167" i="5"/>
  <c r="AP167" i="5"/>
  <c r="AI155" i="5"/>
  <c r="AH155" i="5"/>
  <c r="AP155" i="5"/>
  <c r="AI95" i="5"/>
  <c r="AH95" i="5"/>
  <c r="AP95" i="5"/>
  <c r="AH170" i="5"/>
  <c r="AI170" i="5"/>
  <c r="AP170" i="5"/>
  <c r="AH161" i="5"/>
  <c r="AI161" i="5"/>
  <c r="AP161" i="5"/>
  <c r="AH125" i="5"/>
  <c r="AI125" i="5"/>
  <c r="AP125" i="5"/>
  <c r="AI179" i="5"/>
  <c r="AH179" i="5"/>
  <c r="AP179" i="5"/>
  <c r="AI171" i="5"/>
  <c r="AH171" i="5"/>
  <c r="AP171" i="5"/>
  <c r="AI147" i="5"/>
  <c r="AH147" i="5"/>
  <c r="AP147" i="5"/>
  <c r="AI123" i="5"/>
  <c r="AH123" i="5"/>
  <c r="AP123" i="5"/>
  <c r="AH152" i="5"/>
  <c r="AI152" i="5"/>
  <c r="AP152" i="5"/>
  <c r="AH137" i="5"/>
  <c r="AI137" i="5"/>
  <c r="AP137" i="5"/>
  <c r="AI120" i="5"/>
  <c r="AH120" i="5"/>
  <c r="AP120" i="5"/>
  <c r="AI106" i="5"/>
  <c r="AH106" i="5"/>
  <c r="AP106" i="5"/>
  <c r="AI151" i="5"/>
  <c r="AH151" i="5"/>
  <c r="AP151" i="5"/>
  <c r="AH124" i="5"/>
  <c r="AI124" i="5"/>
  <c r="AP124" i="5"/>
  <c r="AI145" i="5"/>
  <c r="AP145" i="5"/>
  <c r="AH145" i="5"/>
  <c r="AH132" i="5"/>
  <c r="AP132" i="5"/>
  <c r="AI132" i="5"/>
  <c r="AH114" i="5"/>
  <c r="AI114" i="5"/>
  <c r="AP114" i="5"/>
  <c r="AI108" i="5"/>
  <c r="AH108" i="5"/>
  <c r="AP108" i="5"/>
  <c r="AI85" i="5"/>
  <c r="AH85" i="5"/>
  <c r="AP85" i="5"/>
  <c r="AH107" i="5"/>
  <c r="AI107" i="5"/>
  <c r="AP107" i="5"/>
  <c r="AI98" i="5"/>
  <c r="AH98" i="5"/>
  <c r="AP98" i="5"/>
  <c r="AH74" i="5"/>
  <c r="AI74" i="5"/>
  <c r="AP74" i="5"/>
  <c r="AH86" i="5"/>
  <c r="AP86" i="5"/>
  <c r="AI86" i="5"/>
  <c r="AI76" i="5"/>
  <c r="AP76" i="5"/>
  <c r="AH76" i="5"/>
  <c r="AH73" i="5"/>
  <c r="AI73" i="5"/>
  <c r="AP73" i="5"/>
  <c r="AH80" i="5"/>
  <c r="AP80" i="5"/>
  <c r="AI80" i="5"/>
  <c r="AI59" i="5"/>
  <c r="AH59" i="5"/>
  <c r="AP59" i="5"/>
  <c r="AH68" i="5"/>
  <c r="AI68" i="5"/>
  <c r="AP68" i="5"/>
  <c r="AH60" i="5"/>
  <c r="AI60" i="5"/>
  <c r="AP60" i="5"/>
  <c r="AH61" i="5"/>
  <c r="AI61" i="5"/>
  <c r="AP61" i="5"/>
  <c r="AH50" i="5"/>
  <c r="AI50" i="5"/>
  <c r="AP50" i="5"/>
  <c r="AI49" i="5"/>
  <c r="AH49" i="5"/>
  <c r="AP49" i="5"/>
  <c r="AH40" i="5"/>
  <c r="AI40" i="5"/>
  <c r="AP40" i="5"/>
  <c r="AP27" i="5"/>
  <c r="AI27" i="5"/>
  <c r="AH27" i="5"/>
  <c r="AI32" i="5"/>
  <c r="AP32" i="5"/>
  <c r="AH32" i="5"/>
  <c r="AI46" i="5"/>
  <c r="AP46" i="5"/>
  <c r="AH46" i="5"/>
  <c r="AI33" i="5"/>
  <c r="AH33" i="5"/>
  <c r="AP33" i="5"/>
  <c r="AO483" i="5"/>
  <c r="AN483" i="5"/>
  <c r="AN372" i="5"/>
  <c r="AO372" i="5"/>
  <c r="AO542" i="5"/>
  <c r="AN542" i="5"/>
  <c r="AO528" i="5"/>
  <c r="AN528" i="5"/>
  <c r="AN424" i="5"/>
  <c r="AO424" i="5"/>
  <c r="AN549" i="5"/>
  <c r="AO549" i="5"/>
  <c r="AO524" i="5"/>
  <c r="AN524" i="5"/>
  <c r="AN433" i="5"/>
  <c r="AO433" i="5"/>
  <c r="AO553" i="5"/>
  <c r="AN553" i="5"/>
  <c r="AN534" i="5"/>
  <c r="AO534" i="5"/>
  <c r="AO517" i="5"/>
  <c r="AN517" i="5"/>
  <c r="AN449" i="5"/>
  <c r="AO449" i="5"/>
  <c r="AN297" i="5"/>
  <c r="AO297" i="5"/>
  <c r="AO554" i="5"/>
  <c r="AN554" i="5"/>
  <c r="AO523" i="5"/>
  <c r="AN523" i="5"/>
  <c r="AN510" i="5"/>
  <c r="AO510" i="5"/>
  <c r="AN503" i="5"/>
  <c r="AO503" i="5"/>
  <c r="AN495" i="5"/>
  <c r="AO495" i="5"/>
  <c r="AO489" i="5"/>
  <c r="AN489" i="5"/>
  <c r="AO482" i="5"/>
  <c r="AN482" i="5"/>
  <c r="AO469" i="5"/>
  <c r="AN469" i="5"/>
  <c r="AO454" i="5"/>
  <c r="AN454" i="5"/>
  <c r="AO443" i="5"/>
  <c r="AN443" i="5"/>
  <c r="AN430" i="5"/>
  <c r="AO430" i="5"/>
  <c r="AO381" i="5"/>
  <c r="AN381" i="5"/>
  <c r="AN519" i="5"/>
  <c r="AO519" i="5"/>
  <c r="AN511" i="5"/>
  <c r="AO511" i="5"/>
  <c r="AN484" i="5"/>
  <c r="AO484" i="5"/>
  <c r="AN470" i="5"/>
  <c r="AO470" i="5"/>
  <c r="AO462" i="5"/>
  <c r="AN462" i="5"/>
  <c r="AN439" i="5"/>
  <c r="AO439" i="5"/>
  <c r="AN412" i="5"/>
  <c r="AO412" i="5"/>
  <c r="AO391" i="5"/>
  <c r="AN391" i="5"/>
  <c r="AO532" i="5"/>
  <c r="AN532" i="5"/>
  <c r="AN515" i="5"/>
  <c r="AO515" i="5"/>
  <c r="AO490" i="5"/>
  <c r="AN490" i="5"/>
  <c r="AO471" i="5"/>
  <c r="AN471" i="5"/>
  <c r="AO457" i="5"/>
  <c r="AN457" i="5"/>
  <c r="AN401" i="5"/>
  <c r="AO401" i="5"/>
  <c r="AO311" i="5"/>
  <c r="AN311" i="5"/>
  <c r="AO400" i="5"/>
  <c r="AN400" i="5"/>
  <c r="AN379" i="5"/>
  <c r="AO379" i="5"/>
  <c r="AO366" i="5"/>
  <c r="AN366" i="5"/>
  <c r="AN348" i="5"/>
  <c r="AO348" i="5"/>
  <c r="AN336" i="5"/>
  <c r="AO336" i="5"/>
  <c r="AO286" i="5"/>
  <c r="AN286" i="5"/>
  <c r="AN254" i="5"/>
  <c r="AO254" i="5"/>
  <c r="AN418" i="5"/>
  <c r="AO418" i="5"/>
  <c r="AO402" i="5"/>
  <c r="AN402" i="5"/>
  <c r="AN389" i="5"/>
  <c r="AO389" i="5"/>
  <c r="AN377" i="5"/>
  <c r="AO377" i="5"/>
  <c r="AO363" i="5"/>
  <c r="AN363" i="5"/>
  <c r="AN350" i="5"/>
  <c r="AO350" i="5"/>
  <c r="AN293" i="5"/>
  <c r="AO293" i="5"/>
  <c r="AN250" i="5"/>
  <c r="AO250" i="5"/>
  <c r="AO431" i="5"/>
  <c r="AN431" i="5"/>
  <c r="AO414" i="5"/>
  <c r="AN414" i="5"/>
  <c r="AO404" i="5"/>
  <c r="AN404" i="5"/>
  <c r="AN376" i="5"/>
  <c r="AO376" i="5"/>
  <c r="AO360" i="5"/>
  <c r="AN360" i="5"/>
  <c r="AN319" i="5"/>
  <c r="AO319" i="5"/>
  <c r="AO224" i="5"/>
  <c r="AN224" i="5"/>
  <c r="AO357" i="5"/>
  <c r="AN357" i="5"/>
  <c r="AN343" i="5"/>
  <c r="AO343" i="5"/>
  <c r="AN330" i="5"/>
  <c r="AO330" i="5"/>
  <c r="AN320" i="5"/>
  <c r="AO320" i="5"/>
  <c r="AN310" i="5"/>
  <c r="AO310" i="5"/>
  <c r="AO301" i="5"/>
  <c r="AN301" i="5"/>
  <c r="AO275" i="5"/>
  <c r="AN275" i="5"/>
  <c r="AN257" i="5"/>
  <c r="AO257" i="5"/>
  <c r="AO248" i="5"/>
  <c r="AN248" i="5"/>
  <c r="AO192" i="5"/>
  <c r="AN192" i="5"/>
  <c r="AN321" i="5"/>
  <c r="AO321" i="5"/>
  <c r="AO294" i="5"/>
  <c r="AN294" i="5"/>
  <c r="AN272" i="5"/>
  <c r="AO272" i="5"/>
  <c r="AO253" i="5"/>
  <c r="AN253" i="5"/>
  <c r="AN327" i="5"/>
  <c r="AO327" i="5"/>
  <c r="AO307" i="5"/>
  <c r="AN307" i="5"/>
  <c r="AN291" i="5"/>
  <c r="AO291" i="5"/>
  <c r="AO281" i="5"/>
  <c r="AN281" i="5"/>
  <c r="AO271" i="5"/>
  <c r="AN271" i="5"/>
  <c r="AO259" i="5"/>
  <c r="AN259" i="5"/>
  <c r="AO193" i="5"/>
  <c r="AN193" i="5"/>
  <c r="AO239" i="5"/>
  <c r="AN239" i="5"/>
  <c r="AN215" i="5"/>
  <c r="AO215" i="5"/>
  <c r="AN186" i="5"/>
  <c r="AO186" i="5"/>
  <c r="AO244" i="5"/>
  <c r="AN244" i="5"/>
  <c r="AO228" i="5"/>
  <c r="AN228" i="5"/>
  <c r="AO217" i="5"/>
  <c r="AN217" i="5"/>
  <c r="AN204" i="5"/>
  <c r="AO204" i="5"/>
  <c r="AN182" i="5"/>
  <c r="AO182" i="5"/>
  <c r="AO233" i="5"/>
  <c r="AN233" i="5"/>
  <c r="AO216" i="5"/>
  <c r="AN216" i="5"/>
  <c r="AN205" i="5"/>
  <c r="AO205" i="5"/>
  <c r="AN165" i="5"/>
  <c r="AO165" i="5"/>
  <c r="AO203" i="5"/>
  <c r="AN203" i="5"/>
  <c r="AO187" i="5"/>
  <c r="AN187" i="5"/>
  <c r="AO162" i="5"/>
  <c r="AN162" i="5"/>
  <c r="AN143" i="5"/>
  <c r="AO143" i="5"/>
  <c r="AO185" i="5"/>
  <c r="AN185" i="5"/>
  <c r="AN170" i="5"/>
  <c r="AO170" i="5"/>
  <c r="AO153" i="5"/>
  <c r="AN153" i="5"/>
  <c r="AN181" i="5"/>
  <c r="AO181" i="5"/>
  <c r="AN167" i="5"/>
  <c r="AO167" i="5"/>
  <c r="AO104" i="5"/>
  <c r="AN104" i="5"/>
  <c r="AO142" i="5"/>
  <c r="AN142" i="5"/>
  <c r="AN124" i="5"/>
  <c r="AO124" i="5"/>
  <c r="AO155" i="5"/>
  <c r="AN155" i="5"/>
  <c r="AO146" i="5"/>
  <c r="AN146" i="5"/>
  <c r="AO128" i="5"/>
  <c r="AN128" i="5"/>
  <c r="AO120" i="5"/>
  <c r="AN120" i="5"/>
  <c r="AN106" i="5"/>
  <c r="AO106" i="5"/>
  <c r="AN151" i="5"/>
  <c r="AO151" i="5"/>
  <c r="AO129" i="5"/>
  <c r="AN129" i="5"/>
  <c r="AO99" i="5"/>
  <c r="AN99" i="5"/>
  <c r="AN87" i="5"/>
  <c r="AO87" i="5"/>
  <c r="AN102" i="5"/>
  <c r="AO102" i="5"/>
  <c r="AN96" i="5"/>
  <c r="AO96" i="5"/>
  <c r="AO90" i="5"/>
  <c r="AN90" i="5"/>
  <c r="AO93" i="5"/>
  <c r="AN93" i="5"/>
  <c r="AN77" i="5"/>
  <c r="AO77" i="5"/>
  <c r="AN62" i="5"/>
  <c r="AO62" i="5"/>
  <c r="AO79" i="5"/>
  <c r="AN79" i="5"/>
  <c r="AN49" i="5"/>
  <c r="AO49" i="5"/>
  <c r="AO57" i="5"/>
  <c r="AN57" i="5"/>
  <c r="AO58" i="5"/>
  <c r="AN58" i="5"/>
  <c r="AO63" i="5"/>
  <c r="AN63" i="5"/>
  <c r="AN28" i="5"/>
  <c r="AO28" i="5"/>
  <c r="AO67" i="5"/>
  <c r="AN67" i="5"/>
  <c r="AO42" i="5"/>
  <c r="AN42" i="5"/>
  <c r="AO46" i="5"/>
  <c r="AN46" i="5"/>
  <c r="AN33" i="5"/>
  <c r="AO33" i="5"/>
  <c r="AO37" i="5"/>
  <c r="AN37" i="5"/>
  <c r="AN25" i="5"/>
  <c r="AO25" i="5"/>
  <c r="AO36" i="5"/>
  <c r="AN36" i="5"/>
  <c r="AP343" i="5"/>
  <c r="AK529" i="5"/>
  <c r="AL529" i="5"/>
  <c r="AK498" i="5"/>
  <c r="AL498" i="5"/>
  <c r="AK530" i="5"/>
  <c r="AL530" i="5"/>
  <c r="AK404" i="5"/>
  <c r="AL404" i="5"/>
  <c r="AK536" i="5"/>
  <c r="AL536" i="5"/>
  <c r="AL456" i="5"/>
  <c r="AK456" i="5"/>
  <c r="AL414" i="5"/>
  <c r="AK414" i="5"/>
  <c r="AK503" i="5"/>
  <c r="AL503" i="5"/>
  <c r="AK463" i="5"/>
  <c r="AL463" i="5"/>
  <c r="AL537" i="5"/>
  <c r="AK537" i="5"/>
  <c r="AL480" i="5"/>
  <c r="AK480" i="5"/>
  <c r="AK352" i="5"/>
  <c r="AL352" i="5"/>
  <c r="AL386" i="5"/>
  <c r="AK386" i="5"/>
  <c r="AL259" i="5"/>
  <c r="AK259" i="5"/>
  <c r="AK364" i="5"/>
  <c r="AL364" i="5"/>
  <c r="AK419" i="5"/>
  <c r="AL419" i="5"/>
  <c r="AK377" i="5"/>
  <c r="AL377" i="5"/>
  <c r="AL296" i="5"/>
  <c r="AK296" i="5"/>
  <c r="AL319" i="5"/>
  <c r="AK319" i="5"/>
  <c r="AK260" i="5"/>
  <c r="AL260" i="5"/>
  <c r="AL306" i="5"/>
  <c r="AK306" i="5"/>
  <c r="AK255" i="5"/>
  <c r="AL255" i="5"/>
  <c r="AL302" i="5"/>
  <c r="AK302" i="5"/>
  <c r="AK243" i="5"/>
  <c r="AL243" i="5"/>
  <c r="AK206" i="5"/>
  <c r="AL206" i="5"/>
  <c r="AK237" i="5"/>
  <c r="AL237" i="5"/>
  <c r="AK219" i="5"/>
  <c r="AL219" i="5"/>
  <c r="AK124" i="5"/>
  <c r="AL124" i="5"/>
  <c r="AL178" i="5"/>
  <c r="AK178" i="5"/>
  <c r="AL139" i="5"/>
  <c r="AK139" i="5"/>
  <c r="AL108" i="5"/>
  <c r="AK108" i="5"/>
  <c r="AK122" i="5"/>
  <c r="AL122" i="5"/>
  <c r="AL126" i="5"/>
  <c r="AK126" i="5"/>
  <c r="AK90" i="5"/>
  <c r="AL90" i="5"/>
  <c r="AK82" i="5"/>
  <c r="AL82" i="5"/>
  <c r="AK75" i="5"/>
  <c r="AL75" i="5"/>
  <c r="AK49" i="5"/>
  <c r="AL49" i="5"/>
  <c r="AK39" i="5"/>
  <c r="AL39" i="5"/>
  <c r="AK29" i="5"/>
  <c r="AL29" i="5"/>
  <c r="AI449" i="5"/>
  <c r="AH449" i="5"/>
  <c r="AP449" i="5"/>
  <c r="AI523" i="5"/>
  <c r="AH523" i="5"/>
  <c r="AP523" i="5"/>
  <c r="AI545" i="5"/>
  <c r="AP545" i="5"/>
  <c r="AH545" i="5"/>
  <c r="AI542" i="5"/>
  <c r="AH542" i="5"/>
  <c r="AP542" i="5"/>
  <c r="AI473" i="5"/>
  <c r="AH473" i="5"/>
  <c r="AP473" i="5"/>
  <c r="AI548" i="5"/>
  <c r="AH548" i="5"/>
  <c r="AP548" i="5"/>
  <c r="AI425" i="5"/>
  <c r="AP425" i="5"/>
  <c r="AH425" i="5"/>
  <c r="B19" i="5"/>
  <c r="AK507" i="5"/>
  <c r="AL507" i="5"/>
  <c r="AK515" i="5"/>
  <c r="AL515" i="5"/>
  <c r="AK447" i="5"/>
  <c r="AL447" i="5"/>
  <c r="AL543" i="5"/>
  <c r="AK543" i="5"/>
  <c r="AK497" i="5"/>
  <c r="AL497" i="5"/>
  <c r="AL555" i="5"/>
  <c r="AK555" i="5"/>
  <c r="AK504" i="5"/>
  <c r="AL504" i="5"/>
  <c r="AL475" i="5"/>
  <c r="AK475" i="5"/>
  <c r="AK383" i="5"/>
  <c r="AL383" i="5"/>
  <c r="AL551" i="5"/>
  <c r="AK551" i="5"/>
  <c r="AK535" i="5"/>
  <c r="AL535" i="5"/>
  <c r="AK516" i="5"/>
  <c r="AL516" i="5"/>
  <c r="AL556" i="5"/>
  <c r="AK556" i="5"/>
  <c r="AK532" i="5"/>
  <c r="AL532" i="5"/>
  <c r="AK423" i="5"/>
  <c r="AL423" i="5"/>
  <c r="AP279" i="5"/>
  <c r="AL279" i="5"/>
  <c r="AK279" i="5"/>
  <c r="AL547" i="5"/>
  <c r="AK547" i="5"/>
  <c r="AL538" i="5"/>
  <c r="AK538" i="5"/>
  <c r="AK527" i="5"/>
  <c r="AL527" i="5"/>
  <c r="AL496" i="5"/>
  <c r="AK496" i="5"/>
  <c r="AK483" i="5"/>
  <c r="AL483" i="5"/>
  <c r="AL458" i="5"/>
  <c r="AK458" i="5"/>
  <c r="AK442" i="5"/>
  <c r="AL442" i="5"/>
  <c r="AK425" i="5"/>
  <c r="AL425" i="5"/>
  <c r="AK417" i="5"/>
  <c r="AL417" i="5"/>
  <c r="AK393" i="5"/>
  <c r="AL393" i="5"/>
  <c r="AK335" i="5"/>
  <c r="AL335" i="5"/>
  <c r="AL518" i="5"/>
  <c r="AK518" i="5"/>
  <c r="AK508" i="5"/>
  <c r="AL508" i="5"/>
  <c r="AK494" i="5"/>
  <c r="AL494" i="5"/>
  <c r="AK487" i="5"/>
  <c r="AL487" i="5"/>
  <c r="AK466" i="5"/>
  <c r="AL466" i="5"/>
  <c r="AK451" i="5"/>
  <c r="AL451" i="5"/>
  <c r="AK441" i="5"/>
  <c r="AL441" i="5"/>
  <c r="AL418" i="5"/>
  <c r="AK418" i="5"/>
  <c r="AL288" i="5"/>
  <c r="AK288" i="5"/>
  <c r="AL512" i="5"/>
  <c r="AK512" i="5"/>
  <c r="AK500" i="5"/>
  <c r="AL500" i="5"/>
  <c r="AK482" i="5"/>
  <c r="AL482" i="5"/>
  <c r="AK476" i="5"/>
  <c r="AL476" i="5"/>
  <c r="AK461" i="5"/>
  <c r="AL461" i="5"/>
  <c r="AK440" i="5"/>
  <c r="AL440" i="5"/>
  <c r="AK385" i="5"/>
  <c r="AL385" i="5"/>
  <c r="AK409" i="5"/>
  <c r="AL409" i="5"/>
  <c r="AK401" i="5"/>
  <c r="AL401" i="5"/>
  <c r="AK387" i="5"/>
  <c r="AL387" i="5"/>
  <c r="AK376" i="5"/>
  <c r="AL376" i="5"/>
  <c r="AL343" i="5"/>
  <c r="AK343" i="5"/>
  <c r="AK264" i="5"/>
  <c r="AL264" i="5"/>
  <c r="AK406" i="5"/>
  <c r="AL406" i="5"/>
  <c r="AK394" i="5"/>
  <c r="AL394" i="5"/>
  <c r="AK366" i="5"/>
  <c r="AL366" i="5"/>
  <c r="AL349" i="5"/>
  <c r="AK349" i="5"/>
  <c r="AK336" i="5"/>
  <c r="AL336" i="5"/>
  <c r="AK439" i="5"/>
  <c r="AL439" i="5"/>
  <c r="AK426" i="5"/>
  <c r="AL426" i="5"/>
  <c r="AK412" i="5"/>
  <c r="AL412" i="5"/>
  <c r="AK390" i="5"/>
  <c r="AL390" i="5"/>
  <c r="AK379" i="5"/>
  <c r="AL379" i="5"/>
  <c r="AK365" i="5"/>
  <c r="AL365" i="5"/>
  <c r="AK356" i="5"/>
  <c r="AL356" i="5"/>
  <c r="AK344" i="5"/>
  <c r="AL344" i="5"/>
  <c r="AL307" i="5"/>
  <c r="AK307" i="5"/>
  <c r="AK212" i="5"/>
  <c r="AL212" i="5"/>
  <c r="AK340" i="5"/>
  <c r="AL340" i="5"/>
  <c r="AK325" i="5"/>
  <c r="AL325" i="5"/>
  <c r="AK308" i="5"/>
  <c r="AL308" i="5"/>
  <c r="AL292" i="5"/>
  <c r="AK292" i="5"/>
  <c r="AK277" i="5"/>
  <c r="AL277" i="5"/>
  <c r="AK267" i="5"/>
  <c r="AL267" i="5"/>
  <c r="AK250" i="5"/>
  <c r="AL250" i="5"/>
  <c r="AL190" i="5"/>
  <c r="AK190" i="5"/>
  <c r="AL320" i="5"/>
  <c r="AK320" i="5"/>
  <c r="AL309" i="5"/>
  <c r="AK309" i="5"/>
  <c r="AL293" i="5"/>
  <c r="AK293" i="5"/>
  <c r="AK275" i="5"/>
  <c r="AL275" i="5"/>
  <c r="AL257" i="5"/>
  <c r="AK257" i="5"/>
  <c r="AL249" i="5"/>
  <c r="AK249" i="5"/>
  <c r="AK177" i="5"/>
  <c r="AL177" i="5"/>
  <c r="AK326" i="5"/>
  <c r="AL326" i="5"/>
  <c r="AL305" i="5"/>
  <c r="AK305" i="5"/>
  <c r="AL290" i="5"/>
  <c r="AK290" i="5"/>
  <c r="AK269" i="5"/>
  <c r="AL269" i="5"/>
  <c r="AL247" i="5"/>
  <c r="AK247" i="5"/>
  <c r="AK211" i="5"/>
  <c r="AL211" i="5"/>
  <c r="AK232" i="5"/>
  <c r="AL232" i="5"/>
  <c r="AK223" i="5"/>
  <c r="AL223" i="5"/>
  <c r="AL209" i="5"/>
  <c r="AK209" i="5"/>
  <c r="AP193" i="5"/>
  <c r="AK193" i="5"/>
  <c r="AL193" i="5"/>
  <c r="AK181" i="5"/>
  <c r="AL181" i="5"/>
  <c r="AK239" i="5"/>
  <c r="AL239" i="5"/>
  <c r="AL215" i="5"/>
  <c r="AK215" i="5"/>
  <c r="AK167" i="5"/>
  <c r="AL167" i="5"/>
  <c r="AL238" i="5"/>
  <c r="AK238" i="5"/>
  <c r="AK222" i="5"/>
  <c r="AL222" i="5"/>
  <c r="AL210" i="5"/>
  <c r="AK210" i="5"/>
  <c r="AK194" i="5"/>
  <c r="AL194" i="5"/>
  <c r="AK142" i="5"/>
  <c r="AL142" i="5"/>
  <c r="AK200" i="5"/>
  <c r="AL200" i="5"/>
  <c r="AK184" i="5"/>
  <c r="AL184" i="5"/>
  <c r="AK165" i="5"/>
  <c r="AL165" i="5"/>
  <c r="AK179" i="5"/>
  <c r="AL179" i="5"/>
  <c r="AL186" i="5"/>
  <c r="AK186" i="5"/>
  <c r="AK174" i="5"/>
  <c r="AL174" i="5"/>
  <c r="AK159" i="5"/>
  <c r="AL159" i="5"/>
  <c r="AL154" i="5"/>
  <c r="AK154" i="5"/>
  <c r="AL144" i="5"/>
  <c r="AK144" i="5"/>
  <c r="AL129" i="5"/>
  <c r="AK129" i="5"/>
  <c r="AK110" i="5"/>
  <c r="AL110" i="5"/>
  <c r="AK86" i="5"/>
  <c r="AL86" i="5"/>
  <c r="AK153" i="5"/>
  <c r="AL153" i="5"/>
  <c r="AL136" i="5"/>
  <c r="AK136" i="5"/>
  <c r="AK127" i="5"/>
  <c r="AL127" i="5"/>
  <c r="AK87" i="5"/>
  <c r="AL87" i="5"/>
  <c r="AK149" i="5"/>
  <c r="AL149" i="5"/>
  <c r="AP128" i="5"/>
  <c r="AK128" i="5"/>
  <c r="AL128" i="5"/>
  <c r="AK118" i="5"/>
  <c r="AL118" i="5"/>
  <c r="AK106" i="5"/>
  <c r="AL106" i="5"/>
  <c r="AK100" i="5"/>
  <c r="AL100" i="5"/>
  <c r="AK92" i="5"/>
  <c r="AL92" i="5"/>
  <c r="AK109" i="5"/>
  <c r="AL109" i="5"/>
  <c r="AK94" i="5"/>
  <c r="AL94" i="5"/>
  <c r="AK78" i="5"/>
  <c r="AL78" i="5"/>
  <c r="AK67" i="5"/>
  <c r="AL67" i="5"/>
  <c r="AK74" i="5"/>
  <c r="AL74" i="5"/>
  <c r="AK77" i="5"/>
  <c r="AL77" i="5"/>
  <c r="AK79" i="5"/>
  <c r="AL79" i="5"/>
  <c r="AL62" i="5"/>
  <c r="AK62" i="5"/>
  <c r="AK50" i="5"/>
  <c r="AL50" i="5"/>
  <c r="AK27" i="5"/>
  <c r="AL27" i="5"/>
  <c r="AK55" i="5"/>
  <c r="AL55" i="5"/>
  <c r="AK69" i="5"/>
  <c r="AL69" i="5"/>
  <c r="AK42" i="5"/>
  <c r="AL42" i="5"/>
  <c r="AL28" i="5"/>
  <c r="AK28" i="5"/>
  <c r="AK44" i="5"/>
  <c r="AL44" i="5"/>
  <c r="AK30" i="5"/>
  <c r="AL30" i="5"/>
  <c r="AK43" i="5"/>
  <c r="AL43" i="5"/>
  <c r="AL25" i="5"/>
  <c r="AK25" i="5"/>
  <c r="B35" i="5"/>
  <c r="D35" i="5" s="1"/>
  <c r="AH19" i="5"/>
  <c r="AI19" i="5"/>
  <c r="AP19" i="5"/>
  <c r="AI527" i="5"/>
  <c r="AH527" i="5"/>
  <c r="AP527" i="5"/>
  <c r="AI470" i="5"/>
  <c r="AH470" i="5"/>
  <c r="AP470" i="5"/>
  <c r="AH560" i="5"/>
  <c r="AI560" i="5"/>
  <c r="AP560" i="5"/>
  <c r="AI529" i="5"/>
  <c r="AH529" i="5"/>
  <c r="AP529" i="5"/>
  <c r="AI461" i="5"/>
  <c r="AH461" i="5"/>
  <c r="AP461" i="5"/>
  <c r="AP428" i="5"/>
  <c r="AI428" i="5"/>
  <c r="AH428" i="5"/>
  <c r="AI389" i="5"/>
  <c r="AP389" i="5"/>
  <c r="AH389" i="5"/>
  <c r="AI540" i="5"/>
  <c r="AH540" i="5"/>
  <c r="AP540" i="5"/>
  <c r="AH552" i="5"/>
  <c r="AI552" i="5"/>
  <c r="AP552" i="5"/>
  <c r="AI519" i="5"/>
  <c r="AH519" i="5"/>
  <c r="AP519" i="5"/>
  <c r="AI455" i="5"/>
  <c r="AH455" i="5"/>
  <c r="AP455" i="5"/>
  <c r="AP547" i="5"/>
  <c r="AI547" i="5"/>
  <c r="AH547" i="5"/>
  <c r="AI535" i="5"/>
  <c r="AH535" i="5"/>
  <c r="AP535" i="5"/>
  <c r="AH506" i="5"/>
  <c r="AP506" i="5"/>
  <c r="AI506" i="5"/>
  <c r="AI476" i="5"/>
  <c r="AP476" i="5"/>
  <c r="AH476" i="5"/>
  <c r="AI392" i="5"/>
  <c r="AP392" i="5"/>
  <c r="AH392" i="5"/>
  <c r="AH557" i="5"/>
  <c r="AI557" i="5"/>
  <c r="AP557" i="5"/>
  <c r="AI549" i="5"/>
  <c r="AH549" i="5"/>
  <c r="AP549" i="5"/>
  <c r="AI531" i="5"/>
  <c r="AH531" i="5"/>
  <c r="AP531" i="5"/>
  <c r="AI512" i="5"/>
  <c r="AH512" i="5"/>
  <c r="AP512" i="5"/>
  <c r="AI498" i="5"/>
  <c r="AP498" i="5"/>
  <c r="AH498" i="5"/>
  <c r="AI477" i="5"/>
  <c r="AH477" i="5"/>
  <c r="AP477" i="5"/>
  <c r="AI462" i="5"/>
  <c r="AH462" i="5"/>
  <c r="AP462" i="5"/>
  <c r="AH452" i="5"/>
  <c r="AP452" i="5"/>
  <c r="AI452" i="5"/>
  <c r="AI363" i="5"/>
  <c r="AH363" i="5"/>
  <c r="AP363" i="5"/>
  <c r="AI517" i="5"/>
  <c r="AH517" i="5"/>
  <c r="AP517" i="5"/>
  <c r="AI497" i="5"/>
  <c r="AH497" i="5"/>
  <c r="AP497" i="5"/>
  <c r="AI485" i="5"/>
  <c r="AH485" i="5"/>
  <c r="AP485" i="5"/>
  <c r="AI464" i="5"/>
  <c r="AP464" i="5"/>
  <c r="AH464" i="5"/>
  <c r="AP448" i="5"/>
  <c r="AI448" i="5"/>
  <c r="AH448" i="5"/>
  <c r="AP434" i="5"/>
  <c r="AI434" i="5"/>
  <c r="AH434" i="5"/>
  <c r="AI384" i="5"/>
  <c r="AP384" i="5"/>
  <c r="AH384" i="5"/>
  <c r="AP294" i="5"/>
  <c r="AI294" i="5"/>
  <c r="AH294" i="5"/>
  <c r="AI513" i="5"/>
  <c r="AH513" i="5"/>
  <c r="AP513" i="5"/>
  <c r="AH499" i="5"/>
  <c r="AP499" i="5"/>
  <c r="AI499" i="5"/>
  <c r="AH488" i="5"/>
  <c r="AP488" i="5"/>
  <c r="AI488" i="5"/>
  <c r="AI466" i="5"/>
  <c r="AP466" i="5"/>
  <c r="AH466" i="5"/>
  <c r="AP443" i="5"/>
  <c r="AI443" i="5"/>
  <c r="AH443" i="5"/>
  <c r="AI419" i="5"/>
  <c r="AP419" i="5"/>
  <c r="AH419" i="5"/>
  <c r="AI350" i="5"/>
  <c r="AH350" i="5"/>
  <c r="AP350" i="5"/>
  <c r="AH305" i="5"/>
  <c r="AP305" i="5"/>
  <c r="AI305" i="5"/>
  <c r="AP418" i="5"/>
  <c r="AI418" i="5"/>
  <c r="AH418" i="5"/>
  <c r="AI404" i="5"/>
  <c r="AH404" i="5"/>
  <c r="AP404" i="5"/>
  <c r="AI383" i="5"/>
  <c r="AP383" i="5"/>
  <c r="AH383" i="5"/>
  <c r="AP361" i="5"/>
  <c r="AI361" i="5"/>
  <c r="AH361" i="5"/>
  <c r="AI351" i="5"/>
  <c r="AP351" i="5"/>
  <c r="AH351" i="5"/>
  <c r="AH202" i="5"/>
  <c r="AI202" i="5"/>
  <c r="AP202" i="5"/>
  <c r="AI405" i="5"/>
  <c r="AP405" i="5"/>
  <c r="AH405" i="5"/>
  <c r="AI387" i="5"/>
  <c r="AP387" i="5"/>
  <c r="AH387" i="5"/>
  <c r="AI372" i="5"/>
  <c r="AH372" i="5"/>
  <c r="AP372" i="5"/>
  <c r="AI355" i="5"/>
  <c r="AH355" i="5"/>
  <c r="AP355" i="5"/>
  <c r="AI326" i="5"/>
  <c r="AH326" i="5"/>
  <c r="AP326" i="5"/>
  <c r="AH267" i="5"/>
  <c r="AI267" i="5"/>
  <c r="AP267" i="5"/>
  <c r="AI437" i="5"/>
  <c r="AP437" i="5"/>
  <c r="AH437" i="5"/>
  <c r="AI424" i="5"/>
  <c r="AH424" i="5"/>
  <c r="AP424" i="5"/>
  <c r="AI406" i="5"/>
  <c r="AH406" i="5"/>
  <c r="AP406" i="5"/>
  <c r="AI398" i="5"/>
  <c r="AH398" i="5"/>
  <c r="AP398" i="5"/>
  <c r="AI382" i="5"/>
  <c r="AH382" i="5"/>
  <c r="AP382" i="5"/>
  <c r="AI364" i="5"/>
  <c r="AP364" i="5"/>
  <c r="AH364" i="5"/>
  <c r="AH290" i="5"/>
  <c r="AP290" i="5"/>
  <c r="AI290" i="5"/>
  <c r="AI359" i="5"/>
  <c r="AP359" i="5"/>
  <c r="AH359" i="5"/>
  <c r="AI348" i="5"/>
  <c r="AH348" i="5"/>
  <c r="AP348" i="5"/>
  <c r="AI338" i="5"/>
  <c r="AH338" i="5"/>
  <c r="AP338" i="5"/>
  <c r="AH318" i="5"/>
  <c r="AP318" i="5"/>
  <c r="AI318" i="5"/>
  <c r="AP300" i="5"/>
  <c r="AH300" i="5"/>
  <c r="AI300" i="5"/>
  <c r="AP285" i="5"/>
  <c r="AI285" i="5"/>
  <c r="AH285" i="5"/>
  <c r="AI264" i="5"/>
  <c r="AH264" i="5"/>
  <c r="AP264" i="5"/>
  <c r="AH244" i="5"/>
  <c r="AI244" i="5"/>
  <c r="AP244" i="5"/>
  <c r="AH117" i="5"/>
  <c r="AI117" i="5"/>
  <c r="AP319" i="5"/>
  <c r="AI319" i="5"/>
  <c r="AH319" i="5"/>
  <c r="AP304" i="5"/>
  <c r="AI304" i="5"/>
  <c r="AH304" i="5"/>
  <c r="AH289" i="5"/>
  <c r="AP289" i="5"/>
  <c r="AI289" i="5"/>
  <c r="AH278" i="5"/>
  <c r="AI278" i="5"/>
  <c r="AP278" i="5"/>
  <c r="AP258" i="5"/>
  <c r="AH258" i="5"/>
  <c r="AI258" i="5"/>
  <c r="AP219" i="5"/>
  <c r="AH219" i="5"/>
  <c r="AI219" i="5"/>
  <c r="AI332" i="5"/>
  <c r="AP332" i="5"/>
  <c r="AH332" i="5"/>
  <c r="AP315" i="5"/>
  <c r="AH315" i="5"/>
  <c r="AI315" i="5"/>
  <c r="AH306" i="5"/>
  <c r="AP306" i="5"/>
  <c r="AI306" i="5"/>
  <c r="AP287" i="5"/>
  <c r="AH287" i="5"/>
  <c r="AI287" i="5"/>
  <c r="AH274" i="5"/>
  <c r="AI274" i="5"/>
  <c r="AP274" i="5"/>
  <c r="AI260" i="5"/>
  <c r="AH260" i="5"/>
  <c r="AP260" i="5"/>
  <c r="AH252" i="5"/>
  <c r="AI252" i="5"/>
  <c r="AP252" i="5"/>
  <c r="AH214" i="5"/>
  <c r="AI214" i="5"/>
  <c r="AP214" i="5"/>
  <c r="AH235" i="5"/>
  <c r="AI235" i="5"/>
  <c r="AP235" i="5"/>
  <c r="AI222" i="5"/>
  <c r="AH222" i="5"/>
  <c r="AP222" i="5"/>
  <c r="AH212" i="5"/>
  <c r="AI212" i="5"/>
  <c r="AP212" i="5"/>
  <c r="AH166" i="5"/>
  <c r="AI166" i="5"/>
  <c r="AP166" i="5"/>
  <c r="AI232" i="5"/>
  <c r="AH232" i="5"/>
  <c r="AP232" i="5"/>
  <c r="AI216" i="5"/>
  <c r="AH216" i="5"/>
  <c r="AP216" i="5"/>
  <c r="AH192" i="5"/>
  <c r="AI192" i="5"/>
  <c r="AP192" i="5"/>
  <c r="AH245" i="5"/>
  <c r="AI245" i="5"/>
  <c r="AP245" i="5"/>
  <c r="AH223" i="5"/>
  <c r="AP223" i="5"/>
  <c r="AI223" i="5"/>
  <c r="AI193" i="5"/>
  <c r="AH193" i="5"/>
  <c r="AH201" i="5"/>
  <c r="AP201" i="5"/>
  <c r="AI201" i="5"/>
  <c r="AH194" i="5"/>
  <c r="AI194" i="5"/>
  <c r="AP194" i="5"/>
  <c r="AH185" i="5"/>
  <c r="AI185" i="5"/>
  <c r="AP185" i="5"/>
  <c r="AH162" i="5"/>
  <c r="AI162" i="5"/>
  <c r="AP162" i="5"/>
  <c r="AP140" i="5"/>
  <c r="AH140" i="5"/>
  <c r="AI140" i="5"/>
  <c r="AH184" i="5"/>
  <c r="AI184" i="5"/>
  <c r="AP184" i="5"/>
  <c r="AI169" i="5"/>
  <c r="AH169" i="5"/>
  <c r="AP169" i="5"/>
  <c r="AI149" i="5"/>
  <c r="AH149" i="5"/>
  <c r="AP149" i="5"/>
  <c r="AH112" i="5"/>
  <c r="AI112" i="5"/>
  <c r="AP112" i="5"/>
  <c r="AH178" i="5"/>
  <c r="AI178" i="5"/>
  <c r="AP178" i="5"/>
  <c r="AH158" i="5"/>
  <c r="AP158" i="5"/>
  <c r="AI158" i="5"/>
  <c r="AH144" i="5"/>
  <c r="AP144" i="5"/>
  <c r="AI144" i="5"/>
  <c r="AI116" i="5"/>
  <c r="AH116" i="5"/>
  <c r="AP116" i="5"/>
  <c r="AH146" i="5"/>
  <c r="AI146" i="5"/>
  <c r="AP146" i="5"/>
  <c r="AH134" i="5"/>
  <c r="AP134" i="5"/>
  <c r="AI134" i="5"/>
  <c r="AH119" i="5"/>
  <c r="AI119" i="5"/>
  <c r="AP99" i="5"/>
  <c r="AH99" i="5"/>
  <c r="AI99" i="5"/>
  <c r="AH148" i="5"/>
  <c r="AI148" i="5"/>
  <c r="AP148" i="5"/>
  <c r="AI104" i="5"/>
  <c r="AH104" i="5"/>
  <c r="AP104" i="5"/>
  <c r="AH143" i="5"/>
  <c r="AI143" i="5"/>
  <c r="AP143" i="5"/>
  <c r="AH127" i="5"/>
  <c r="AI127" i="5"/>
  <c r="AI113" i="5"/>
  <c r="AH113" i="5"/>
  <c r="AP113" i="5"/>
  <c r="AI101" i="5"/>
  <c r="AH101" i="5"/>
  <c r="AP101" i="5"/>
  <c r="AI82" i="5"/>
  <c r="AP82" i="5"/>
  <c r="AH82" i="5"/>
  <c r="AI105" i="5"/>
  <c r="AH105" i="5"/>
  <c r="AP105" i="5"/>
  <c r="AH97" i="5"/>
  <c r="AI97" i="5"/>
  <c r="AP97" i="5"/>
  <c r="AI94" i="5"/>
  <c r="AH94" i="5"/>
  <c r="AP94" i="5"/>
  <c r="AI81" i="5"/>
  <c r="AH81" i="5"/>
  <c r="AP81" i="5"/>
  <c r="AH72" i="5"/>
  <c r="AI72" i="5"/>
  <c r="AP72" i="5"/>
  <c r="AI70" i="5"/>
  <c r="AP70" i="5"/>
  <c r="AH70" i="5"/>
  <c r="AI26" i="5"/>
  <c r="AH26" i="5"/>
  <c r="AP26" i="5"/>
  <c r="AH58" i="5"/>
  <c r="AP58" i="5"/>
  <c r="AI58" i="5"/>
  <c r="AH67" i="5"/>
  <c r="AI67" i="5"/>
  <c r="AP67" i="5"/>
  <c r="AH56" i="5"/>
  <c r="AI56" i="5"/>
  <c r="AP56" i="5"/>
  <c r="AI57" i="5"/>
  <c r="AH57" i="5"/>
  <c r="AP57" i="5"/>
  <c r="AH37" i="5"/>
  <c r="AI37" i="5"/>
  <c r="AP37" i="5"/>
  <c r="AH48" i="5"/>
  <c r="AP48" i="5"/>
  <c r="AI48" i="5"/>
  <c r="AH36" i="5"/>
  <c r="AI36" i="5"/>
  <c r="AP36" i="5"/>
  <c r="AI45" i="5"/>
  <c r="AH45" i="5"/>
  <c r="AP45" i="5"/>
  <c r="AP28" i="5"/>
  <c r="AI28" i="5"/>
  <c r="AH28" i="5"/>
  <c r="AP44" i="5"/>
  <c r="AH44" i="5"/>
  <c r="AI44" i="5"/>
  <c r="AI30" i="5"/>
  <c r="AH30" i="5"/>
  <c r="AP30" i="5"/>
  <c r="AN19" i="5"/>
  <c r="AO19" i="5"/>
  <c r="AN464" i="5"/>
  <c r="AO464" i="5"/>
  <c r="AN559" i="5"/>
  <c r="AO559" i="5"/>
  <c r="AN541" i="5"/>
  <c r="AO541" i="5"/>
  <c r="AO501" i="5"/>
  <c r="AN501" i="5"/>
  <c r="AO407" i="5"/>
  <c r="AN407" i="5"/>
  <c r="AO544" i="5"/>
  <c r="AN544" i="5"/>
  <c r="AO448" i="5"/>
  <c r="AN448" i="5"/>
  <c r="AO558" i="5"/>
  <c r="AN558" i="5"/>
  <c r="AN548" i="5"/>
  <c r="AO548" i="5"/>
  <c r="AO529" i="5"/>
  <c r="AN529" i="5"/>
  <c r="AO513" i="5"/>
  <c r="AN513" i="5"/>
  <c r="AN425" i="5"/>
  <c r="AO425" i="5"/>
  <c r="AO229" i="5"/>
  <c r="AN229" i="5"/>
  <c r="AN545" i="5"/>
  <c r="AO545" i="5"/>
  <c r="AN522" i="5"/>
  <c r="AO522" i="5"/>
  <c r="AN509" i="5"/>
  <c r="AO509" i="5"/>
  <c r="AN502" i="5"/>
  <c r="AO502" i="5"/>
  <c r="AO494" i="5"/>
  <c r="AN494" i="5"/>
  <c r="AN488" i="5"/>
  <c r="AO488" i="5"/>
  <c r="AN479" i="5"/>
  <c r="AO479" i="5"/>
  <c r="AN466" i="5"/>
  <c r="AO466" i="5"/>
  <c r="AO453" i="5"/>
  <c r="AN453" i="5"/>
  <c r="AN441" i="5"/>
  <c r="AO441" i="5"/>
  <c r="AO405" i="5"/>
  <c r="AN405" i="5"/>
  <c r="AO353" i="5"/>
  <c r="AN353" i="5"/>
  <c r="AO516" i="5"/>
  <c r="AN516" i="5"/>
  <c r="AO507" i="5"/>
  <c r="AN507" i="5"/>
  <c r="AO480" i="5"/>
  <c r="AN480" i="5"/>
  <c r="AN468" i="5"/>
  <c r="AO468" i="5"/>
  <c r="AO461" i="5"/>
  <c r="AN461" i="5"/>
  <c r="AO429" i="5"/>
  <c r="AN429" i="5"/>
  <c r="AN403" i="5"/>
  <c r="AO403" i="5"/>
  <c r="AO382" i="5"/>
  <c r="AN382" i="5"/>
  <c r="AO531" i="5"/>
  <c r="AN531" i="5"/>
  <c r="AN504" i="5"/>
  <c r="AO504" i="5"/>
  <c r="AO478" i="5"/>
  <c r="AN478" i="5"/>
  <c r="AN460" i="5"/>
  <c r="AO460" i="5"/>
  <c r="AN452" i="5"/>
  <c r="AO452" i="5"/>
  <c r="AN368" i="5"/>
  <c r="AO368" i="5"/>
  <c r="AN416" i="5"/>
  <c r="AO416" i="5"/>
  <c r="AN398" i="5"/>
  <c r="AO398" i="5"/>
  <c r="AN378" i="5"/>
  <c r="AO378" i="5"/>
  <c r="AN364" i="5"/>
  <c r="AO364" i="5"/>
  <c r="AO342" i="5"/>
  <c r="AN342" i="5"/>
  <c r="AN333" i="5"/>
  <c r="AO333" i="5"/>
  <c r="AO280" i="5"/>
  <c r="AN280" i="5"/>
  <c r="AN245" i="5"/>
  <c r="AO245" i="5"/>
  <c r="AO417" i="5"/>
  <c r="AN417" i="5"/>
  <c r="AO399" i="5"/>
  <c r="AN399" i="5"/>
  <c r="AN386" i="5"/>
  <c r="AO386" i="5"/>
  <c r="AN375" i="5"/>
  <c r="AO375" i="5"/>
  <c r="AO361" i="5"/>
  <c r="AN361" i="5"/>
  <c r="AN345" i="5"/>
  <c r="AO345" i="5"/>
  <c r="AO277" i="5"/>
  <c r="AN277" i="5"/>
  <c r="AN440" i="5"/>
  <c r="AO440" i="5"/>
  <c r="AN428" i="5"/>
  <c r="AO428" i="5"/>
  <c r="AN411" i="5"/>
  <c r="AO411" i="5"/>
  <c r="AO393" i="5"/>
  <c r="AN393" i="5"/>
  <c r="AN373" i="5"/>
  <c r="AO373" i="5"/>
  <c r="AO352" i="5"/>
  <c r="AN352" i="5"/>
  <c r="AO316" i="5"/>
  <c r="AN316" i="5"/>
  <c r="AO218" i="5"/>
  <c r="AN218" i="5"/>
  <c r="AN351" i="5"/>
  <c r="AO351" i="5"/>
  <c r="AN339" i="5"/>
  <c r="AO339" i="5"/>
  <c r="AO329" i="5"/>
  <c r="AN329" i="5"/>
  <c r="AN315" i="5"/>
  <c r="AO315" i="5"/>
  <c r="AN309" i="5"/>
  <c r="AO309" i="5"/>
  <c r="AO295" i="5"/>
  <c r="AN295" i="5"/>
  <c r="AN268" i="5"/>
  <c r="AO268" i="5"/>
  <c r="AO255" i="5"/>
  <c r="AN255" i="5"/>
  <c r="AO241" i="5"/>
  <c r="AN241" i="5"/>
  <c r="AN188" i="5"/>
  <c r="AO188" i="5"/>
  <c r="AN317" i="5"/>
  <c r="AO317" i="5"/>
  <c r="AO290" i="5"/>
  <c r="AN290" i="5"/>
  <c r="AO269" i="5"/>
  <c r="AN269" i="5"/>
  <c r="AO247" i="5"/>
  <c r="AN247" i="5"/>
  <c r="AN323" i="5"/>
  <c r="AO323" i="5"/>
  <c r="AO303" i="5"/>
  <c r="AN303" i="5"/>
  <c r="AN288" i="5"/>
  <c r="AO288" i="5"/>
  <c r="AO279" i="5"/>
  <c r="AN279" i="5"/>
  <c r="AN266" i="5"/>
  <c r="AO266" i="5"/>
  <c r="AO246" i="5"/>
  <c r="AN246" i="5"/>
  <c r="AN191" i="5"/>
  <c r="AO191" i="5"/>
  <c r="AO237" i="5"/>
  <c r="AN237" i="5"/>
  <c r="AN202" i="5"/>
  <c r="AO202" i="5"/>
  <c r="AO184" i="5"/>
  <c r="AN184" i="5"/>
  <c r="AO242" i="5"/>
  <c r="AN242" i="5"/>
  <c r="AN226" i="5"/>
  <c r="AO226" i="5"/>
  <c r="AN214" i="5"/>
  <c r="AO214" i="5"/>
  <c r="AO196" i="5"/>
  <c r="AN196" i="5"/>
  <c r="AO179" i="5"/>
  <c r="AN179" i="5"/>
  <c r="AO230" i="5"/>
  <c r="AN230" i="5"/>
  <c r="AN213" i="5"/>
  <c r="AO213" i="5"/>
  <c r="AO190" i="5"/>
  <c r="AN190" i="5"/>
  <c r="AO136" i="5"/>
  <c r="AN136" i="5"/>
  <c r="AO201" i="5"/>
  <c r="AN201" i="5"/>
  <c r="AN183" i="5"/>
  <c r="AO183" i="5"/>
  <c r="AN158" i="5"/>
  <c r="AO158" i="5"/>
  <c r="AO134" i="5"/>
  <c r="AN134" i="5"/>
  <c r="AN180" i="5"/>
  <c r="AO180" i="5"/>
  <c r="AN166" i="5"/>
  <c r="AO166" i="5"/>
  <c r="AN150" i="5"/>
  <c r="AO150" i="5"/>
  <c r="AO177" i="5"/>
  <c r="AN177" i="5"/>
  <c r="AO163" i="5"/>
  <c r="AN163" i="5"/>
  <c r="AO101" i="5"/>
  <c r="AN101" i="5"/>
  <c r="AO139" i="5"/>
  <c r="AN139" i="5"/>
  <c r="AN119" i="5"/>
  <c r="AO119" i="5"/>
  <c r="AN154" i="5"/>
  <c r="AO154" i="5"/>
  <c r="AN138" i="5"/>
  <c r="AO138" i="5"/>
  <c r="AN126" i="5"/>
  <c r="AO126" i="5"/>
  <c r="AN117" i="5"/>
  <c r="AO117" i="5"/>
  <c r="AN100" i="5"/>
  <c r="AO100" i="5"/>
  <c r="AO144" i="5"/>
  <c r="AN144" i="5"/>
  <c r="AN121" i="5"/>
  <c r="AO121" i="5"/>
  <c r="AN94" i="5"/>
  <c r="AO94" i="5"/>
  <c r="AO86" i="5"/>
  <c r="AN86" i="5"/>
  <c r="AO74" i="5"/>
  <c r="AN74" i="5"/>
  <c r="AO95" i="5"/>
  <c r="AN95" i="5"/>
  <c r="AO89" i="5"/>
  <c r="AN89" i="5"/>
  <c r="AO84" i="5"/>
  <c r="AN84" i="5"/>
  <c r="AO76" i="5"/>
  <c r="AN76" i="5"/>
  <c r="AN59" i="5"/>
  <c r="AO59" i="5"/>
  <c r="AN75" i="5"/>
  <c r="AO75" i="5"/>
  <c r="AO78" i="5"/>
  <c r="AN78" i="5"/>
  <c r="AO54" i="5"/>
  <c r="AN54" i="5"/>
  <c r="AN55" i="5"/>
  <c r="AO55" i="5"/>
  <c r="AN52" i="5"/>
  <c r="AO52" i="5"/>
  <c r="AO21" i="5"/>
  <c r="AN21" i="5"/>
  <c r="AO64" i="5"/>
  <c r="AN64" i="5"/>
  <c r="AO35" i="5"/>
  <c r="AN35" i="5"/>
  <c r="AO44" i="5"/>
  <c r="AN44" i="5"/>
  <c r="AO30" i="5"/>
  <c r="AN30" i="5"/>
  <c r="AN31" i="5"/>
  <c r="AO31" i="5"/>
  <c r="AN22" i="5"/>
  <c r="AO22" i="5"/>
  <c r="AN34" i="5"/>
  <c r="AO34" i="5"/>
  <c r="AP127" i="5"/>
  <c r="B20" i="5"/>
  <c r="K20" i="2"/>
  <c r="B13" i="5"/>
  <c r="B81" i="2"/>
  <c r="K81" i="2" s="1"/>
  <c r="B24" i="2"/>
  <c r="B32" i="2"/>
  <c r="B28" i="2"/>
  <c r="B26" i="2"/>
  <c r="B22" i="2"/>
  <c r="B30" i="2"/>
  <c r="B19" i="3"/>
  <c r="B20" i="3" s="1"/>
  <c r="B20" i="2" s="1"/>
  <c r="H16" i="1" s="1"/>
  <c r="B11" i="2"/>
  <c r="H13" i="1" s="1"/>
  <c r="B16" i="2"/>
  <c r="H15" i="1" s="1"/>
  <c r="B19" i="2"/>
  <c r="H17" i="1" s="1"/>
  <c r="B15" i="2"/>
  <c r="T325" i="4" l="1"/>
  <c r="AZ323" i="4"/>
  <c r="AZ321" i="4"/>
  <c r="T319" i="4"/>
  <c r="AZ317" i="4"/>
  <c r="T316" i="4"/>
  <c r="AZ311" i="4"/>
  <c r="AZ302" i="4"/>
  <c r="T300" i="4"/>
  <c r="AZ291" i="4"/>
  <c r="T289" i="4"/>
  <c r="AZ285" i="4"/>
  <c r="T279" i="4"/>
  <c r="T274" i="4"/>
  <c r="T270" i="4"/>
  <c r="AZ267" i="4"/>
  <c r="T260" i="4"/>
  <c r="T253" i="4"/>
  <c r="T248" i="4"/>
  <c r="AZ245" i="4"/>
  <c r="T244" i="4"/>
  <c r="AZ235" i="4"/>
  <c r="AZ229" i="4"/>
  <c r="T228" i="4"/>
  <c r="T227" i="4"/>
  <c r="T217" i="4"/>
  <c r="AZ211" i="4"/>
  <c r="AZ208" i="4"/>
  <c r="AZ207" i="4"/>
  <c r="AZ206" i="4"/>
  <c r="AZ204" i="4"/>
  <c r="AZ196" i="4"/>
  <c r="AZ190" i="4"/>
  <c r="T188" i="4"/>
  <c r="T183" i="4"/>
  <c r="AZ179" i="4"/>
  <c r="T176" i="4"/>
  <c r="T175" i="4"/>
  <c r="T322" i="4"/>
  <c r="T310" i="4"/>
  <c r="T309" i="4"/>
  <c r="AZ306" i="4"/>
  <c r="T305" i="4"/>
  <c r="AZ301" i="4"/>
  <c r="T299" i="4"/>
  <c r="AZ296" i="4"/>
  <c r="AZ295" i="4"/>
  <c r="T293" i="4"/>
  <c r="AZ290" i="4"/>
  <c r="T288" i="4"/>
  <c r="T287" i="4"/>
  <c r="AZ284" i="4"/>
  <c r="AZ280" i="4"/>
  <c r="AZ276" i="4"/>
  <c r="AZ272" i="4"/>
  <c r="T269" i="4"/>
  <c r="AZ266" i="4"/>
  <c r="T264" i="4"/>
  <c r="AZ262" i="4"/>
  <c r="AZ261" i="4"/>
  <c r="T257" i="4"/>
  <c r="T252" i="4"/>
  <c r="AZ241" i="4"/>
  <c r="T240" i="4"/>
  <c r="AZ234" i="4"/>
  <c r="T232" i="4"/>
  <c r="T231" i="4"/>
  <c r="T226" i="4"/>
  <c r="AZ220" i="4"/>
  <c r="AZ219" i="4"/>
  <c r="T216" i="4"/>
  <c r="T215" i="4"/>
  <c r="T214" i="4"/>
  <c r="T213" i="4"/>
  <c r="T210" i="4"/>
  <c r="AZ203" i="4"/>
  <c r="T202" i="4"/>
  <c r="AZ199" i="4"/>
  <c r="AZ195" i="4"/>
  <c r="T193" i="4"/>
  <c r="AZ189" i="4"/>
  <c r="T187" i="4"/>
  <c r="AZ178" i="4"/>
  <c r="AZ172" i="4"/>
  <c r="AZ325" i="4"/>
  <c r="AZ320" i="4"/>
  <c r="T318" i="4"/>
  <c r="T315" i="4"/>
  <c r="AZ313" i="4"/>
  <c r="T313" i="4"/>
  <c r="T304" i="4"/>
  <c r="T298" i="4"/>
  <c r="AZ294" i="4"/>
  <c r="AZ283" i="4"/>
  <c r="T278" i="4"/>
  <c r="T277" i="4"/>
  <c r="AZ271" i="4"/>
  <c r="AZ265" i="4"/>
  <c r="T263" i="4"/>
  <c r="AZ258" i="4"/>
  <c r="AZ254" i="4"/>
  <c r="AZ244" i="4"/>
  <c r="T243" i="4"/>
  <c r="T239" i="4"/>
  <c r="AZ237" i="4"/>
  <c r="T236" i="4"/>
  <c r="AZ233" i="4"/>
  <c r="T225" i="4"/>
  <c r="T224" i="4"/>
  <c r="T223" i="4"/>
  <c r="T209" i="4"/>
  <c r="T205" i="4"/>
  <c r="T201" i="4"/>
  <c r="AZ198" i="4"/>
  <c r="T197" i="4"/>
  <c r="T192" i="4"/>
  <c r="T186" i="4"/>
  <c r="AZ184" i="4"/>
  <c r="T182" i="4"/>
  <c r="AZ177" i="4"/>
  <c r="T324" i="4"/>
  <c r="AZ322" i="4"/>
  <c r="AZ319" i="4"/>
  <c r="AZ316" i="4"/>
  <c r="T312" i="4"/>
  <c r="T308" i="4"/>
  <c r="AZ305" i="4"/>
  <c r="T303" i="4"/>
  <c r="AZ300" i="4"/>
  <c r="T292" i="4"/>
  <c r="AZ289" i="4"/>
  <c r="T286" i="4"/>
  <c r="T282" i="4"/>
  <c r="AZ279" i="4"/>
  <c r="AZ275" i="4"/>
  <c r="T256" i="4"/>
  <c r="T251" i="4"/>
  <c r="AZ249" i="4"/>
  <c r="AZ248" i="4"/>
  <c r="T247" i="4"/>
  <c r="T230" i="4"/>
  <c r="AZ228" i="4"/>
  <c r="T222" i="4"/>
  <c r="T221" i="4"/>
  <c r="AZ218" i="4"/>
  <c r="AZ217" i="4"/>
  <c r="AZ205" i="4"/>
  <c r="AZ197" i="4"/>
  <c r="AZ194" i="4"/>
  <c r="T307" i="4"/>
  <c r="AZ299" i="4"/>
  <c r="T297" i="4"/>
  <c r="AZ293" i="4"/>
  <c r="T285" i="4"/>
  <c r="T281" i="4"/>
  <c r="AZ274" i="4"/>
  <c r="T273" i="4"/>
  <c r="AZ270" i="4"/>
  <c r="T268" i="4"/>
  <c r="T267" i="4"/>
  <c r="AZ264" i="4"/>
  <c r="AZ260" i="4"/>
  <c r="T259" i="4"/>
  <c r="AZ253" i="4"/>
  <c r="T246" i="4"/>
  <c r="AZ243" i="4"/>
  <c r="T242" i="4"/>
  <c r="AZ240" i="4"/>
  <c r="AZ236" i="4"/>
  <c r="T235" i="4"/>
  <c r="AZ232" i="4"/>
  <c r="AZ227" i="4"/>
  <c r="T212" i="4"/>
  <c r="AZ210" i="4"/>
  <c r="T208" i="4"/>
  <c r="T207" i="4"/>
  <c r="AZ202" i="4"/>
  <c r="T200" i="4"/>
  <c r="T196" i="4"/>
  <c r="AZ193" i="4"/>
  <c r="T191" i="4"/>
  <c r="T190" i="4"/>
  <c r="AZ188" i="4"/>
  <c r="AZ187" i="4"/>
  <c r="T185" i="4"/>
  <c r="T180" i="4"/>
  <c r="AZ176" i="4"/>
  <c r="AZ175" i="4"/>
  <c r="T173" i="4"/>
  <c r="AZ324" i="4"/>
  <c r="T317" i="4"/>
  <c r="T314" i="4"/>
  <c r="T306" i="4"/>
  <c r="AZ298" i="4"/>
  <c r="T294" i="4"/>
  <c r="T291" i="4"/>
  <c r="T290" i="4"/>
  <c r="AZ278" i="4"/>
  <c r="AZ277" i="4"/>
  <c r="AZ259" i="4"/>
  <c r="AZ257" i="4"/>
  <c r="AZ256" i="4"/>
  <c r="AZ239" i="4"/>
  <c r="T233" i="4"/>
  <c r="AZ226" i="4"/>
  <c r="T220" i="4"/>
  <c r="AZ215" i="4"/>
  <c r="T211" i="4"/>
  <c r="T184" i="4"/>
  <c r="T179" i="4"/>
  <c r="AZ169" i="4"/>
  <c r="AZ165" i="4"/>
  <c r="T160" i="4"/>
  <c r="T159" i="4"/>
  <c r="T158" i="4"/>
  <c r="T321" i="4"/>
  <c r="T320" i="4"/>
  <c r="T295" i="4"/>
  <c r="AZ281" i="4"/>
  <c r="T272" i="4"/>
  <c r="T271" i="4"/>
  <c r="AZ263" i="4"/>
  <c r="T249" i="4"/>
  <c r="AZ242" i="4"/>
  <c r="T234" i="4"/>
  <c r="AZ216" i="4"/>
  <c r="T199" i="4"/>
  <c r="T198" i="4"/>
  <c r="T195" i="4"/>
  <c r="T194" i="4"/>
  <c r="T181" i="4"/>
  <c r="T167" i="4"/>
  <c r="T163" i="4"/>
  <c r="AZ161" i="4"/>
  <c r="AZ312" i="4"/>
  <c r="T301" i="4"/>
  <c r="T261" i="4"/>
  <c r="AZ180" i="4"/>
  <c r="AZ158" i="4"/>
  <c r="AZ310" i="4"/>
  <c r="T302" i="4"/>
  <c r="AZ251" i="4"/>
  <c r="AZ224" i="4"/>
  <c r="T218" i="4"/>
  <c r="AZ200" i="4"/>
  <c r="T161" i="4"/>
  <c r="T168" i="4"/>
  <c r="AZ162" i="4"/>
  <c r="T311" i="4"/>
  <c r="T296" i="4"/>
  <c r="AZ286" i="4"/>
  <c r="AZ282" i="4"/>
  <c r="T250" i="4"/>
  <c r="T237" i="4"/>
  <c r="AZ168" i="4"/>
  <c r="AZ164" i="4"/>
  <c r="AZ269" i="4"/>
  <c r="T204" i="4"/>
  <c r="T177" i="4"/>
  <c r="T178" i="4"/>
  <c r="AZ174" i="4"/>
  <c r="AZ170" i="4"/>
  <c r="T164" i="4"/>
  <c r="AZ303" i="4"/>
  <c r="AZ292" i="4"/>
  <c r="AZ287" i="4"/>
  <c r="T255" i="4"/>
  <c r="T238" i="4"/>
  <c r="AZ231" i="4"/>
  <c r="AZ230" i="4"/>
  <c r="AZ209" i="4"/>
  <c r="AZ191" i="4"/>
  <c r="T174" i="4"/>
  <c r="T172" i="4"/>
  <c r="T171" i="4"/>
  <c r="T170" i="4"/>
  <c r="AZ160" i="4"/>
  <c r="T283" i="4"/>
  <c r="AZ268" i="4"/>
  <c r="T262" i="4"/>
  <c r="AZ185" i="4"/>
  <c r="T323" i="4"/>
  <c r="AZ273" i="4"/>
  <c r="AZ213" i="4"/>
  <c r="AZ255" i="4"/>
  <c r="AZ171" i="4"/>
  <c r="AZ166" i="4"/>
  <c r="AZ318" i="4"/>
  <c r="AZ315" i="4"/>
  <c r="AZ314" i="4"/>
  <c r="AZ308" i="4"/>
  <c r="AZ307" i="4"/>
  <c r="AZ304" i="4"/>
  <c r="AZ288" i="4"/>
  <c r="T284" i="4"/>
  <c r="T280" i="4"/>
  <c r="T276" i="4"/>
  <c r="T275" i="4"/>
  <c r="T258" i="4"/>
  <c r="T254" i="4"/>
  <c r="AZ247" i="4"/>
  <c r="AZ246" i="4"/>
  <c r="AZ221" i="4"/>
  <c r="T206" i="4"/>
  <c r="T203" i="4"/>
  <c r="AZ192" i="4"/>
  <c r="T189" i="4"/>
  <c r="AZ183" i="4"/>
  <c r="AZ182" i="4"/>
  <c r="AZ181" i="4"/>
  <c r="AZ167" i="4"/>
  <c r="T166" i="4"/>
  <c r="T162" i="4"/>
  <c r="AZ159" i="4"/>
  <c r="AZ309" i="4"/>
  <c r="T241" i="4"/>
  <c r="AZ223" i="4"/>
  <c r="AZ222" i="4"/>
  <c r="AZ186" i="4"/>
  <c r="T169" i="4"/>
  <c r="T165" i="4"/>
  <c r="AZ163" i="4"/>
  <c r="T265" i="4"/>
  <c r="AZ250" i="4"/>
  <c r="T245" i="4"/>
  <c r="AZ212" i="4"/>
  <c r="AZ238" i="4"/>
  <c r="T229" i="4"/>
  <c r="AZ225" i="4"/>
  <c r="AZ214" i="4"/>
  <c r="AZ201" i="4"/>
  <c r="AZ173" i="4"/>
  <c r="T266" i="4"/>
  <c r="AZ297" i="4"/>
  <c r="AZ252" i="4"/>
  <c r="T219" i="4"/>
  <c r="H30" i="1"/>
  <c r="T8" i="4"/>
  <c r="T16" i="4"/>
  <c r="T24" i="4"/>
  <c r="T32" i="4"/>
  <c r="T40" i="4"/>
  <c r="T48" i="4"/>
  <c r="T56" i="4"/>
  <c r="T64" i="4"/>
  <c r="T72" i="4"/>
  <c r="T80" i="4"/>
  <c r="T88" i="4"/>
  <c r="T96" i="4"/>
  <c r="T104" i="4"/>
  <c r="T112" i="4"/>
  <c r="T120" i="4"/>
  <c r="T128" i="4"/>
  <c r="T136" i="4"/>
  <c r="T144" i="4"/>
  <c r="T152" i="4"/>
  <c r="T9" i="4"/>
  <c r="T17" i="4"/>
  <c r="T25" i="4"/>
  <c r="T33" i="4"/>
  <c r="T41" i="4"/>
  <c r="T49" i="4"/>
  <c r="T57" i="4"/>
  <c r="T65" i="4"/>
  <c r="T73" i="4"/>
  <c r="T81" i="4"/>
  <c r="T89" i="4"/>
  <c r="T97" i="4"/>
  <c r="T105" i="4"/>
  <c r="T113" i="4"/>
  <c r="T121" i="4"/>
  <c r="T129" i="4"/>
  <c r="T137" i="4"/>
  <c r="T145" i="4"/>
  <c r="T153" i="4"/>
  <c r="T10" i="4"/>
  <c r="T18" i="4"/>
  <c r="T26" i="4"/>
  <c r="T34" i="4"/>
  <c r="T42" i="4"/>
  <c r="T50" i="4"/>
  <c r="T58" i="4"/>
  <c r="T66" i="4"/>
  <c r="T74" i="4"/>
  <c r="T82" i="4"/>
  <c r="T90" i="4"/>
  <c r="T98" i="4"/>
  <c r="T106" i="4"/>
  <c r="T114" i="4"/>
  <c r="T122" i="4"/>
  <c r="T130" i="4"/>
  <c r="T138" i="4"/>
  <c r="T146" i="4"/>
  <c r="T154" i="4"/>
  <c r="T11" i="4"/>
  <c r="T19" i="4"/>
  <c r="T27" i="4"/>
  <c r="T35" i="4"/>
  <c r="T43" i="4"/>
  <c r="T51" i="4"/>
  <c r="T59" i="4"/>
  <c r="T67" i="4"/>
  <c r="T75" i="4"/>
  <c r="T83" i="4"/>
  <c r="T91" i="4"/>
  <c r="T99" i="4"/>
  <c r="T107" i="4"/>
  <c r="T115" i="4"/>
  <c r="T123" i="4"/>
  <c r="T131" i="4"/>
  <c r="T139" i="4"/>
  <c r="T147" i="4"/>
  <c r="T155" i="4"/>
  <c r="T12" i="4"/>
  <c r="T20" i="4"/>
  <c r="T28" i="4"/>
  <c r="T36" i="4"/>
  <c r="T44" i="4"/>
  <c r="T52" i="4"/>
  <c r="T60" i="4"/>
  <c r="T68" i="4"/>
  <c r="T76" i="4"/>
  <c r="T84" i="4"/>
  <c r="T92" i="4"/>
  <c r="T100" i="4"/>
  <c r="T108" i="4"/>
  <c r="T116" i="4"/>
  <c r="T124" i="4"/>
  <c r="T132" i="4"/>
  <c r="T140" i="4"/>
  <c r="T148" i="4"/>
  <c r="T156" i="4"/>
  <c r="T13" i="4"/>
  <c r="T21" i="4"/>
  <c r="T29" i="4"/>
  <c r="T37" i="4"/>
  <c r="T45" i="4"/>
  <c r="T53" i="4"/>
  <c r="T61" i="4"/>
  <c r="T69" i="4"/>
  <c r="T77" i="4"/>
  <c r="T85" i="4"/>
  <c r="T93" i="4"/>
  <c r="T101" i="4"/>
  <c r="T109" i="4"/>
  <c r="T117" i="4"/>
  <c r="T125" i="4"/>
  <c r="T133" i="4"/>
  <c r="T141" i="4"/>
  <c r="T149" i="4"/>
  <c r="T157" i="4"/>
  <c r="T14" i="4"/>
  <c r="T22" i="4"/>
  <c r="T30" i="4"/>
  <c r="T38" i="4"/>
  <c r="T46" i="4"/>
  <c r="T54" i="4"/>
  <c r="T62" i="4"/>
  <c r="T70" i="4"/>
  <c r="T78" i="4"/>
  <c r="T86" i="4"/>
  <c r="T94" i="4"/>
  <c r="T102" i="4"/>
  <c r="T110" i="4"/>
  <c r="T118" i="4"/>
  <c r="T126" i="4"/>
  <c r="T134" i="4"/>
  <c r="T142" i="4"/>
  <c r="T150" i="4"/>
  <c r="T7" i="4"/>
  <c r="T15" i="4"/>
  <c r="T23" i="4"/>
  <c r="T31" i="4"/>
  <c r="T39" i="4"/>
  <c r="T47" i="4"/>
  <c r="T55" i="4"/>
  <c r="T63" i="4"/>
  <c r="T71" i="4"/>
  <c r="T79" i="4"/>
  <c r="T87" i="4"/>
  <c r="T95" i="4"/>
  <c r="T103" i="4"/>
  <c r="T111" i="4"/>
  <c r="T119" i="4"/>
  <c r="T127" i="4"/>
  <c r="T135" i="4"/>
  <c r="T143" i="4"/>
  <c r="T151" i="4"/>
  <c r="V7" i="5"/>
  <c r="U7" i="5"/>
  <c r="B82" i="2"/>
  <c r="B156" i="2"/>
  <c r="Z7" i="5" s="1"/>
  <c r="B140" i="2"/>
  <c r="B170" i="2" s="1"/>
  <c r="B171" i="2" s="1"/>
  <c r="Q7" i="5"/>
  <c r="S7" i="5" s="1"/>
  <c r="B146" i="2"/>
  <c r="B173" i="2" s="1"/>
  <c r="W7" i="5"/>
  <c r="AR7" i="5"/>
  <c r="AQ7" i="5"/>
  <c r="Q12" i="5"/>
  <c r="S12" i="5" s="1"/>
  <c r="B36" i="5"/>
  <c r="B209" i="2"/>
  <c r="BA17" i="4"/>
  <c r="BX17" i="4" s="1"/>
  <c r="BA22" i="4"/>
  <c r="BX22" i="4" s="1"/>
  <c r="BA25" i="4"/>
  <c r="BX25" i="4" s="1"/>
  <c r="BA30" i="4"/>
  <c r="BX30" i="4" s="1"/>
  <c r="BA33" i="4"/>
  <c r="BX33" i="4" s="1"/>
  <c r="BA38" i="4"/>
  <c r="BX38" i="4" s="1"/>
  <c r="BA41" i="4"/>
  <c r="BX41" i="4" s="1"/>
  <c r="BA43" i="4"/>
  <c r="BX43" i="4" s="1"/>
  <c r="BA45" i="4"/>
  <c r="BX45" i="4" s="1"/>
  <c r="BA47" i="4"/>
  <c r="BX47" i="4" s="1"/>
  <c r="BA49" i="4"/>
  <c r="BX49" i="4" s="1"/>
  <c r="BA51" i="4"/>
  <c r="BX51" i="4" s="1"/>
  <c r="BA53" i="4"/>
  <c r="BX53" i="4" s="1"/>
  <c r="BA55" i="4"/>
  <c r="BX55" i="4" s="1"/>
  <c r="BA57" i="4"/>
  <c r="BX57" i="4" s="1"/>
  <c r="BA59" i="4"/>
  <c r="BX59" i="4" s="1"/>
  <c r="BA61" i="4"/>
  <c r="BX61" i="4" s="1"/>
  <c r="BA63" i="4"/>
  <c r="BX63" i="4" s="1"/>
  <c r="BA65" i="4"/>
  <c r="BX65" i="4" s="1"/>
  <c r="BA67" i="4"/>
  <c r="BX67" i="4" s="1"/>
  <c r="BA69" i="4"/>
  <c r="BX69" i="4" s="1"/>
  <c r="BA71" i="4"/>
  <c r="BX71" i="4" s="1"/>
  <c r="BA73" i="4"/>
  <c r="BX73" i="4" s="1"/>
  <c r="BA75" i="4"/>
  <c r="BX75" i="4" s="1"/>
  <c r="BA77" i="4"/>
  <c r="BX77" i="4" s="1"/>
  <c r="BA79" i="4"/>
  <c r="BX79" i="4" s="1"/>
  <c r="BA81" i="4"/>
  <c r="BX81" i="4" s="1"/>
  <c r="BA83" i="4"/>
  <c r="BX83" i="4" s="1"/>
  <c r="BA85" i="4"/>
  <c r="BX85" i="4" s="1"/>
  <c r="BA87" i="4"/>
  <c r="BX87" i="4" s="1"/>
  <c r="BA89" i="4"/>
  <c r="BX89" i="4" s="1"/>
  <c r="BA91" i="4"/>
  <c r="BX91" i="4" s="1"/>
  <c r="BA93" i="4"/>
  <c r="BX93" i="4" s="1"/>
  <c r="BA95" i="4"/>
  <c r="BX95" i="4" s="1"/>
  <c r="BA97" i="4"/>
  <c r="BX97" i="4" s="1"/>
  <c r="BA99" i="4"/>
  <c r="BX99" i="4" s="1"/>
  <c r="BA101" i="4"/>
  <c r="BX101" i="4" s="1"/>
  <c r="BA103" i="4"/>
  <c r="BX103" i="4" s="1"/>
  <c r="BA105" i="4"/>
  <c r="BX105" i="4" s="1"/>
  <c r="BA107" i="4"/>
  <c r="BX107" i="4" s="1"/>
  <c r="BA109" i="4"/>
  <c r="BX109" i="4" s="1"/>
  <c r="BA111" i="4"/>
  <c r="BX111" i="4" s="1"/>
  <c r="BA113" i="4"/>
  <c r="BX113" i="4" s="1"/>
  <c r="BA115" i="4"/>
  <c r="BX115" i="4" s="1"/>
  <c r="BA117" i="4"/>
  <c r="BX117" i="4" s="1"/>
  <c r="BA119" i="4"/>
  <c r="BX119" i="4" s="1"/>
  <c r="BA121" i="4"/>
  <c r="BX121" i="4" s="1"/>
  <c r="BA123" i="4"/>
  <c r="BX123" i="4" s="1"/>
  <c r="BA125" i="4"/>
  <c r="BX125" i="4" s="1"/>
  <c r="BA127" i="4"/>
  <c r="BX127" i="4" s="1"/>
  <c r="BA129" i="4"/>
  <c r="BX129" i="4" s="1"/>
  <c r="BA131" i="4"/>
  <c r="BX131" i="4" s="1"/>
  <c r="BA133" i="4"/>
  <c r="BX133" i="4" s="1"/>
  <c r="BA135" i="4"/>
  <c r="BX135" i="4" s="1"/>
  <c r="BA137" i="4"/>
  <c r="BX137" i="4" s="1"/>
  <c r="BA139" i="4"/>
  <c r="BX139" i="4" s="1"/>
  <c r="BA141" i="4"/>
  <c r="BX141" i="4" s="1"/>
  <c r="BA143" i="4"/>
  <c r="BX143" i="4" s="1"/>
  <c r="BA145" i="4"/>
  <c r="BX145" i="4" s="1"/>
  <c r="BA147" i="4"/>
  <c r="BX147" i="4" s="1"/>
  <c r="BA149" i="4"/>
  <c r="BX149" i="4" s="1"/>
  <c r="BA151" i="4"/>
  <c r="BX151" i="4" s="1"/>
  <c r="BA153" i="4"/>
  <c r="BX153" i="4" s="1"/>
  <c r="BA155" i="4"/>
  <c r="BX155" i="4" s="1"/>
  <c r="BA157" i="4"/>
  <c r="BX157" i="4" s="1"/>
  <c r="BA9" i="4"/>
  <c r="BX9" i="4" s="1"/>
  <c r="BA11" i="4"/>
  <c r="BX11" i="4" s="1"/>
  <c r="BA13" i="4"/>
  <c r="BX13" i="4" s="1"/>
  <c r="BA19" i="4"/>
  <c r="BX19" i="4" s="1"/>
  <c r="BA23" i="4"/>
  <c r="BX23" i="4" s="1"/>
  <c r="BA26" i="4"/>
  <c r="BX26" i="4" s="1"/>
  <c r="BA37" i="4"/>
  <c r="BX37" i="4" s="1"/>
  <c r="BA40" i="4"/>
  <c r="BX40" i="4" s="1"/>
  <c r="BA46" i="4"/>
  <c r="BX46" i="4" s="1"/>
  <c r="BA54" i="4"/>
  <c r="BX54" i="4" s="1"/>
  <c r="BA62" i="4"/>
  <c r="BX62" i="4" s="1"/>
  <c r="BA70" i="4"/>
  <c r="BX70" i="4" s="1"/>
  <c r="BA78" i="4"/>
  <c r="BX78" i="4" s="1"/>
  <c r="BA86" i="4"/>
  <c r="BX86" i="4" s="1"/>
  <c r="BA94" i="4"/>
  <c r="BX94" i="4" s="1"/>
  <c r="BA102" i="4"/>
  <c r="BX102" i="4" s="1"/>
  <c r="BA110" i="4"/>
  <c r="BX110" i="4" s="1"/>
  <c r="BA118" i="4"/>
  <c r="BX118" i="4" s="1"/>
  <c r="BA126" i="4"/>
  <c r="BX126" i="4" s="1"/>
  <c r="BA134" i="4"/>
  <c r="BX134" i="4" s="1"/>
  <c r="BA142" i="4"/>
  <c r="BX142" i="4" s="1"/>
  <c r="BA150" i="4"/>
  <c r="BX150" i="4" s="1"/>
  <c r="BA8" i="4"/>
  <c r="BX8" i="4" s="1"/>
  <c r="BA16" i="4"/>
  <c r="BX16" i="4" s="1"/>
  <c r="BA20" i="4"/>
  <c r="BX20" i="4" s="1"/>
  <c r="BA27" i="4"/>
  <c r="BX27" i="4" s="1"/>
  <c r="BA31" i="4"/>
  <c r="BX31" i="4" s="1"/>
  <c r="BA34" i="4"/>
  <c r="BX34" i="4" s="1"/>
  <c r="BA44" i="4"/>
  <c r="BX44" i="4" s="1"/>
  <c r="BA52" i="4"/>
  <c r="BX52" i="4" s="1"/>
  <c r="BA60" i="4"/>
  <c r="BX60" i="4" s="1"/>
  <c r="BA68" i="4"/>
  <c r="BX68" i="4" s="1"/>
  <c r="BA76" i="4"/>
  <c r="BX76" i="4" s="1"/>
  <c r="BA84" i="4"/>
  <c r="BX84" i="4" s="1"/>
  <c r="BA92" i="4"/>
  <c r="BX92" i="4" s="1"/>
  <c r="BA100" i="4"/>
  <c r="BX100" i="4" s="1"/>
  <c r="BA108" i="4"/>
  <c r="BX108" i="4" s="1"/>
  <c r="BA116" i="4"/>
  <c r="BX116" i="4" s="1"/>
  <c r="BA124" i="4"/>
  <c r="BX124" i="4" s="1"/>
  <c r="BA132" i="4"/>
  <c r="BX132" i="4" s="1"/>
  <c r="BA140" i="4"/>
  <c r="BX140" i="4" s="1"/>
  <c r="BA148" i="4"/>
  <c r="BX148" i="4" s="1"/>
  <c r="BA156" i="4"/>
  <c r="BX156" i="4" s="1"/>
  <c r="BA14" i="4"/>
  <c r="BX14" i="4" s="1"/>
  <c r="BA21" i="4"/>
  <c r="BX21" i="4" s="1"/>
  <c r="BA24" i="4"/>
  <c r="BX24" i="4" s="1"/>
  <c r="BA28" i="4"/>
  <c r="BX28" i="4" s="1"/>
  <c r="BA35" i="4"/>
  <c r="BX35" i="4" s="1"/>
  <c r="BA39" i="4"/>
  <c r="BX39" i="4" s="1"/>
  <c r="BA42" i="4"/>
  <c r="BX42" i="4" s="1"/>
  <c r="BA50" i="4"/>
  <c r="BX50" i="4" s="1"/>
  <c r="BA58" i="4"/>
  <c r="BX58" i="4" s="1"/>
  <c r="BA66" i="4"/>
  <c r="BX66" i="4" s="1"/>
  <c r="BA74" i="4"/>
  <c r="BX74" i="4" s="1"/>
  <c r="BA82" i="4"/>
  <c r="BX82" i="4" s="1"/>
  <c r="BA90" i="4"/>
  <c r="BX90" i="4" s="1"/>
  <c r="BA98" i="4"/>
  <c r="BX98" i="4" s="1"/>
  <c r="BA106" i="4"/>
  <c r="BX106" i="4" s="1"/>
  <c r="BA114" i="4"/>
  <c r="BX114" i="4" s="1"/>
  <c r="BA122" i="4"/>
  <c r="BX122" i="4" s="1"/>
  <c r="BA130" i="4"/>
  <c r="BX130" i="4" s="1"/>
  <c r="BA138" i="4"/>
  <c r="BX138" i="4" s="1"/>
  <c r="BA146" i="4"/>
  <c r="BX146" i="4" s="1"/>
  <c r="BA154" i="4"/>
  <c r="BX154" i="4" s="1"/>
  <c r="BA12" i="4"/>
  <c r="BX12" i="4" s="1"/>
  <c r="BA15" i="4"/>
  <c r="BX15" i="4" s="1"/>
  <c r="BA18" i="4"/>
  <c r="BX18" i="4" s="1"/>
  <c r="BA29" i="4"/>
  <c r="BX29" i="4" s="1"/>
  <c r="BA32" i="4"/>
  <c r="BX32" i="4" s="1"/>
  <c r="BA36" i="4"/>
  <c r="BX36" i="4" s="1"/>
  <c r="BA48" i="4"/>
  <c r="BX48" i="4" s="1"/>
  <c r="BA56" i="4"/>
  <c r="BX56" i="4" s="1"/>
  <c r="BA64" i="4"/>
  <c r="BX64" i="4" s="1"/>
  <c r="BA72" i="4"/>
  <c r="BX72" i="4" s="1"/>
  <c r="BA80" i="4"/>
  <c r="BX80" i="4" s="1"/>
  <c r="BA88" i="4"/>
  <c r="BX88" i="4" s="1"/>
  <c r="BA96" i="4"/>
  <c r="BX96" i="4" s="1"/>
  <c r="BA104" i="4"/>
  <c r="BX104" i="4" s="1"/>
  <c r="BA112" i="4"/>
  <c r="BX112" i="4" s="1"/>
  <c r="BA120" i="4"/>
  <c r="BX120" i="4" s="1"/>
  <c r="BA128" i="4"/>
  <c r="BX128" i="4" s="1"/>
  <c r="BA136" i="4"/>
  <c r="BX136" i="4" s="1"/>
  <c r="BA144" i="4"/>
  <c r="BX144" i="4" s="1"/>
  <c r="BA152" i="4"/>
  <c r="BX152" i="4" s="1"/>
  <c r="BA10" i="4"/>
  <c r="BX10" i="4" s="1"/>
  <c r="AZ15" i="4"/>
  <c r="AZ63" i="4"/>
  <c r="AZ64" i="4"/>
  <c r="AZ16" i="4"/>
  <c r="BS16" i="4" s="1"/>
  <c r="AZ17" i="4"/>
  <c r="AZ18" i="4"/>
  <c r="AZ19" i="4"/>
  <c r="AZ20" i="4"/>
  <c r="AZ21" i="4"/>
  <c r="AZ22" i="4"/>
  <c r="AZ23" i="4"/>
  <c r="AZ24" i="4"/>
  <c r="AZ25" i="4"/>
  <c r="AZ26" i="4"/>
  <c r="AZ27" i="4"/>
  <c r="AZ28" i="4"/>
  <c r="AZ29" i="4"/>
  <c r="AZ30" i="4"/>
  <c r="AZ31" i="4"/>
  <c r="AZ32" i="4"/>
  <c r="AZ33" i="4"/>
  <c r="AZ34" i="4"/>
  <c r="AZ35" i="4"/>
  <c r="AZ36" i="4"/>
  <c r="AZ37" i="4"/>
  <c r="AZ38" i="4"/>
  <c r="AZ39" i="4"/>
  <c r="AZ40" i="4"/>
  <c r="AZ41" i="4"/>
  <c r="AZ42" i="4"/>
  <c r="AZ43" i="4"/>
  <c r="AZ44" i="4"/>
  <c r="AZ45" i="4"/>
  <c r="AZ46" i="4"/>
  <c r="AZ47" i="4"/>
  <c r="AZ48" i="4"/>
  <c r="AZ49" i="4"/>
  <c r="AZ50" i="4"/>
  <c r="AZ51" i="4"/>
  <c r="AZ52" i="4"/>
  <c r="AZ53" i="4"/>
  <c r="AZ54" i="4"/>
  <c r="AZ55" i="4"/>
  <c r="AZ56" i="4"/>
  <c r="AZ57" i="4"/>
  <c r="AZ58" i="4"/>
  <c r="AZ60" i="4"/>
  <c r="AZ67" i="4"/>
  <c r="AZ62" i="4"/>
  <c r="AZ69" i="4"/>
  <c r="AZ87" i="4"/>
  <c r="AZ99" i="4"/>
  <c r="AZ120" i="4"/>
  <c r="AZ130" i="4"/>
  <c r="AZ134" i="4"/>
  <c r="AZ68" i="4"/>
  <c r="AZ74" i="4"/>
  <c r="AZ78" i="4"/>
  <c r="AZ82" i="4"/>
  <c r="AZ86" i="4"/>
  <c r="AZ90" i="4"/>
  <c r="AZ94" i="4"/>
  <c r="AZ98" i="4"/>
  <c r="AZ102" i="4"/>
  <c r="AZ109" i="4"/>
  <c r="AZ110" i="4"/>
  <c r="AZ119" i="4"/>
  <c r="AZ128" i="4"/>
  <c r="AZ137" i="4"/>
  <c r="AZ59" i="4"/>
  <c r="AZ65" i="4"/>
  <c r="AZ66" i="4"/>
  <c r="AZ71" i="4"/>
  <c r="AZ72" i="4"/>
  <c r="AZ76" i="4"/>
  <c r="AZ80" i="4"/>
  <c r="AZ84" i="4"/>
  <c r="AZ88" i="4"/>
  <c r="AZ92" i="4"/>
  <c r="AZ96" i="4"/>
  <c r="AZ100" i="4"/>
  <c r="AZ105" i="4"/>
  <c r="AZ106" i="4"/>
  <c r="AZ112" i="4"/>
  <c r="AZ121" i="4"/>
  <c r="AZ122" i="4"/>
  <c r="AZ123" i="4"/>
  <c r="AZ124" i="4"/>
  <c r="AZ125" i="4"/>
  <c r="AZ126" i="4"/>
  <c r="AZ135" i="4"/>
  <c r="AZ139" i="4"/>
  <c r="AZ140" i="4"/>
  <c r="AZ144" i="4"/>
  <c r="AZ149" i="4"/>
  <c r="AZ153" i="4"/>
  <c r="AZ8" i="4"/>
  <c r="AZ61" i="4"/>
  <c r="AZ70" i="4"/>
  <c r="AZ75" i="4"/>
  <c r="AZ79" i="4"/>
  <c r="AZ83" i="4"/>
  <c r="AZ91" i="4"/>
  <c r="AZ95" i="4"/>
  <c r="AZ103" i="4"/>
  <c r="AZ104" i="4"/>
  <c r="AZ111" i="4"/>
  <c r="AZ129" i="4"/>
  <c r="AZ131" i="4"/>
  <c r="AZ132" i="4"/>
  <c r="AZ133" i="4"/>
  <c r="AZ77" i="4"/>
  <c r="AZ93" i="4"/>
  <c r="AZ107" i="4"/>
  <c r="AZ115" i="4"/>
  <c r="AZ127" i="4"/>
  <c r="AZ136" i="4"/>
  <c r="AZ142" i="4"/>
  <c r="AZ145" i="4"/>
  <c r="AZ156" i="4"/>
  <c r="AZ9" i="4"/>
  <c r="AZ10" i="4"/>
  <c r="AZ81" i="4"/>
  <c r="AZ97" i="4"/>
  <c r="AZ114" i="4"/>
  <c r="AZ118" i="4"/>
  <c r="AZ138" i="4"/>
  <c r="AZ141" i="4"/>
  <c r="AZ152" i="4"/>
  <c r="AZ155" i="4"/>
  <c r="AZ13" i="4"/>
  <c r="AZ14" i="4"/>
  <c r="AZ85" i="4"/>
  <c r="AZ101" i="4"/>
  <c r="AZ113" i="4"/>
  <c r="AZ117" i="4"/>
  <c r="AZ147" i="4"/>
  <c r="AZ148" i="4"/>
  <c r="AZ151" i="4"/>
  <c r="AZ154" i="4"/>
  <c r="AZ12" i="4"/>
  <c r="AZ73" i="4"/>
  <c r="AZ89" i="4"/>
  <c r="AZ108" i="4"/>
  <c r="AZ116" i="4"/>
  <c r="AZ143" i="4"/>
  <c r="AZ146" i="4"/>
  <c r="AZ150" i="4"/>
  <c r="AZ157" i="4"/>
  <c r="AZ11" i="4"/>
  <c r="B105" i="2"/>
  <c r="B16" i="5"/>
  <c r="P15" i="5" s="1"/>
  <c r="BA7" i="4"/>
  <c r="BX7" i="4" s="1"/>
  <c r="O9" i="4"/>
  <c r="AZ7" i="4"/>
  <c r="V8" i="5"/>
  <c r="AQ8" i="5"/>
  <c r="AL13" i="5"/>
  <c r="AK13" i="5"/>
  <c r="Q8" i="5"/>
  <c r="R8" i="5" s="1"/>
  <c r="O11" i="5"/>
  <c r="AG11" i="5" s="1"/>
  <c r="AN12" i="5"/>
  <c r="AO12" i="5"/>
  <c r="AI13" i="5"/>
  <c r="AH13" i="5"/>
  <c r="AP13" i="5"/>
  <c r="U13" i="5"/>
  <c r="V13" i="5"/>
  <c r="AI12" i="5"/>
  <c r="AH12" i="5"/>
  <c r="AP12" i="5"/>
  <c r="U12" i="5"/>
  <c r="V12" i="5"/>
  <c r="T10" i="5"/>
  <c r="Q10" i="5"/>
  <c r="AM10" i="5"/>
  <c r="AJ10" i="5"/>
  <c r="AO13" i="5"/>
  <c r="AN13" i="5"/>
  <c r="AK12" i="5"/>
  <c r="AL12" i="5"/>
  <c r="Q13" i="5"/>
  <c r="B38" i="5"/>
  <c r="B34" i="5"/>
  <c r="B45" i="5"/>
  <c r="B48" i="5" s="1"/>
  <c r="AR57" i="5"/>
  <c r="AQ57" i="5"/>
  <c r="AR101" i="5"/>
  <c r="AQ101" i="5"/>
  <c r="AR116" i="5"/>
  <c r="AQ116" i="5"/>
  <c r="AQ245" i="5"/>
  <c r="AR245" i="5"/>
  <c r="AR244" i="5"/>
  <c r="AQ244" i="5"/>
  <c r="AQ406" i="5"/>
  <c r="AR406" i="5"/>
  <c r="AQ419" i="5"/>
  <c r="AR419" i="5"/>
  <c r="AR448" i="5"/>
  <c r="AQ448" i="5"/>
  <c r="AR540" i="5"/>
  <c r="AQ540" i="5"/>
  <c r="AQ19" i="5"/>
  <c r="AR19" i="5"/>
  <c r="AR425" i="5"/>
  <c r="AQ425" i="5"/>
  <c r="AR49" i="5"/>
  <c r="AQ49" i="5"/>
  <c r="AR145" i="5"/>
  <c r="AQ145" i="5"/>
  <c r="AR155" i="5"/>
  <c r="AQ155" i="5"/>
  <c r="AQ254" i="5"/>
  <c r="AR254" i="5"/>
  <c r="AQ349" i="5"/>
  <c r="AR349" i="5"/>
  <c r="AQ371" i="5"/>
  <c r="AR371" i="5"/>
  <c r="AQ435" i="5"/>
  <c r="AR435" i="5"/>
  <c r="AR543" i="5"/>
  <c r="AQ543" i="5"/>
  <c r="AQ486" i="5"/>
  <c r="AR486" i="5"/>
  <c r="V547" i="5"/>
  <c r="U547" i="5"/>
  <c r="V497" i="5"/>
  <c r="U497" i="5"/>
  <c r="V539" i="5"/>
  <c r="U539" i="5"/>
  <c r="V560" i="5"/>
  <c r="U560" i="5"/>
  <c r="U473" i="5"/>
  <c r="V473" i="5"/>
  <c r="U401" i="5"/>
  <c r="V401" i="5"/>
  <c r="U503" i="5"/>
  <c r="V503" i="5"/>
  <c r="U454" i="5"/>
  <c r="V454" i="5"/>
  <c r="V339" i="5"/>
  <c r="U339" i="5"/>
  <c r="U472" i="5"/>
  <c r="V472" i="5"/>
  <c r="V287" i="5"/>
  <c r="U287" i="5"/>
  <c r="V379" i="5"/>
  <c r="U379" i="5"/>
  <c r="U162" i="5"/>
  <c r="V162" i="5"/>
  <c r="U437" i="5"/>
  <c r="V437" i="5"/>
  <c r="U393" i="5"/>
  <c r="V393" i="5"/>
  <c r="U312" i="5"/>
  <c r="V312" i="5"/>
  <c r="V310" i="5"/>
  <c r="U310" i="5"/>
  <c r="U269" i="5"/>
  <c r="V269" i="5"/>
  <c r="V313" i="5"/>
  <c r="U313" i="5"/>
  <c r="U250" i="5"/>
  <c r="V250" i="5"/>
  <c r="U279" i="5"/>
  <c r="V279" i="5"/>
  <c r="U252" i="5"/>
  <c r="V252" i="5"/>
  <c r="U221" i="5"/>
  <c r="V221" i="5"/>
  <c r="U222" i="5"/>
  <c r="V222" i="5"/>
  <c r="V239" i="5"/>
  <c r="U239" i="5"/>
  <c r="V188" i="5"/>
  <c r="U188" i="5"/>
  <c r="V183" i="5"/>
  <c r="U183" i="5"/>
  <c r="V169" i="5"/>
  <c r="U169" i="5"/>
  <c r="V134" i="5"/>
  <c r="U134" i="5"/>
  <c r="V151" i="5"/>
  <c r="U151" i="5"/>
  <c r="U155" i="5"/>
  <c r="V155" i="5"/>
  <c r="U91" i="5"/>
  <c r="V91" i="5"/>
  <c r="U98" i="5"/>
  <c r="V98" i="5"/>
  <c r="V57" i="5"/>
  <c r="U57" i="5"/>
  <c r="U56" i="5"/>
  <c r="V56" i="5"/>
  <c r="U43" i="5"/>
  <c r="V43" i="5"/>
  <c r="V32" i="5"/>
  <c r="U32" i="5"/>
  <c r="AR454" i="5"/>
  <c r="AQ454" i="5"/>
  <c r="AR528" i="5"/>
  <c r="AQ528" i="5"/>
  <c r="AQ35" i="5"/>
  <c r="AR35" i="5"/>
  <c r="AR83" i="5"/>
  <c r="AQ83" i="5"/>
  <c r="AQ163" i="5"/>
  <c r="AR163" i="5"/>
  <c r="AR224" i="5"/>
  <c r="AQ224" i="5"/>
  <c r="AQ322" i="5"/>
  <c r="AR322" i="5"/>
  <c r="AQ291" i="5"/>
  <c r="AR291" i="5"/>
  <c r="AQ433" i="5"/>
  <c r="AR433" i="5"/>
  <c r="AQ431" i="5"/>
  <c r="AR431" i="5"/>
  <c r="AR515" i="5"/>
  <c r="AQ515" i="5"/>
  <c r="AR546" i="5"/>
  <c r="AQ546" i="5"/>
  <c r="AQ34" i="5"/>
  <c r="AR34" i="5"/>
  <c r="AR100" i="5"/>
  <c r="AQ100" i="5"/>
  <c r="AQ218" i="5"/>
  <c r="AR218" i="5"/>
  <c r="AR273" i="5"/>
  <c r="AQ273" i="5"/>
  <c r="AQ299" i="5"/>
  <c r="AR299" i="5"/>
  <c r="AR436" i="5"/>
  <c r="AQ436" i="5"/>
  <c r="AR474" i="5"/>
  <c r="AQ474" i="5"/>
  <c r="AQ495" i="5"/>
  <c r="AR495" i="5"/>
  <c r="AQ37" i="5"/>
  <c r="AR37" i="5"/>
  <c r="AR178" i="5"/>
  <c r="AQ178" i="5"/>
  <c r="AQ232" i="5"/>
  <c r="AR232" i="5"/>
  <c r="AQ318" i="5"/>
  <c r="AR318" i="5"/>
  <c r="AQ405" i="5"/>
  <c r="AR405" i="5"/>
  <c r="AQ434" i="5"/>
  <c r="AR434" i="5"/>
  <c r="AR392" i="5"/>
  <c r="AQ392" i="5"/>
  <c r="AQ461" i="5"/>
  <c r="AR461" i="5"/>
  <c r="AR46" i="5"/>
  <c r="AQ46" i="5"/>
  <c r="AQ76" i="5"/>
  <c r="AR76" i="5"/>
  <c r="AQ132" i="5"/>
  <c r="AR132" i="5"/>
  <c r="AR179" i="5"/>
  <c r="AQ179" i="5"/>
  <c r="AQ188" i="5"/>
  <c r="AR188" i="5"/>
  <c r="AR309" i="5"/>
  <c r="AQ309" i="5"/>
  <c r="AR174" i="5"/>
  <c r="AQ174" i="5"/>
  <c r="AR391" i="5"/>
  <c r="AQ391" i="5"/>
  <c r="AR369" i="5"/>
  <c r="AQ369" i="5"/>
  <c r="AQ469" i="5"/>
  <c r="AR469" i="5"/>
  <c r="AQ554" i="5"/>
  <c r="AR554" i="5"/>
  <c r="U469" i="5"/>
  <c r="V469" i="5"/>
  <c r="U524" i="5"/>
  <c r="V524" i="5"/>
  <c r="V545" i="5"/>
  <c r="U545" i="5"/>
  <c r="V344" i="5"/>
  <c r="U344" i="5"/>
  <c r="U486" i="5"/>
  <c r="V486" i="5"/>
  <c r="U422" i="5"/>
  <c r="V422" i="5"/>
  <c r="U522" i="5"/>
  <c r="V522" i="5"/>
  <c r="U474" i="5"/>
  <c r="V474" i="5"/>
  <c r="U427" i="5"/>
  <c r="V427" i="5"/>
  <c r="V491" i="5"/>
  <c r="U491" i="5"/>
  <c r="U432" i="5"/>
  <c r="V432" i="5"/>
  <c r="V370" i="5"/>
  <c r="U370" i="5"/>
  <c r="U417" i="5"/>
  <c r="V417" i="5"/>
  <c r="U404" i="5"/>
  <c r="V404" i="5"/>
  <c r="U388" i="5"/>
  <c r="V388" i="5"/>
  <c r="V336" i="5"/>
  <c r="U336" i="5"/>
  <c r="U272" i="5"/>
  <c r="V272" i="5"/>
  <c r="V418" i="5"/>
  <c r="U418" i="5"/>
  <c r="U391" i="5"/>
  <c r="V391" i="5"/>
  <c r="V380" i="5"/>
  <c r="U380" i="5"/>
  <c r="V371" i="5"/>
  <c r="U371" i="5"/>
  <c r="V297" i="5"/>
  <c r="U297" i="5"/>
  <c r="U436" i="5"/>
  <c r="V436" i="5"/>
  <c r="U421" i="5"/>
  <c r="V421" i="5"/>
  <c r="U405" i="5"/>
  <c r="V405" i="5"/>
  <c r="V390" i="5"/>
  <c r="U390" i="5"/>
  <c r="V367" i="5"/>
  <c r="U367" i="5"/>
  <c r="U359" i="5"/>
  <c r="V359" i="5"/>
  <c r="V337" i="5"/>
  <c r="U337" i="5"/>
  <c r="V309" i="5"/>
  <c r="U309" i="5"/>
  <c r="U267" i="5"/>
  <c r="V267" i="5"/>
  <c r="U349" i="5"/>
  <c r="V349" i="5"/>
  <c r="U326" i="5"/>
  <c r="V326" i="5"/>
  <c r="U307" i="5"/>
  <c r="V307" i="5"/>
  <c r="V298" i="5"/>
  <c r="U298" i="5"/>
  <c r="V285" i="5"/>
  <c r="U285" i="5"/>
  <c r="U268" i="5"/>
  <c r="V268" i="5"/>
  <c r="U256" i="5"/>
  <c r="V256" i="5"/>
  <c r="U226" i="5"/>
  <c r="V226" i="5"/>
  <c r="U325" i="5"/>
  <c r="V325" i="5"/>
  <c r="V311" i="5"/>
  <c r="U311" i="5"/>
  <c r="V291" i="5"/>
  <c r="U291" i="5"/>
  <c r="U266" i="5"/>
  <c r="V266" i="5"/>
  <c r="U244" i="5"/>
  <c r="V244" i="5"/>
  <c r="V332" i="5"/>
  <c r="U332" i="5"/>
  <c r="U314" i="5"/>
  <c r="V314" i="5"/>
  <c r="U295" i="5"/>
  <c r="V295" i="5"/>
  <c r="U278" i="5"/>
  <c r="V278" i="5"/>
  <c r="U270" i="5"/>
  <c r="V270" i="5"/>
  <c r="V257" i="5"/>
  <c r="U257" i="5"/>
  <c r="U249" i="5"/>
  <c r="V249" i="5"/>
  <c r="V153" i="5"/>
  <c r="U153" i="5"/>
  <c r="U233" i="5"/>
  <c r="V233" i="5"/>
  <c r="U219" i="5"/>
  <c r="V219" i="5"/>
  <c r="U192" i="5"/>
  <c r="V192" i="5"/>
  <c r="U168" i="5"/>
  <c r="V168" i="5"/>
  <c r="U238" i="5"/>
  <c r="V238" i="5"/>
  <c r="U217" i="5"/>
  <c r="V217" i="5"/>
  <c r="U193" i="5"/>
  <c r="V193" i="5"/>
  <c r="U144" i="5"/>
  <c r="V144" i="5"/>
  <c r="U234" i="5"/>
  <c r="V234" i="5"/>
  <c r="U220" i="5"/>
  <c r="V220" i="5"/>
  <c r="U209" i="5"/>
  <c r="V209" i="5"/>
  <c r="U202" i="5"/>
  <c r="V202" i="5"/>
  <c r="U164" i="5"/>
  <c r="V164" i="5"/>
  <c r="U198" i="5"/>
  <c r="V198" i="5"/>
  <c r="V189" i="5"/>
  <c r="U189" i="5"/>
  <c r="V179" i="5"/>
  <c r="U179" i="5"/>
  <c r="U158" i="5"/>
  <c r="V158" i="5"/>
  <c r="U184" i="5"/>
  <c r="V184" i="5"/>
  <c r="U163" i="5"/>
  <c r="V163" i="5"/>
  <c r="V111" i="5"/>
  <c r="U111" i="5"/>
  <c r="U178" i="5"/>
  <c r="V178" i="5"/>
  <c r="U167" i="5"/>
  <c r="V167" i="5"/>
  <c r="V128" i="5"/>
  <c r="U128" i="5"/>
  <c r="U145" i="5"/>
  <c r="V145" i="5"/>
  <c r="U122" i="5"/>
  <c r="V122" i="5"/>
  <c r="V104" i="5"/>
  <c r="U104" i="5"/>
  <c r="U148" i="5"/>
  <c r="V148" i="5"/>
  <c r="U129" i="5"/>
  <c r="V129" i="5"/>
  <c r="U116" i="5"/>
  <c r="V116" i="5"/>
  <c r="U103" i="5"/>
  <c r="V103" i="5"/>
  <c r="U147" i="5"/>
  <c r="V147" i="5"/>
  <c r="U132" i="5"/>
  <c r="V132" i="5"/>
  <c r="U113" i="5"/>
  <c r="V113" i="5"/>
  <c r="U110" i="5"/>
  <c r="V110" i="5"/>
  <c r="U90" i="5"/>
  <c r="V90" i="5"/>
  <c r="U72" i="5"/>
  <c r="V72" i="5"/>
  <c r="U102" i="5"/>
  <c r="V102" i="5"/>
  <c r="U97" i="5"/>
  <c r="V97" i="5"/>
  <c r="V81" i="5"/>
  <c r="U81" i="5"/>
  <c r="U78" i="5"/>
  <c r="V78" i="5"/>
  <c r="U77" i="5"/>
  <c r="V77" i="5"/>
  <c r="U71" i="5"/>
  <c r="V71" i="5"/>
  <c r="V58" i="5"/>
  <c r="U58" i="5"/>
  <c r="U65" i="5"/>
  <c r="V65" i="5"/>
  <c r="U51" i="5"/>
  <c r="V51" i="5"/>
  <c r="U23" i="5"/>
  <c r="V23" i="5"/>
  <c r="U54" i="5"/>
  <c r="V54" i="5"/>
  <c r="U49" i="5"/>
  <c r="V49" i="5"/>
  <c r="U40" i="5"/>
  <c r="V40" i="5"/>
  <c r="U45" i="5"/>
  <c r="V45" i="5"/>
  <c r="U31" i="5"/>
  <c r="V31" i="5"/>
  <c r="U21" i="5"/>
  <c r="V21" i="5"/>
  <c r="U29" i="5"/>
  <c r="V29" i="5"/>
  <c r="AR21" i="5"/>
  <c r="AQ21" i="5"/>
  <c r="AR31" i="5"/>
  <c r="AQ31" i="5"/>
  <c r="AR63" i="5"/>
  <c r="AQ63" i="5"/>
  <c r="AR52" i="5"/>
  <c r="AQ52" i="5"/>
  <c r="AQ90" i="5"/>
  <c r="AR90" i="5"/>
  <c r="AR88" i="5"/>
  <c r="AQ88" i="5"/>
  <c r="AR71" i="5"/>
  <c r="AQ71" i="5"/>
  <c r="AQ122" i="5"/>
  <c r="AR122" i="5"/>
  <c r="AQ138" i="5"/>
  <c r="AR138" i="5"/>
  <c r="AQ157" i="5"/>
  <c r="AR157" i="5"/>
  <c r="AR154" i="5"/>
  <c r="AQ154" i="5"/>
  <c r="AR215" i="5"/>
  <c r="AQ215" i="5"/>
  <c r="AQ209" i="5"/>
  <c r="AR209" i="5"/>
  <c r="AQ249" i="5"/>
  <c r="AR249" i="5"/>
  <c r="AQ255" i="5"/>
  <c r="AR255" i="5"/>
  <c r="AR295" i="5"/>
  <c r="AQ295" i="5"/>
  <c r="AQ312" i="5"/>
  <c r="AR312" i="5"/>
  <c r="AR246" i="5"/>
  <c r="AQ246" i="5"/>
  <c r="AQ271" i="5"/>
  <c r="AR271" i="5"/>
  <c r="AQ333" i="5"/>
  <c r="AR333" i="5"/>
  <c r="AQ409" i="5"/>
  <c r="AR409" i="5"/>
  <c r="AR353" i="5"/>
  <c r="AQ353" i="5"/>
  <c r="AQ390" i="5"/>
  <c r="AR390" i="5"/>
  <c r="AQ379" i="5"/>
  <c r="AR379" i="5"/>
  <c r="AQ450" i="5"/>
  <c r="AR450" i="5"/>
  <c r="AQ493" i="5"/>
  <c r="AR493" i="5"/>
  <c r="AR491" i="5"/>
  <c r="AQ491" i="5"/>
  <c r="AQ463" i="5"/>
  <c r="AR463" i="5"/>
  <c r="AQ482" i="5"/>
  <c r="AR482" i="5"/>
  <c r="AQ441" i="5"/>
  <c r="AR441" i="5"/>
  <c r="AQ484" i="5"/>
  <c r="AR484" i="5"/>
  <c r="AQ365" i="5"/>
  <c r="AR365" i="5"/>
  <c r="AQ432" i="5"/>
  <c r="AR432" i="5"/>
  <c r="AQ556" i="5"/>
  <c r="AR556" i="5"/>
  <c r="AQ446" i="5"/>
  <c r="AR446" i="5"/>
  <c r="AR42" i="5"/>
  <c r="AQ42" i="5"/>
  <c r="AR54" i="5"/>
  <c r="AQ54" i="5"/>
  <c r="AR66" i="5"/>
  <c r="AQ66" i="5"/>
  <c r="AQ93" i="5"/>
  <c r="AR93" i="5"/>
  <c r="AQ103" i="5"/>
  <c r="AR103" i="5"/>
  <c r="AQ91" i="5"/>
  <c r="AR91" i="5"/>
  <c r="AR89" i="5"/>
  <c r="AQ89" i="5"/>
  <c r="AR142" i="5"/>
  <c r="AQ142" i="5"/>
  <c r="AR135" i="5"/>
  <c r="AQ135" i="5"/>
  <c r="AQ131" i="5"/>
  <c r="AR131" i="5"/>
  <c r="AQ160" i="5"/>
  <c r="AR160" i="5"/>
  <c r="AQ176" i="5"/>
  <c r="AR176" i="5"/>
  <c r="AR211" i="5"/>
  <c r="AQ211" i="5"/>
  <c r="AQ221" i="5"/>
  <c r="AR221" i="5"/>
  <c r="AQ283" i="5"/>
  <c r="AR283" i="5"/>
  <c r="AQ314" i="5"/>
  <c r="AR314" i="5"/>
  <c r="AQ324" i="5"/>
  <c r="AR324" i="5"/>
  <c r="AR276" i="5"/>
  <c r="AQ276" i="5"/>
  <c r="AR286" i="5"/>
  <c r="AQ286" i="5"/>
  <c r="AR356" i="5"/>
  <c r="AQ356" i="5"/>
  <c r="AR284" i="5"/>
  <c r="AQ284" i="5"/>
  <c r="AQ397" i="5"/>
  <c r="AR397" i="5"/>
  <c r="AR262" i="5"/>
  <c r="AQ262" i="5"/>
  <c r="AR321" i="5"/>
  <c r="AQ321" i="5"/>
  <c r="AR396" i="5"/>
  <c r="AQ396" i="5"/>
  <c r="AR410" i="5"/>
  <c r="AQ410" i="5"/>
  <c r="AQ360" i="5"/>
  <c r="AR360" i="5"/>
  <c r="AR375" i="5"/>
  <c r="AQ375" i="5"/>
  <c r="AR275" i="5"/>
  <c r="AQ275" i="5"/>
  <c r="AR346" i="5"/>
  <c r="AQ346" i="5"/>
  <c r="AQ530" i="5"/>
  <c r="AR530" i="5"/>
  <c r="AR370" i="5"/>
  <c r="AQ370" i="5"/>
  <c r="AQ337" i="5"/>
  <c r="AR337" i="5"/>
  <c r="AQ459" i="5"/>
  <c r="AR459" i="5"/>
  <c r="AR377" i="5"/>
  <c r="AQ377" i="5"/>
  <c r="AQ558" i="5"/>
  <c r="AR558" i="5"/>
  <c r="AQ45" i="5"/>
  <c r="AR45" i="5"/>
  <c r="AQ70" i="5"/>
  <c r="AR70" i="5"/>
  <c r="AQ144" i="5"/>
  <c r="AR144" i="5"/>
  <c r="AQ166" i="5"/>
  <c r="AR166" i="5"/>
  <c r="AR306" i="5"/>
  <c r="AQ306" i="5"/>
  <c r="AQ364" i="5"/>
  <c r="AR364" i="5"/>
  <c r="AQ418" i="5"/>
  <c r="AR418" i="5"/>
  <c r="AQ499" i="5"/>
  <c r="AR499" i="5"/>
  <c r="AQ512" i="5"/>
  <c r="AR512" i="5"/>
  <c r="AR428" i="5"/>
  <c r="AQ428" i="5"/>
  <c r="AR542" i="5"/>
  <c r="AQ542" i="5"/>
  <c r="AR27" i="5"/>
  <c r="AQ27" i="5"/>
  <c r="AR86" i="5"/>
  <c r="AQ86" i="5"/>
  <c r="AR123" i="5"/>
  <c r="AQ123" i="5"/>
  <c r="AQ207" i="5"/>
  <c r="AR207" i="5"/>
  <c r="AQ203" i="5"/>
  <c r="AR203" i="5"/>
  <c r="AQ323" i="5"/>
  <c r="AR323" i="5"/>
  <c r="AQ502" i="5"/>
  <c r="AR502" i="5"/>
  <c r="AQ453" i="5"/>
  <c r="AR453" i="5"/>
  <c r="AQ358" i="5"/>
  <c r="AR358" i="5"/>
  <c r="U509" i="5"/>
  <c r="V509" i="5"/>
  <c r="U449" i="5"/>
  <c r="V449" i="5"/>
  <c r="U412" i="5"/>
  <c r="V412" i="5"/>
  <c r="V546" i="5"/>
  <c r="U546" i="5"/>
  <c r="V531" i="5"/>
  <c r="U531" i="5"/>
  <c r="U461" i="5"/>
  <c r="V461" i="5"/>
  <c r="U425" i="5"/>
  <c r="V425" i="5"/>
  <c r="U517" i="5"/>
  <c r="V517" i="5"/>
  <c r="U464" i="5"/>
  <c r="V464" i="5"/>
  <c r="U525" i="5"/>
  <c r="V525" i="5"/>
  <c r="V451" i="5"/>
  <c r="U451" i="5"/>
  <c r="U408" i="5"/>
  <c r="V408" i="5"/>
  <c r="U361" i="5"/>
  <c r="V361" i="5"/>
  <c r="V396" i="5"/>
  <c r="U396" i="5"/>
  <c r="V317" i="5"/>
  <c r="U317" i="5"/>
  <c r="U410" i="5"/>
  <c r="V410" i="5"/>
  <c r="U342" i="5"/>
  <c r="V342" i="5"/>
  <c r="U330" i="5"/>
  <c r="V330" i="5"/>
  <c r="U290" i="5"/>
  <c r="V290" i="5"/>
  <c r="U328" i="5"/>
  <c r="V328" i="5"/>
  <c r="V334" i="5"/>
  <c r="U334" i="5"/>
  <c r="V301" i="5"/>
  <c r="U301" i="5"/>
  <c r="U260" i="5"/>
  <c r="V260" i="5"/>
  <c r="V207" i="5"/>
  <c r="U207" i="5"/>
  <c r="V199" i="5"/>
  <c r="U199" i="5"/>
  <c r="V223" i="5"/>
  <c r="U223" i="5"/>
  <c r="U201" i="5"/>
  <c r="V201" i="5"/>
  <c r="V161" i="5"/>
  <c r="U161" i="5"/>
  <c r="U118" i="5"/>
  <c r="V118" i="5"/>
  <c r="U146" i="5"/>
  <c r="V146" i="5"/>
  <c r="U114" i="5"/>
  <c r="V114" i="5"/>
  <c r="U106" i="5"/>
  <c r="V106" i="5"/>
  <c r="V37" i="5"/>
  <c r="U37" i="5"/>
  <c r="U105" i="5"/>
  <c r="V105" i="5"/>
  <c r="V89" i="5"/>
  <c r="U89" i="5"/>
  <c r="U67" i="5"/>
  <c r="V67" i="5"/>
  <c r="U41" i="5"/>
  <c r="V41" i="5"/>
  <c r="U24" i="5"/>
  <c r="V24" i="5"/>
  <c r="AR525" i="5"/>
  <c r="AQ525" i="5"/>
  <c r="AQ544" i="5"/>
  <c r="AR544" i="5"/>
  <c r="AR43" i="5"/>
  <c r="AQ43" i="5"/>
  <c r="AQ126" i="5"/>
  <c r="AR126" i="5"/>
  <c r="AR173" i="5"/>
  <c r="AQ173" i="5"/>
  <c r="AQ191" i="5"/>
  <c r="AR191" i="5"/>
  <c r="AQ270" i="5"/>
  <c r="AR270" i="5"/>
  <c r="AQ374" i="5"/>
  <c r="AR374" i="5"/>
  <c r="AQ381" i="5"/>
  <c r="AR381" i="5"/>
  <c r="AR471" i="5"/>
  <c r="AQ471" i="5"/>
  <c r="AQ533" i="5"/>
  <c r="AR533" i="5"/>
  <c r="AR41" i="5"/>
  <c r="AQ41" i="5"/>
  <c r="AQ96" i="5"/>
  <c r="AR96" i="5"/>
  <c r="AR165" i="5"/>
  <c r="AQ165" i="5"/>
  <c r="AQ251" i="5"/>
  <c r="AR251" i="5"/>
  <c r="AQ237" i="5"/>
  <c r="AR237" i="5"/>
  <c r="AQ403" i="5"/>
  <c r="AR403" i="5"/>
  <c r="AQ494" i="5"/>
  <c r="AR494" i="5"/>
  <c r="AR553" i="5"/>
  <c r="AQ553" i="5"/>
  <c r="AQ521" i="5"/>
  <c r="AR521" i="5"/>
  <c r="AQ194" i="5"/>
  <c r="AR194" i="5"/>
  <c r="AQ274" i="5"/>
  <c r="AR274" i="5"/>
  <c r="AR319" i="5"/>
  <c r="AQ319" i="5"/>
  <c r="AQ267" i="5"/>
  <c r="AR267" i="5"/>
  <c r="AQ488" i="5"/>
  <c r="AR488" i="5"/>
  <c r="AQ452" i="5"/>
  <c r="AR452" i="5"/>
  <c r="AR552" i="5"/>
  <c r="AQ552" i="5"/>
  <c r="AR449" i="5"/>
  <c r="AQ449" i="5"/>
  <c r="AQ33" i="5"/>
  <c r="AR33" i="5"/>
  <c r="AQ60" i="5"/>
  <c r="AR60" i="5"/>
  <c r="AR114" i="5"/>
  <c r="AQ114" i="5"/>
  <c r="AR152" i="5"/>
  <c r="AQ152" i="5"/>
  <c r="AR197" i="5"/>
  <c r="AQ197" i="5"/>
  <c r="AQ213" i="5"/>
  <c r="AR213" i="5"/>
  <c r="AR196" i="5"/>
  <c r="AQ196" i="5"/>
  <c r="AR268" i="5"/>
  <c r="AQ268" i="5"/>
  <c r="AR317" i="5"/>
  <c r="AQ317" i="5"/>
  <c r="AR334" i="5"/>
  <c r="AQ334" i="5"/>
  <c r="AQ490" i="5"/>
  <c r="AR490" i="5"/>
  <c r="U19" i="5"/>
  <c r="V19" i="5"/>
  <c r="V559" i="5"/>
  <c r="U559" i="5"/>
  <c r="V552" i="5"/>
  <c r="U552" i="5"/>
  <c r="U406" i="5"/>
  <c r="V406" i="5"/>
  <c r="U465" i="5"/>
  <c r="V465" i="5"/>
  <c r="U493" i="5"/>
  <c r="V493" i="5"/>
  <c r="U457" i="5"/>
  <c r="V457" i="5"/>
  <c r="V368" i="5"/>
  <c r="U368" i="5"/>
  <c r="U501" i="5"/>
  <c r="V501" i="5"/>
  <c r="U462" i="5"/>
  <c r="V462" i="5"/>
  <c r="V537" i="5"/>
  <c r="U537" i="5"/>
  <c r="U466" i="5"/>
  <c r="V466" i="5"/>
  <c r="V355" i="5"/>
  <c r="U355" i="5"/>
  <c r="AR127" i="5"/>
  <c r="AQ127" i="5"/>
  <c r="AR58" i="5"/>
  <c r="AQ58" i="5"/>
  <c r="AR82" i="5"/>
  <c r="AQ82" i="5"/>
  <c r="AR140" i="5"/>
  <c r="AQ140" i="5"/>
  <c r="AQ223" i="5"/>
  <c r="AR223" i="5"/>
  <c r="AQ260" i="5"/>
  <c r="AR260" i="5"/>
  <c r="AR219" i="5"/>
  <c r="AQ219" i="5"/>
  <c r="AQ304" i="5"/>
  <c r="AR304" i="5"/>
  <c r="AQ359" i="5"/>
  <c r="AR359" i="5"/>
  <c r="AQ372" i="5"/>
  <c r="AR372" i="5"/>
  <c r="AQ466" i="5"/>
  <c r="AR466" i="5"/>
  <c r="AQ464" i="5"/>
  <c r="AR464" i="5"/>
  <c r="AQ498" i="5"/>
  <c r="AR498" i="5"/>
  <c r="AR547" i="5"/>
  <c r="AQ547" i="5"/>
  <c r="AR523" i="5"/>
  <c r="AQ523" i="5"/>
  <c r="AR108" i="5"/>
  <c r="AQ108" i="5"/>
  <c r="AQ171" i="5"/>
  <c r="AR171" i="5"/>
  <c r="AR227" i="5"/>
  <c r="AQ227" i="5"/>
  <c r="AR277" i="5"/>
  <c r="AQ277" i="5"/>
  <c r="AR292" i="5"/>
  <c r="AQ292" i="5"/>
  <c r="AQ180" i="5"/>
  <c r="AR180" i="5"/>
  <c r="AR352" i="5"/>
  <c r="AQ352" i="5"/>
  <c r="AR331" i="5"/>
  <c r="AQ331" i="5"/>
  <c r="AR456" i="5"/>
  <c r="AQ456" i="5"/>
  <c r="AQ272" i="5"/>
  <c r="AR272" i="5"/>
  <c r="AQ504" i="5"/>
  <c r="AR504" i="5"/>
  <c r="AR559" i="5"/>
  <c r="AQ559" i="5"/>
  <c r="AQ416" i="5"/>
  <c r="AR416" i="5"/>
  <c r="AQ509" i="5"/>
  <c r="AR509" i="5"/>
  <c r="AR555" i="5"/>
  <c r="AQ555" i="5"/>
  <c r="AQ467" i="5"/>
  <c r="AR467" i="5"/>
  <c r="AQ500" i="5"/>
  <c r="AR500" i="5"/>
  <c r="AQ534" i="5"/>
  <c r="AR534" i="5"/>
  <c r="V523" i="5"/>
  <c r="U523" i="5"/>
  <c r="U488" i="5"/>
  <c r="V488" i="5"/>
  <c r="U445" i="5"/>
  <c r="V445" i="5"/>
  <c r="V558" i="5"/>
  <c r="U558" i="5"/>
  <c r="U530" i="5"/>
  <c r="V530" i="5"/>
  <c r="U419" i="5"/>
  <c r="V419" i="5"/>
  <c r="V551" i="5"/>
  <c r="U551" i="5"/>
  <c r="U518" i="5"/>
  <c r="V518" i="5"/>
  <c r="U450" i="5"/>
  <c r="V450" i="5"/>
  <c r="U394" i="5"/>
  <c r="V394" i="5"/>
  <c r="V550" i="5"/>
  <c r="U550" i="5"/>
  <c r="V542" i="5"/>
  <c r="U542" i="5"/>
  <c r="U534" i="5"/>
  <c r="V534" i="5"/>
  <c r="U444" i="5"/>
  <c r="V444" i="5"/>
  <c r="V338" i="5"/>
  <c r="U338" i="5"/>
  <c r="V556" i="5"/>
  <c r="U556" i="5"/>
  <c r="U510" i="5"/>
  <c r="V510" i="5"/>
  <c r="U492" i="5"/>
  <c r="V492" i="5"/>
  <c r="U482" i="5"/>
  <c r="V482" i="5"/>
  <c r="U467" i="5"/>
  <c r="V467" i="5"/>
  <c r="U455" i="5"/>
  <c r="V455" i="5"/>
  <c r="V435" i="5"/>
  <c r="U435" i="5"/>
  <c r="V416" i="5"/>
  <c r="U416" i="5"/>
  <c r="U395" i="5"/>
  <c r="V395" i="5"/>
  <c r="U360" i="5"/>
  <c r="V360" i="5"/>
  <c r="U521" i="5"/>
  <c r="V521" i="5"/>
  <c r="U511" i="5"/>
  <c r="V511" i="5"/>
  <c r="U500" i="5"/>
  <c r="V500" i="5"/>
  <c r="V483" i="5"/>
  <c r="U483" i="5"/>
  <c r="V471" i="5"/>
  <c r="U471" i="5"/>
  <c r="U459" i="5"/>
  <c r="V459" i="5"/>
  <c r="U442" i="5"/>
  <c r="V442" i="5"/>
  <c r="U351" i="5"/>
  <c r="V351" i="5"/>
  <c r="U533" i="5"/>
  <c r="V533" i="5"/>
  <c r="V515" i="5"/>
  <c r="U515" i="5"/>
  <c r="U505" i="5"/>
  <c r="V505" i="5"/>
  <c r="V481" i="5"/>
  <c r="U481" i="5"/>
  <c r="U460" i="5"/>
  <c r="V460" i="5"/>
  <c r="U447" i="5"/>
  <c r="V447" i="5"/>
  <c r="U430" i="5"/>
  <c r="V430" i="5"/>
  <c r="U357" i="5"/>
  <c r="V357" i="5"/>
  <c r="U414" i="5"/>
  <c r="V414" i="5"/>
  <c r="U402" i="5"/>
  <c r="V402" i="5"/>
  <c r="V383" i="5"/>
  <c r="U383" i="5"/>
  <c r="U365" i="5"/>
  <c r="V365" i="5"/>
  <c r="U353" i="5"/>
  <c r="V353" i="5"/>
  <c r="U319" i="5"/>
  <c r="V319" i="5"/>
  <c r="U228" i="5"/>
  <c r="V228" i="5"/>
  <c r="U409" i="5"/>
  <c r="V409" i="5"/>
  <c r="V389" i="5"/>
  <c r="U389" i="5"/>
  <c r="V376" i="5"/>
  <c r="U376" i="5"/>
  <c r="U369" i="5"/>
  <c r="V369" i="5"/>
  <c r="U247" i="5"/>
  <c r="V247" i="5"/>
  <c r="U433" i="5"/>
  <c r="V433" i="5"/>
  <c r="U420" i="5"/>
  <c r="V420" i="5"/>
  <c r="U403" i="5"/>
  <c r="V403" i="5"/>
  <c r="U387" i="5"/>
  <c r="V387" i="5"/>
  <c r="U366" i="5"/>
  <c r="V366" i="5"/>
  <c r="U350" i="5"/>
  <c r="V350" i="5"/>
  <c r="V329" i="5"/>
  <c r="U329" i="5"/>
  <c r="U286" i="5"/>
  <c r="V286" i="5"/>
  <c r="U262" i="5"/>
  <c r="V262" i="5"/>
  <c r="V343" i="5"/>
  <c r="U343" i="5"/>
  <c r="V321" i="5"/>
  <c r="U321" i="5"/>
  <c r="V305" i="5"/>
  <c r="U305" i="5"/>
  <c r="V296" i="5"/>
  <c r="U296" i="5"/>
  <c r="V281" i="5"/>
  <c r="U281" i="5"/>
  <c r="U264" i="5"/>
  <c r="V264" i="5"/>
  <c r="U253" i="5"/>
  <c r="V253" i="5"/>
  <c r="U160" i="5"/>
  <c r="V160" i="5"/>
  <c r="U323" i="5"/>
  <c r="V323" i="5"/>
  <c r="U302" i="5"/>
  <c r="V302" i="5"/>
  <c r="V288" i="5"/>
  <c r="U288" i="5"/>
  <c r="U258" i="5"/>
  <c r="V258" i="5"/>
  <c r="U237" i="5"/>
  <c r="V237" i="5"/>
  <c r="V327" i="5"/>
  <c r="U327" i="5"/>
  <c r="V308" i="5"/>
  <c r="U308" i="5"/>
  <c r="V289" i="5"/>
  <c r="U289" i="5"/>
  <c r="U277" i="5"/>
  <c r="V277" i="5"/>
  <c r="U265" i="5"/>
  <c r="V265" i="5"/>
  <c r="U255" i="5"/>
  <c r="V255" i="5"/>
  <c r="U248" i="5"/>
  <c r="V248" i="5"/>
  <c r="U240" i="5"/>
  <c r="V240" i="5"/>
  <c r="U230" i="5"/>
  <c r="V230" i="5"/>
  <c r="U213" i="5"/>
  <c r="V213" i="5"/>
  <c r="U191" i="5"/>
  <c r="V191" i="5"/>
  <c r="V157" i="5"/>
  <c r="U157" i="5"/>
  <c r="U232" i="5"/>
  <c r="V232" i="5"/>
  <c r="U216" i="5"/>
  <c r="V216" i="5"/>
  <c r="U166" i="5"/>
  <c r="V166" i="5"/>
  <c r="U120" i="5"/>
  <c r="V120" i="5"/>
  <c r="V227" i="5"/>
  <c r="U227" i="5"/>
  <c r="U218" i="5"/>
  <c r="V218" i="5"/>
  <c r="U208" i="5"/>
  <c r="V208" i="5"/>
  <c r="U200" i="5"/>
  <c r="V200" i="5"/>
  <c r="U206" i="5"/>
  <c r="V206" i="5"/>
  <c r="U197" i="5"/>
  <c r="V197" i="5"/>
  <c r="V186" i="5"/>
  <c r="U186" i="5"/>
  <c r="V175" i="5"/>
  <c r="U175" i="5"/>
  <c r="U154" i="5"/>
  <c r="V154" i="5"/>
  <c r="U182" i="5"/>
  <c r="V182" i="5"/>
  <c r="U140" i="5"/>
  <c r="V140" i="5"/>
  <c r="V86" i="5"/>
  <c r="U86" i="5"/>
  <c r="V177" i="5"/>
  <c r="U177" i="5"/>
  <c r="V165" i="5"/>
  <c r="U165" i="5"/>
  <c r="U125" i="5"/>
  <c r="V125" i="5"/>
  <c r="V143" i="5"/>
  <c r="U143" i="5"/>
  <c r="U119" i="5"/>
  <c r="V119" i="5"/>
  <c r="U75" i="5"/>
  <c r="V75" i="5"/>
  <c r="U142" i="5"/>
  <c r="V142" i="5"/>
  <c r="U124" i="5"/>
  <c r="V124" i="5"/>
  <c r="V112" i="5"/>
  <c r="U112" i="5"/>
  <c r="U99" i="5"/>
  <c r="V99" i="5"/>
  <c r="U141" i="5"/>
  <c r="V141" i="5"/>
  <c r="V127" i="5"/>
  <c r="U127" i="5"/>
  <c r="U93" i="5"/>
  <c r="V93" i="5"/>
  <c r="U108" i="5"/>
  <c r="V108" i="5"/>
  <c r="U88" i="5"/>
  <c r="V88" i="5"/>
  <c r="U60" i="5"/>
  <c r="V60" i="5"/>
  <c r="U95" i="5"/>
  <c r="V95" i="5"/>
  <c r="U96" i="5"/>
  <c r="V96" i="5"/>
  <c r="U25" i="5"/>
  <c r="V25" i="5"/>
  <c r="V73" i="5"/>
  <c r="U73" i="5"/>
  <c r="U74" i="5"/>
  <c r="V74" i="5"/>
  <c r="U68" i="5"/>
  <c r="V68" i="5"/>
  <c r="V55" i="5"/>
  <c r="U55" i="5"/>
  <c r="U62" i="5"/>
  <c r="V62" i="5"/>
  <c r="U50" i="5"/>
  <c r="V50" i="5"/>
  <c r="U20" i="5"/>
  <c r="V20" i="5"/>
  <c r="U53" i="5"/>
  <c r="V53" i="5"/>
  <c r="U48" i="5"/>
  <c r="V48" i="5"/>
  <c r="U36" i="5"/>
  <c r="V36" i="5"/>
  <c r="U42" i="5"/>
  <c r="V42" i="5"/>
  <c r="V27" i="5"/>
  <c r="U27" i="5"/>
  <c r="U46" i="5"/>
  <c r="V46" i="5"/>
  <c r="V28" i="5"/>
  <c r="U28" i="5"/>
  <c r="AQ241" i="5"/>
  <c r="AR241" i="5"/>
  <c r="AR483" i="5"/>
  <c r="AQ483" i="5"/>
  <c r="AR536" i="5"/>
  <c r="AQ536" i="5"/>
  <c r="AR39" i="5"/>
  <c r="AQ39" i="5"/>
  <c r="AQ53" i="5"/>
  <c r="AR53" i="5"/>
  <c r="AQ20" i="5"/>
  <c r="AR20" i="5"/>
  <c r="AR22" i="5"/>
  <c r="AQ22" i="5"/>
  <c r="AR77" i="5"/>
  <c r="AQ77" i="5"/>
  <c r="AQ75" i="5"/>
  <c r="AR75" i="5"/>
  <c r="AQ136" i="5"/>
  <c r="AR136" i="5"/>
  <c r="AR129" i="5"/>
  <c r="AQ129" i="5"/>
  <c r="AR150" i="5"/>
  <c r="AQ150" i="5"/>
  <c r="AR111" i="5"/>
  <c r="AQ111" i="5"/>
  <c r="AR198" i="5"/>
  <c r="AQ198" i="5"/>
  <c r="AR248" i="5"/>
  <c r="AQ248" i="5"/>
  <c r="AQ238" i="5"/>
  <c r="AR238" i="5"/>
  <c r="AQ280" i="5"/>
  <c r="AR280" i="5"/>
  <c r="AQ297" i="5"/>
  <c r="AR297" i="5"/>
  <c r="AQ311" i="5"/>
  <c r="AR311" i="5"/>
  <c r="AR259" i="5"/>
  <c r="AQ259" i="5"/>
  <c r="AR335" i="5"/>
  <c r="AQ335" i="5"/>
  <c r="AQ231" i="5"/>
  <c r="AR231" i="5"/>
  <c r="AR330" i="5"/>
  <c r="AQ330" i="5"/>
  <c r="AQ401" i="5"/>
  <c r="AR401" i="5"/>
  <c r="AR420" i="5"/>
  <c r="AQ420" i="5"/>
  <c r="AR298" i="5"/>
  <c r="AQ298" i="5"/>
  <c r="AQ393" i="5"/>
  <c r="AR393" i="5"/>
  <c r="AQ339" i="5"/>
  <c r="AR339" i="5"/>
  <c r="AQ344" i="5"/>
  <c r="AR344" i="5"/>
  <c r="AR508" i="5"/>
  <c r="AQ508" i="5"/>
  <c r="AQ442" i="5"/>
  <c r="AR442" i="5"/>
  <c r="AQ475" i="5"/>
  <c r="AR475" i="5"/>
  <c r="AQ457" i="5"/>
  <c r="AR457" i="5"/>
  <c r="AQ505" i="5"/>
  <c r="AR505" i="5"/>
  <c r="AR524" i="5"/>
  <c r="AQ524" i="5"/>
  <c r="AQ204" i="5"/>
  <c r="AR204" i="5"/>
  <c r="AQ541" i="5"/>
  <c r="AR541" i="5"/>
  <c r="AR532" i="5"/>
  <c r="AQ532" i="5"/>
  <c r="AQ119" i="5"/>
  <c r="AR119" i="5"/>
  <c r="AQ29" i="5"/>
  <c r="AR29" i="5"/>
  <c r="AR24" i="5"/>
  <c r="AQ24" i="5"/>
  <c r="AR25" i="5"/>
  <c r="AQ25" i="5"/>
  <c r="AR78" i="5"/>
  <c r="AQ78" i="5"/>
  <c r="AQ79" i="5"/>
  <c r="AR79" i="5"/>
  <c r="AR141" i="5"/>
  <c r="AQ141" i="5"/>
  <c r="AQ118" i="5"/>
  <c r="AR118" i="5"/>
  <c r="AR110" i="5"/>
  <c r="AQ110" i="5"/>
  <c r="AR187" i="5"/>
  <c r="AQ187" i="5"/>
  <c r="AQ199" i="5"/>
  <c r="AR199" i="5"/>
  <c r="AR164" i="5"/>
  <c r="AQ164" i="5"/>
  <c r="AQ195" i="5"/>
  <c r="AR195" i="5"/>
  <c r="AQ233" i="5"/>
  <c r="AR233" i="5"/>
  <c r="AR250" i="5"/>
  <c r="AQ250" i="5"/>
  <c r="AQ316" i="5"/>
  <c r="AR316" i="5"/>
  <c r="AQ328" i="5"/>
  <c r="AR328" i="5"/>
  <c r="AR281" i="5"/>
  <c r="AQ281" i="5"/>
  <c r="AQ345" i="5"/>
  <c r="AR345" i="5"/>
  <c r="AQ378" i="5"/>
  <c r="AR378" i="5"/>
  <c r="AQ438" i="5"/>
  <c r="AR438" i="5"/>
  <c r="AQ451" i="5"/>
  <c r="AR451" i="5"/>
  <c r="AR496" i="5"/>
  <c r="AQ496" i="5"/>
  <c r="AQ439" i="5"/>
  <c r="AR439" i="5"/>
  <c r="AR507" i="5"/>
  <c r="AQ507" i="5"/>
  <c r="AR44" i="5"/>
  <c r="AQ44" i="5"/>
  <c r="AR26" i="5"/>
  <c r="AQ26" i="5"/>
  <c r="AQ94" i="5"/>
  <c r="AR94" i="5"/>
  <c r="AR143" i="5"/>
  <c r="AQ143" i="5"/>
  <c r="AR112" i="5"/>
  <c r="AQ112" i="5"/>
  <c r="AR214" i="5"/>
  <c r="AQ214" i="5"/>
  <c r="AR315" i="5"/>
  <c r="AQ315" i="5"/>
  <c r="AQ285" i="5"/>
  <c r="AR285" i="5"/>
  <c r="AQ326" i="5"/>
  <c r="AR326" i="5"/>
  <c r="AR350" i="5"/>
  <c r="AQ350" i="5"/>
  <c r="AR443" i="5"/>
  <c r="AQ443" i="5"/>
  <c r="AR485" i="5"/>
  <c r="AQ485" i="5"/>
  <c r="AR476" i="5"/>
  <c r="AQ476" i="5"/>
  <c r="AR389" i="5"/>
  <c r="AQ389" i="5"/>
  <c r="AQ529" i="5"/>
  <c r="AR529" i="5"/>
  <c r="AQ279" i="5"/>
  <c r="AR279" i="5"/>
  <c r="AR545" i="5"/>
  <c r="AQ545" i="5"/>
  <c r="AQ32" i="5"/>
  <c r="AR32" i="5"/>
  <c r="AR68" i="5"/>
  <c r="AQ68" i="5"/>
  <c r="AR107" i="5"/>
  <c r="AQ107" i="5"/>
  <c r="AQ106" i="5"/>
  <c r="AR106" i="5"/>
  <c r="AR125" i="5"/>
  <c r="AQ125" i="5"/>
  <c r="AQ206" i="5"/>
  <c r="AR206" i="5"/>
  <c r="AQ263" i="5"/>
  <c r="AR263" i="5"/>
  <c r="AR253" i="5"/>
  <c r="AQ253" i="5"/>
  <c r="AR411" i="5"/>
  <c r="AQ411" i="5"/>
  <c r="AR427" i="5"/>
  <c r="AQ427" i="5"/>
  <c r="AQ408" i="5"/>
  <c r="AR408" i="5"/>
  <c r="AQ468" i="5"/>
  <c r="AR468" i="5"/>
  <c r="AQ537" i="5"/>
  <c r="AR537" i="5"/>
  <c r="V476" i="5"/>
  <c r="U476" i="5"/>
  <c r="U397" i="5"/>
  <c r="V397" i="5"/>
  <c r="V553" i="5"/>
  <c r="U553" i="5"/>
  <c r="U527" i="5"/>
  <c r="V527" i="5"/>
  <c r="V541" i="5"/>
  <c r="U541" i="5"/>
  <c r="U484" i="5"/>
  <c r="V484" i="5"/>
  <c r="U346" i="5"/>
  <c r="V346" i="5"/>
  <c r="U495" i="5"/>
  <c r="V495" i="5"/>
  <c r="V487" i="5"/>
  <c r="U487" i="5"/>
  <c r="U446" i="5"/>
  <c r="V446" i="5"/>
  <c r="V374" i="5"/>
  <c r="U374" i="5"/>
  <c r="U333" i="5"/>
  <c r="V333" i="5"/>
  <c r="U496" i="5"/>
  <c r="V496" i="5"/>
  <c r="U475" i="5"/>
  <c r="V475" i="5"/>
  <c r="U431" i="5"/>
  <c r="V431" i="5"/>
  <c r="U508" i="5"/>
  <c r="V508" i="5"/>
  <c r="V494" i="5"/>
  <c r="U494" i="5"/>
  <c r="V441" i="5"/>
  <c r="U441" i="5"/>
  <c r="U384" i="5"/>
  <c r="V384" i="5"/>
  <c r="U392" i="5"/>
  <c r="V392" i="5"/>
  <c r="V340" i="5"/>
  <c r="U340" i="5"/>
  <c r="U275" i="5"/>
  <c r="V275" i="5"/>
  <c r="U385" i="5"/>
  <c r="V385" i="5"/>
  <c r="U372" i="5"/>
  <c r="V372" i="5"/>
  <c r="U424" i="5"/>
  <c r="V424" i="5"/>
  <c r="V378" i="5"/>
  <c r="U378" i="5"/>
  <c r="V362" i="5"/>
  <c r="U362" i="5"/>
  <c r="U280" i="5"/>
  <c r="V280" i="5"/>
  <c r="U354" i="5"/>
  <c r="V354" i="5"/>
  <c r="V300" i="5"/>
  <c r="U300" i="5"/>
  <c r="U259" i="5"/>
  <c r="V259" i="5"/>
  <c r="U231" i="5"/>
  <c r="V231" i="5"/>
  <c r="V292" i="5"/>
  <c r="U292" i="5"/>
  <c r="U276" i="5"/>
  <c r="V276" i="5"/>
  <c r="V318" i="5"/>
  <c r="U318" i="5"/>
  <c r="V273" i="5"/>
  <c r="U273" i="5"/>
  <c r="U176" i="5"/>
  <c r="V176" i="5"/>
  <c r="U235" i="5"/>
  <c r="V235" i="5"/>
  <c r="V174" i="5"/>
  <c r="U174" i="5"/>
  <c r="U242" i="5"/>
  <c r="V242" i="5"/>
  <c r="U150" i="5"/>
  <c r="V150" i="5"/>
  <c r="U211" i="5"/>
  <c r="V211" i="5"/>
  <c r="U203" i="5"/>
  <c r="V203" i="5"/>
  <c r="U190" i="5"/>
  <c r="V190" i="5"/>
  <c r="U79" i="5"/>
  <c r="V79" i="5"/>
  <c r="V181" i="5"/>
  <c r="U181" i="5"/>
  <c r="V171" i="5"/>
  <c r="U171" i="5"/>
  <c r="U130" i="5"/>
  <c r="V130" i="5"/>
  <c r="U131" i="5"/>
  <c r="V131" i="5"/>
  <c r="U117" i="5"/>
  <c r="V117" i="5"/>
  <c r="U136" i="5"/>
  <c r="V136" i="5"/>
  <c r="U121" i="5"/>
  <c r="V121" i="5"/>
  <c r="U83" i="5"/>
  <c r="V83" i="5"/>
  <c r="U82" i="5"/>
  <c r="V82" i="5"/>
  <c r="U76" i="5"/>
  <c r="V76" i="5"/>
  <c r="V63" i="5"/>
  <c r="U63" i="5"/>
  <c r="U30" i="5"/>
  <c r="V30" i="5"/>
  <c r="U64" i="5"/>
  <c r="V64" i="5"/>
  <c r="U22" i="5"/>
  <c r="V22" i="5"/>
  <c r="V38" i="5"/>
  <c r="U38" i="5"/>
  <c r="AQ492" i="5"/>
  <c r="AR492" i="5"/>
  <c r="AQ444" i="5"/>
  <c r="AR444" i="5"/>
  <c r="AR87" i="5"/>
  <c r="AQ87" i="5"/>
  <c r="AR115" i="5"/>
  <c r="AQ115" i="5"/>
  <c r="AR109" i="5"/>
  <c r="AQ109" i="5"/>
  <c r="AR172" i="5"/>
  <c r="AQ172" i="5"/>
  <c r="AR234" i="5"/>
  <c r="AQ234" i="5"/>
  <c r="AR265" i="5"/>
  <c r="AQ265" i="5"/>
  <c r="AR327" i="5"/>
  <c r="AQ327" i="5"/>
  <c r="AR307" i="5"/>
  <c r="AQ307" i="5"/>
  <c r="AQ394" i="5"/>
  <c r="AR394" i="5"/>
  <c r="AQ367" i="5"/>
  <c r="AR367" i="5"/>
  <c r="AQ414" i="5"/>
  <c r="AR414" i="5"/>
  <c r="AR302" i="5"/>
  <c r="AQ302" i="5"/>
  <c r="AR551" i="5"/>
  <c r="AQ551" i="5"/>
  <c r="AR413" i="5"/>
  <c r="AQ413" i="5"/>
  <c r="AR38" i="5"/>
  <c r="AQ38" i="5"/>
  <c r="AQ23" i="5"/>
  <c r="AR23" i="5"/>
  <c r="AQ69" i="5"/>
  <c r="AR69" i="5"/>
  <c r="AR153" i="5"/>
  <c r="AQ153" i="5"/>
  <c r="AQ175" i="5"/>
  <c r="AR175" i="5"/>
  <c r="AR229" i="5"/>
  <c r="AQ229" i="5"/>
  <c r="AR301" i="5"/>
  <c r="AQ301" i="5"/>
  <c r="AQ313" i="5"/>
  <c r="AR313" i="5"/>
  <c r="AQ341" i="5"/>
  <c r="AR341" i="5"/>
  <c r="AR487" i="5"/>
  <c r="AQ487" i="5"/>
  <c r="AQ516" i="5"/>
  <c r="AR516" i="5"/>
  <c r="AQ380" i="5"/>
  <c r="AR380" i="5"/>
  <c r="AR426" i="5"/>
  <c r="AQ426" i="5"/>
  <c r="AQ81" i="5"/>
  <c r="AR81" i="5"/>
  <c r="AQ146" i="5"/>
  <c r="AR146" i="5"/>
  <c r="AR184" i="5"/>
  <c r="AQ184" i="5"/>
  <c r="AQ201" i="5"/>
  <c r="AR201" i="5"/>
  <c r="AR235" i="5"/>
  <c r="AQ235" i="5"/>
  <c r="AQ258" i="5"/>
  <c r="AR258" i="5"/>
  <c r="AQ290" i="5"/>
  <c r="AR290" i="5"/>
  <c r="AQ398" i="5"/>
  <c r="AR398" i="5"/>
  <c r="AQ383" i="5"/>
  <c r="AR383" i="5"/>
  <c r="AQ384" i="5"/>
  <c r="AR384" i="5"/>
  <c r="AR363" i="5"/>
  <c r="AQ363" i="5"/>
  <c r="AQ557" i="5"/>
  <c r="AR557" i="5"/>
  <c r="AQ535" i="5"/>
  <c r="AR535" i="5"/>
  <c r="AR527" i="5"/>
  <c r="AQ527" i="5"/>
  <c r="AR193" i="5"/>
  <c r="AQ193" i="5"/>
  <c r="AQ473" i="5"/>
  <c r="AR473" i="5"/>
  <c r="AR40" i="5"/>
  <c r="AQ40" i="5"/>
  <c r="AQ73" i="5"/>
  <c r="AR73" i="5"/>
  <c r="AR98" i="5"/>
  <c r="AQ98" i="5"/>
  <c r="AR151" i="5"/>
  <c r="AQ151" i="5"/>
  <c r="AQ95" i="5"/>
  <c r="AR95" i="5"/>
  <c r="AR247" i="5"/>
  <c r="AQ247" i="5"/>
  <c r="AQ228" i="5"/>
  <c r="AR228" i="5"/>
  <c r="AR303" i="5"/>
  <c r="AQ303" i="5"/>
  <c r="AQ415" i="5"/>
  <c r="AR415" i="5"/>
  <c r="AQ407" i="5"/>
  <c r="AR407" i="5"/>
  <c r="AR385" i="5"/>
  <c r="AQ385" i="5"/>
  <c r="AQ489" i="5"/>
  <c r="AR489" i="5"/>
  <c r="AQ472" i="5"/>
  <c r="AR472" i="5"/>
  <c r="AQ440" i="5"/>
  <c r="AR440" i="5"/>
  <c r="U502" i="5"/>
  <c r="V502" i="5"/>
  <c r="V535" i="5"/>
  <c r="U535" i="5"/>
  <c r="U440" i="5"/>
  <c r="V440" i="5"/>
  <c r="U490" i="5"/>
  <c r="V490" i="5"/>
  <c r="V554" i="5"/>
  <c r="U554" i="5"/>
  <c r="U536" i="5"/>
  <c r="V536" i="5"/>
  <c r="V557" i="5"/>
  <c r="U557" i="5"/>
  <c r="U526" i="5"/>
  <c r="V526" i="5"/>
  <c r="U470" i="5"/>
  <c r="V470" i="5"/>
  <c r="U439" i="5"/>
  <c r="V439" i="5"/>
  <c r="U398" i="5"/>
  <c r="V398" i="5"/>
  <c r="U512" i="5"/>
  <c r="V512" i="5"/>
  <c r="U485" i="5"/>
  <c r="V485" i="5"/>
  <c r="U453" i="5"/>
  <c r="V453" i="5"/>
  <c r="U516" i="5"/>
  <c r="V516" i="5"/>
  <c r="V507" i="5"/>
  <c r="U507" i="5"/>
  <c r="U448" i="5"/>
  <c r="V448" i="5"/>
  <c r="V373" i="5"/>
  <c r="U373" i="5"/>
  <c r="AQ67" i="5"/>
  <c r="AR67" i="5"/>
  <c r="AR72" i="5"/>
  <c r="AQ72" i="5"/>
  <c r="AQ105" i="5"/>
  <c r="AR105" i="5"/>
  <c r="AQ148" i="5"/>
  <c r="AR148" i="5"/>
  <c r="AQ169" i="5"/>
  <c r="AR169" i="5"/>
  <c r="AR185" i="5"/>
  <c r="AQ185" i="5"/>
  <c r="AQ216" i="5"/>
  <c r="AR216" i="5"/>
  <c r="AQ222" i="5"/>
  <c r="AR222" i="5"/>
  <c r="AR287" i="5"/>
  <c r="AQ287" i="5"/>
  <c r="AQ332" i="5"/>
  <c r="AR332" i="5"/>
  <c r="AQ278" i="5"/>
  <c r="AR278" i="5"/>
  <c r="AQ289" i="5"/>
  <c r="AR289" i="5"/>
  <c r="AQ348" i="5"/>
  <c r="AR348" i="5"/>
  <c r="AQ382" i="5"/>
  <c r="AR382" i="5"/>
  <c r="AR387" i="5"/>
  <c r="AQ387" i="5"/>
  <c r="AQ305" i="5"/>
  <c r="AR305" i="5"/>
  <c r="AQ513" i="5"/>
  <c r="AR513" i="5"/>
  <c r="AQ517" i="5"/>
  <c r="AR517" i="5"/>
  <c r="AR477" i="5"/>
  <c r="AQ477" i="5"/>
  <c r="AQ549" i="5"/>
  <c r="AR549" i="5"/>
  <c r="AQ519" i="5"/>
  <c r="AR519" i="5"/>
  <c r="AQ470" i="5"/>
  <c r="AR470" i="5"/>
  <c r="AR128" i="5"/>
  <c r="AQ128" i="5"/>
  <c r="AR548" i="5"/>
  <c r="AQ548" i="5"/>
  <c r="AQ343" i="5"/>
  <c r="AR343" i="5"/>
  <c r="AR61" i="5"/>
  <c r="AQ61" i="5"/>
  <c r="AQ74" i="5"/>
  <c r="AR74" i="5"/>
  <c r="AQ124" i="5"/>
  <c r="AR124" i="5"/>
  <c r="AQ137" i="5"/>
  <c r="AR137" i="5"/>
  <c r="AQ170" i="5"/>
  <c r="AR170" i="5"/>
  <c r="AR186" i="5"/>
  <c r="AQ186" i="5"/>
  <c r="AR242" i="5"/>
  <c r="AQ242" i="5"/>
  <c r="AQ236" i="5"/>
  <c r="AR236" i="5"/>
  <c r="AQ293" i="5"/>
  <c r="AR293" i="5"/>
  <c r="AQ325" i="5"/>
  <c r="AR325" i="5"/>
  <c r="AQ310" i="5"/>
  <c r="AR310" i="5"/>
  <c r="AQ400" i="5"/>
  <c r="AR400" i="5"/>
  <c r="AQ329" i="5"/>
  <c r="AR329" i="5"/>
  <c r="AR168" i="5"/>
  <c r="AQ168" i="5"/>
  <c r="AQ445" i="5"/>
  <c r="AR445" i="5"/>
  <c r="AR514" i="5"/>
  <c r="AQ514" i="5"/>
  <c r="AR30" i="5"/>
  <c r="AQ30" i="5"/>
  <c r="AR28" i="5"/>
  <c r="AQ28" i="5"/>
  <c r="AQ36" i="5"/>
  <c r="AR36" i="5"/>
  <c r="AR48" i="5"/>
  <c r="AQ48" i="5"/>
  <c r="AR56" i="5"/>
  <c r="AQ56" i="5"/>
  <c r="AQ97" i="5"/>
  <c r="AR97" i="5"/>
  <c r="AR113" i="5"/>
  <c r="AQ113" i="5"/>
  <c r="AR104" i="5"/>
  <c r="AQ104" i="5"/>
  <c r="AR99" i="5"/>
  <c r="AQ99" i="5"/>
  <c r="AQ134" i="5"/>
  <c r="AR134" i="5"/>
  <c r="AR158" i="5"/>
  <c r="AQ158" i="5"/>
  <c r="AR149" i="5"/>
  <c r="AQ149" i="5"/>
  <c r="AR162" i="5"/>
  <c r="AQ162" i="5"/>
  <c r="AR192" i="5"/>
  <c r="AQ192" i="5"/>
  <c r="AR212" i="5"/>
  <c r="AQ212" i="5"/>
  <c r="AQ252" i="5"/>
  <c r="AR252" i="5"/>
  <c r="AQ264" i="5"/>
  <c r="AR264" i="5"/>
  <c r="AQ300" i="5"/>
  <c r="AR300" i="5"/>
  <c r="AQ338" i="5"/>
  <c r="AR338" i="5"/>
  <c r="AQ424" i="5"/>
  <c r="AR424" i="5"/>
  <c r="AQ437" i="5"/>
  <c r="AR437" i="5"/>
  <c r="AR355" i="5"/>
  <c r="AQ355" i="5"/>
  <c r="AQ202" i="5"/>
  <c r="AR202" i="5"/>
  <c r="AQ351" i="5"/>
  <c r="AR351" i="5"/>
  <c r="AQ361" i="5"/>
  <c r="AR361" i="5"/>
  <c r="AQ404" i="5"/>
  <c r="AR404" i="5"/>
  <c r="AQ294" i="5"/>
  <c r="AR294" i="5"/>
  <c r="AQ497" i="5"/>
  <c r="AR497" i="5"/>
  <c r="AQ462" i="5"/>
  <c r="AR462" i="5"/>
  <c r="AQ531" i="5"/>
  <c r="AR531" i="5"/>
  <c r="AQ506" i="5"/>
  <c r="AR506" i="5"/>
  <c r="AQ455" i="5"/>
  <c r="AR455" i="5"/>
  <c r="AQ560" i="5"/>
  <c r="AR560" i="5"/>
  <c r="Q21" i="5"/>
  <c r="Q26" i="5"/>
  <c r="Q31" i="5"/>
  <c r="Q32" i="5"/>
  <c r="Q39" i="5"/>
  <c r="Q42" i="5"/>
  <c r="Q45" i="5"/>
  <c r="Q47" i="5"/>
  <c r="Q49" i="5"/>
  <c r="Q20" i="5"/>
  <c r="Q22" i="5"/>
  <c r="Q23" i="5"/>
  <c r="Q34" i="5"/>
  <c r="Q36" i="5"/>
  <c r="Q40" i="5"/>
  <c r="Q43" i="5"/>
  <c r="Q25" i="5"/>
  <c r="Q29" i="5"/>
  <c r="Q30" i="5"/>
  <c r="Q33" i="5"/>
  <c r="Q35" i="5"/>
  <c r="Q37" i="5"/>
  <c r="Q41" i="5"/>
  <c r="Q46" i="5"/>
  <c r="Q50" i="5"/>
  <c r="Q52" i="5"/>
  <c r="Q24" i="5"/>
  <c r="Q27" i="5"/>
  <c r="Q48" i="5"/>
  <c r="Q51" i="5"/>
  <c r="Q56" i="5"/>
  <c r="Q59" i="5"/>
  <c r="Q62" i="5"/>
  <c r="Q67" i="5"/>
  <c r="Q72" i="5"/>
  <c r="Q38" i="5"/>
  <c r="Q54" i="5"/>
  <c r="Q55" i="5"/>
  <c r="Q58" i="5"/>
  <c r="Q60" i="5"/>
  <c r="Q63" i="5"/>
  <c r="Q66" i="5"/>
  <c r="Q57" i="5"/>
  <c r="Q61" i="5"/>
  <c r="Q68" i="5"/>
  <c r="Q69" i="5"/>
  <c r="Q65" i="5"/>
  <c r="Q70" i="5"/>
  <c r="Q74" i="5"/>
  <c r="Q78" i="5"/>
  <c r="Q81" i="5"/>
  <c r="Q28" i="5"/>
  <c r="Q64" i="5"/>
  <c r="Q73" i="5"/>
  <c r="Q71" i="5"/>
  <c r="Q75" i="5"/>
  <c r="Q77" i="5"/>
  <c r="Q79" i="5"/>
  <c r="Q84" i="5"/>
  <c r="Q91" i="5"/>
  <c r="Q76" i="5"/>
  <c r="Q80" i="5"/>
  <c r="Q86" i="5"/>
  <c r="Q95" i="5"/>
  <c r="Q85" i="5"/>
  <c r="Q87" i="5"/>
  <c r="Q88" i="5"/>
  <c r="Q90" i="5"/>
  <c r="Q93" i="5"/>
  <c r="Q104" i="5"/>
  <c r="Q110" i="5"/>
  <c r="Q111" i="5"/>
  <c r="Q44" i="5"/>
  <c r="Q82" i="5"/>
  <c r="Q94" i="5"/>
  <c r="Q103" i="5"/>
  <c r="Q106" i="5"/>
  <c r="Q109" i="5"/>
  <c r="Q89" i="5"/>
  <c r="Q99" i="5"/>
  <c r="Q108" i="5"/>
  <c r="Q116" i="5"/>
  <c r="Q117" i="5"/>
  <c r="Q119" i="5"/>
  <c r="Q123" i="5"/>
  <c r="Q131" i="5"/>
  <c r="Q133" i="5"/>
  <c r="Q135" i="5"/>
  <c r="Q137" i="5"/>
  <c r="Q142" i="5"/>
  <c r="Q144" i="5"/>
  <c r="Q151" i="5"/>
  <c r="Q153" i="5"/>
  <c r="Q154" i="5"/>
  <c r="Q158" i="5"/>
  <c r="Q160" i="5"/>
  <c r="Q53" i="5"/>
  <c r="Q98" i="5"/>
  <c r="Q100" i="5"/>
  <c r="Q114" i="5"/>
  <c r="Q120" i="5"/>
  <c r="Q125" i="5"/>
  <c r="Q128" i="5"/>
  <c r="Q138" i="5"/>
  <c r="Q140" i="5"/>
  <c r="Q143" i="5"/>
  <c r="Q146" i="5"/>
  <c r="Q149" i="5"/>
  <c r="Q157" i="5"/>
  <c r="Q159" i="5"/>
  <c r="Q83" i="5"/>
  <c r="Q96" i="5"/>
  <c r="Q102" i="5"/>
  <c r="Q105" i="5"/>
  <c r="Q112" i="5"/>
  <c r="Q113" i="5"/>
  <c r="Q118" i="5"/>
  <c r="Q121" i="5"/>
  <c r="Q124" i="5"/>
  <c r="Q126" i="5"/>
  <c r="Q127" i="5"/>
  <c r="Q129" i="5"/>
  <c r="Q134" i="5"/>
  <c r="Q136" i="5"/>
  <c r="Q139" i="5"/>
  <c r="Q147" i="5"/>
  <c r="Q148" i="5"/>
  <c r="Q150" i="5"/>
  <c r="Q155" i="5"/>
  <c r="Q156" i="5"/>
  <c r="Q92" i="5"/>
  <c r="Q115" i="5"/>
  <c r="Q122" i="5"/>
  <c r="Q152" i="5"/>
  <c r="Q163" i="5"/>
  <c r="Q169" i="5"/>
  <c r="Q174" i="5"/>
  <c r="Q184" i="5"/>
  <c r="Q188" i="5"/>
  <c r="Q130" i="5"/>
  <c r="Q145" i="5"/>
  <c r="Q161" i="5"/>
  <c r="Q162" i="5"/>
  <c r="Q166" i="5"/>
  <c r="Q172" i="5"/>
  <c r="Q175" i="5"/>
  <c r="Q179" i="5"/>
  <c r="Q180" i="5"/>
  <c r="Q183" i="5"/>
  <c r="Q185" i="5"/>
  <c r="Q132" i="5"/>
  <c r="Q164" i="5"/>
  <c r="Q168" i="5"/>
  <c r="Q170" i="5"/>
  <c r="Q176" i="5"/>
  <c r="Q178" i="5"/>
  <c r="Q182" i="5"/>
  <c r="Q200" i="5"/>
  <c r="Q202" i="5"/>
  <c r="Q207" i="5"/>
  <c r="Q208" i="5"/>
  <c r="Q181" i="5"/>
  <c r="Q190" i="5"/>
  <c r="Q193" i="5"/>
  <c r="Q198" i="5"/>
  <c r="Q199" i="5"/>
  <c r="Q201" i="5"/>
  <c r="Q216" i="5"/>
  <c r="Q232" i="5"/>
  <c r="Q235" i="5"/>
  <c r="Q236" i="5"/>
  <c r="Q238" i="5"/>
  <c r="Q241" i="5"/>
  <c r="Q250" i="5"/>
  <c r="Q251" i="5"/>
  <c r="Q107" i="5"/>
  <c r="Q177" i="5"/>
  <c r="Q186" i="5"/>
  <c r="Q189" i="5"/>
  <c r="Q191" i="5"/>
  <c r="Q192" i="5"/>
  <c r="Q194" i="5"/>
  <c r="Q210" i="5"/>
  <c r="Q219" i="5"/>
  <c r="Q221" i="5"/>
  <c r="Q225" i="5"/>
  <c r="Q228" i="5"/>
  <c r="Q230" i="5"/>
  <c r="Q233" i="5"/>
  <c r="Q240" i="5"/>
  <c r="Q97" i="5"/>
  <c r="Q165" i="5"/>
  <c r="Q171" i="5"/>
  <c r="Q195" i="5"/>
  <c r="Q204" i="5"/>
  <c r="Q205" i="5"/>
  <c r="Q206" i="5"/>
  <c r="Q209" i="5"/>
  <c r="Q214" i="5"/>
  <c r="Q217" i="5"/>
  <c r="Q222" i="5"/>
  <c r="Q224" i="5"/>
  <c r="Q226" i="5"/>
  <c r="Q231" i="5"/>
  <c r="Q234" i="5"/>
  <c r="Q237" i="5"/>
  <c r="Q242" i="5"/>
  <c r="Q244" i="5"/>
  <c r="Q101" i="5"/>
  <c r="Q187" i="5"/>
  <c r="Q203" i="5"/>
  <c r="Q213" i="5"/>
  <c r="Q227" i="5"/>
  <c r="Q246" i="5"/>
  <c r="Q256" i="5"/>
  <c r="Q258" i="5"/>
  <c r="Q264" i="5"/>
  <c r="Q266" i="5"/>
  <c r="Q269" i="5"/>
  <c r="Q276" i="5"/>
  <c r="Q284" i="5"/>
  <c r="Q288" i="5"/>
  <c r="Q291" i="5"/>
  <c r="Q292" i="5"/>
  <c r="Q299" i="5"/>
  <c r="Q302" i="5"/>
  <c r="Q311" i="5"/>
  <c r="Q313" i="5"/>
  <c r="Q316" i="5"/>
  <c r="Q323" i="5"/>
  <c r="Q325" i="5"/>
  <c r="Q328" i="5"/>
  <c r="Q331" i="5"/>
  <c r="Q333" i="5"/>
  <c r="Q196" i="5"/>
  <c r="Q212" i="5"/>
  <c r="Q215" i="5"/>
  <c r="Q218" i="5"/>
  <c r="Q229" i="5"/>
  <c r="Q247" i="5"/>
  <c r="Q253" i="5"/>
  <c r="Q255" i="5"/>
  <c r="Q259" i="5"/>
  <c r="Q261" i="5"/>
  <c r="Q271" i="5"/>
  <c r="Q281" i="5"/>
  <c r="Q285" i="5"/>
  <c r="Q290" i="5"/>
  <c r="Q293" i="5"/>
  <c r="Q296" i="5"/>
  <c r="Q298" i="5"/>
  <c r="Q300" i="5"/>
  <c r="Q303" i="5"/>
  <c r="Q305" i="5"/>
  <c r="Q307" i="5"/>
  <c r="Q310" i="5"/>
  <c r="Q320" i="5"/>
  <c r="Q321" i="5"/>
  <c r="Q326" i="5"/>
  <c r="Q330" i="5"/>
  <c r="Q141" i="5"/>
  <c r="Q167" i="5"/>
  <c r="Q173" i="5"/>
  <c r="Q211" i="5"/>
  <c r="Q220" i="5"/>
  <c r="Q223" i="5"/>
  <c r="Q239" i="5"/>
  <c r="Q243" i="5"/>
  <c r="Q248" i="5"/>
  <c r="Q260" i="5"/>
  <c r="Q262" i="5"/>
  <c r="Q265" i="5"/>
  <c r="Q267" i="5"/>
  <c r="Q272" i="5"/>
  <c r="Q274" i="5"/>
  <c r="Q275" i="5"/>
  <c r="Q277" i="5"/>
  <c r="Q278" i="5"/>
  <c r="Q280" i="5"/>
  <c r="Q283" i="5"/>
  <c r="Q286" i="5"/>
  <c r="Q287" i="5"/>
  <c r="Q294" i="5"/>
  <c r="Q297" i="5"/>
  <c r="Q304" i="5"/>
  <c r="Q309" i="5"/>
  <c r="Q312" i="5"/>
  <c r="Q315" i="5"/>
  <c r="Q317" i="5"/>
  <c r="Q319" i="5"/>
  <c r="Q324" i="5"/>
  <c r="Q329" i="5"/>
  <c r="Q336" i="5"/>
  <c r="Q339" i="5"/>
  <c r="Q341" i="5"/>
  <c r="Q346" i="5"/>
  <c r="Q348" i="5"/>
  <c r="Q350" i="5"/>
  <c r="Q352" i="5"/>
  <c r="Q357" i="5"/>
  <c r="Q360" i="5"/>
  <c r="Q254" i="5"/>
  <c r="Q257" i="5"/>
  <c r="Q273" i="5"/>
  <c r="Q289" i="5"/>
  <c r="Q295" i="5"/>
  <c r="Q306" i="5"/>
  <c r="Q332" i="5"/>
  <c r="Q334" i="5"/>
  <c r="Q355" i="5"/>
  <c r="Q356" i="5"/>
  <c r="Q371" i="5"/>
  <c r="Q372" i="5"/>
  <c r="Q375" i="5"/>
  <c r="Q376" i="5"/>
  <c r="Q380" i="5"/>
  <c r="Q385" i="5"/>
  <c r="Q386" i="5"/>
  <c r="Q389" i="5"/>
  <c r="Q391" i="5"/>
  <c r="Q396" i="5"/>
  <c r="Q407" i="5"/>
  <c r="Q409" i="5"/>
  <c r="Q411" i="5"/>
  <c r="Q418" i="5"/>
  <c r="Q423" i="5"/>
  <c r="Q428" i="5"/>
  <c r="Q431" i="5"/>
  <c r="Q438" i="5"/>
  <c r="Q439" i="5"/>
  <c r="Q440" i="5"/>
  <c r="Q441" i="5"/>
  <c r="Q442" i="5"/>
  <c r="Q245" i="5"/>
  <c r="Q249" i="5"/>
  <c r="Q270" i="5"/>
  <c r="Q279" i="5"/>
  <c r="Q282" i="5"/>
  <c r="Q308" i="5"/>
  <c r="Q314" i="5"/>
  <c r="Q340" i="5"/>
  <c r="Q343" i="5"/>
  <c r="Q349" i="5"/>
  <c r="Q353" i="5"/>
  <c r="Q354" i="5"/>
  <c r="Q361" i="5"/>
  <c r="Q363" i="5"/>
  <c r="Q365" i="5"/>
  <c r="Q373" i="5"/>
  <c r="Q379" i="5"/>
  <c r="Q382" i="5"/>
  <c r="Q383" i="5"/>
  <c r="Q388" i="5"/>
  <c r="Q392" i="5"/>
  <c r="Q399" i="5"/>
  <c r="Q402" i="5"/>
  <c r="Q404" i="5"/>
  <c r="Q408" i="5"/>
  <c r="Q413" i="5"/>
  <c r="Q414" i="5"/>
  <c r="Q417" i="5"/>
  <c r="Q419" i="5"/>
  <c r="Q263" i="5"/>
  <c r="Q322" i="5"/>
  <c r="Q327" i="5"/>
  <c r="Q338" i="5"/>
  <c r="Q344" i="5"/>
  <c r="Q347" i="5"/>
  <c r="Q351" i="5"/>
  <c r="Q358" i="5"/>
  <c r="Q367" i="5"/>
  <c r="Q368" i="5"/>
  <c r="Q370" i="5"/>
  <c r="Q374" i="5"/>
  <c r="Q377" i="5"/>
  <c r="Q384" i="5"/>
  <c r="Q394" i="5"/>
  <c r="Q395" i="5"/>
  <c r="Q397" i="5"/>
  <c r="Q398" i="5"/>
  <c r="Q401" i="5"/>
  <c r="Q405" i="5"/>
  <c r="Q406" i="5"/>
  <c r="Q412" i="5"/>
  <c r="Q415" i="5"/>
  <c r="Q416" i="5"/>
  <c r="Q421" i="5"/>
  <c r="Q318" i="5"/>
  <c r="Q359" i="5"/>
  <c r="Q366" i="5"/>
  <c r="Q378" i="5"/>
  <c r="Q381" i="5"/>
  <c r="Q387" i="5"/>
  <c r="Q390" i="5"/>
  <c r="Q393" i="5"/>
  <c r="Q433" i="5"/>
  <c r="Q453" i="5"/>
  <c r="Q454" i="5"/>
  <c r="Q455" i="5"/>
  <c r="Q456" i="5"/>
  <c r="Q461" i="5"/>
  <c r="Q462" i="5"/>
  <c r="Q463" i="5"/>
  <c r="Q464" i="5"/>
  <c r="Q468" i="5"/>
  <c r="Q471" i="5"/>
  <c r="Q473" i="5"/>
  <c r="Q474" i="5"/>
  <c r="Q475" i="5"/>
  <c r="Q480" i="5"/>
  <c r="Q483" i="5"/>
  <c r="Q485" i="5"/>
  <c r="Q496" i="5"/>
  <c r="Q500" i="5"/>
  <c r="Q501" i="5"/>
  <c r="Q503" i="5"/>
  <c r="Q504" i="5"/>
  <c r="Q511" i="5"/>
  <c r="Q512" i="5"/>
  <c r="Q517" i="5"/>
  <c r="Q519" i="5"/>
  <c r="Q521" i="5"/>
  <c r="Q523" i="5"/>
  <c r="Q524" i="5"/>
  <c r="Q526" i="5"/>
  <c r="Q527" i="5"/>
  <c r="Q252" i="5"/>
  <c r="Q301" i="5"/>
  <c r="Q335" i="5"/>
  <c r="Q337" i="5"/>
  <c r="Q345" i="5"/>
  <c r="Q369" i="5"/>
  <c r="Q410" i="5"/>
  <c r="Q420" i="5"/>
  <c r="Q422" i="5"/>
  <c r="Q425" i="5"/>
  <c r="Q434" i="5"/>
  <c r="Q435" i="5"/>
  <c r="Q436" i="5"/>
  <c r="Q446" i="5"/>
  <c r="Q452" i="5"/>
  <c r="Q457" i="5"/>
  <c r="Q467" i="5"/>
  <c r="Q469" i="5"/>
  <c r="Q470" i="5"/>
  <c r="Q477" i="5"/>
  <c r="Q482" i="5"/>
  <c r="Q486" i="5"/>
  <c r="Q487" i="5"/>
  <c r="Q488" i="5"/>
  <c r="Q489" i="5"/>
  <c r="Q490" i="5"/>
  <c r="Q492" i="5"/>
  <c r="Q493" i="5"/>
  <c r="Q495" i="5"/>
  <c r="Q506" i="5"/>
  <c r="Q510" i="5"/>
  <c r="Q514" i="5"/>
  <c r="Q520" i="5"/>
  <c r="Q197" i="5"/>
  <c r="Q342" i="5"/>
  <c r="Q362" i="5"/>
  <c r="Q424" i="5"/>
  <c r="Q426" i="5"/>
  <c r="Q437" i="5"/>
  <c r="Q444" i="5"/>
  <c r="Q445" i="5"/>
  <c r="Q449" i="5"/>
  <c r="Q450" i="5"/>
  <c r="Q465" i="5"/>
  <c r="Q476" i="5"/>
  <c r="Q479" i="5"/>
  <c r="Q484" i="5"/>
  <c r="Q494" i="5"/>
  <c r="Q497" i="5"/>
  <c r="Q502" i="5"/>
  <c r="Q509" i="5"/>
  <c r="Q518" i="5"/>
  <c r="Q528" i="5"/>
  <c r="Q529" i="5"/>
  <c r="Q530" i="5"/>
  <c r="Q535" i="5"/>
  <c r="Q536" i="5"/>
  <c r="Q537" i="5"/>
  <c r="Q541" i="5"/>
  <c r="Q542" i="5"/>
  <c r="Q543" i="5"/>
  <c r="Q545" i="5"/>
  <c r="Q546" i="5"/>
  <c r="Q548" i="5"/>
  <c r="Q553" i="5"/>
  <c r="Q559" i="5"/>
  <c r="Q268" i="5"/>
  <c r="Q447" i="5"/>
  <c r="Q451" i="5"/>
  <c r="Q478" i="5"/>
  <c r="Q481" i="5"/>
  <c r="Q491" i="5"/>
  <c r="Q498" i="5"/>
  <c r="Q508" i="5"/>
  <c r="Q515" i="5"/>
  <c r="Q532" i="5"/>
  <c r="Q547" i="5"/>
  <c r="Q551" i="5"/>
  <c r="Q552" i="5"/>
  <c r="Q555" i="5"/>
  <c r="Q550" i="5"/>
  <c r="Q364" i="5"/>
  <c r="Q400" i="5"/>
  <c r="Q430" i="5"/>
  <c r="Q432" i="5"/>
  <c r="Q443" i="5"/>
  <c r="Q460" i="5"/>
  <c r="Q507" i="5"/>
  <c r="Q522" i="5"/>
  <c r="Q538" i="5"/>
  <c r="Q549" i="5"/>
  <c r="Q558" i="5"/>
  <c r="Q560" i="5"/>
  <c r="Q554" i="5"/>
  <c r="Q557" i="5"/>
  <c r="Q459" i="5"/>
  <c r="Q466" i="5"/>
  <c r="Q513" i="5"/>
  <c r="Q525" i="5"/>
  <c r="Q533" i="5"/>
  <c r="Q544" i="5"/>
  <c r="Q556" i="5"/>
  <c r="Q403" i="5"/>
  <c r="Q427" i="5"/>
  <c r="Q429" i="5"/>
  <c r="Q448" i="5"/>
  <c r="Q458" i="5"/>
  <c r="Q472" i="5"/>
  <c r="Q499" i="5"/>
  <c r="Q505" i="5"/>
  <c r="Q516" i="5"/>
  <c r="Q531" i="5"/>
  <c r="Q534" i="5"/>
  <c r="Q539" i="5"/>
  <c r="Q540" i="5"/>
  <c r="Q19" i="5"/>
  <c r="AQ50" i="5"/>
  <c r="AR50" i="5"/>
  <c r="AQ59" i="5"/>
  <c r="AR59" i="5"/>
  <c r="AR80" i="5"/>
  <c r="AQ80" i="5"/>
  <c r="AR85" i="5"/>
  <c r="AQ85" i="5"/>
  <c r="AR120" i="5"/>
  <c r="AQ120" i="5"/>
  <c r="AR147" i="5"/>
  <c r="AQ147" i="5"/>
  <c r="AQ161" i="5"/>
  <c r="AR161" i="5"/>
  <c r="AQ167" i="5"/>
  <c r="AR167" i="5"/>
  <c r="AQ208" i="5"/>
  <c r="AR208" i="5"/>
  <c r="AQ220" i="5"/>
  <c r="AR220" i="5"/>
  <c r="AR225" i="5"/>
  <c r="AQ225" i="5"/>
  <c r="AQ320" i="5"/>
  <c r="AR320" i="5"/>
  <c r="AR266" i="5"/>
  <c r="AQ266" i="5"/>
  <c r="AR308" i="5"/>
  <c r="AQ308" i="5"/>
  <c r="AQ269" i="5"/>
  <c r="AR269" i="5"/>
  <c r="AR288" i="5"/>
  <c r="AQ288" i="5"/>
  <c r="AR342" i="5"/>
  <c r="AQ342" i="5"/>
  <c r="AR366" i="5"/>
  <c r="AQ366" i="5"/>
  <c r="AQ388" i="5"/>
  <c r="AR388" i="5"/>
  <c r="AQ429" i="5"/>
  <c r="AR429" i="5"/>
  <c r="AQ362" i="5"/>
  <c r="AR362" i="5"/>
  <c r="AR376" i="5"/>
  <c r="AQ376" i="5"/>
  <c r="AQ518" i="5"/>
  <c r="AR518" i="5"/>
  <c r="AR501" i="5"/>
  <c r="AQ501" i="5"/>
  <c r="AQ399" i="5"/>
  <c r="AR399" i="5"/>
  <c r="AQ478" i="5"/>
  <c r="AR478" i="5"/>
  <c r="AR550" i="5"/>
  <c r="AQ550" i="5"/>
  <c r="AR479" i="5"/>
  <c r="AQ479" i="5"/>
  <c r="AQ539" i="5"/>
  <c r="AR539" i="5"/>
  <c r="AQ465" i="5"/>
  <c r="AR465" i="5"/>
  <c r="AQ526" i="5"/>
  <c r="AR526" i="5"/>
  <c r="AQ395" i="5"/>
  <c r="AR395" i="5"/>
  <c r="AQ430" i="5"/>
  <c r="AR430" i="5"/>
  <c r="U520" i="5"/>
  <c r="V520" i="5"/>
  <c r="U479" i="5"/>
  <c r="V479" i="5"/>
  <c r="U423" i="5"/>
  <c r="V423" i="5"/>
  <c r="V549" i="5"/>
  <c r="U549" i="5"/>
  <c r="U528" i="5"/>
  <c r="V528" i="5"/>
  <c r="V555" i="5"/>
  <c r="U555" i="5"/>
  <c r="V543" i="5"/>
  <c r="U543" i="5"/>
  <c r="U514" i="5"/>
  <c r="V514" i="5"/>
  <c r="U426" i="5"/>
  <c r="V426" i="5"/>
  <c r="V544" i="5"/>
  <c r="U544" i="5"/>
  <c r="V548" i="5"/>
  <c r="U548" i="5"/>
  <c r="V540" i="5"/>
  <c r="U540" i="5"/>
  <c r="V529" i="5"/>
  <c r="U529" i="5"/>
  <c r="U352" i="5"/>
  <c r="V352" i="5"/>
  <c r="V304" i="5"/>
  <c r="U304" i="5"/>
  <c r="V538" i="5"/>
  <c r="U538" i="5"/>
  <c r="U506" i="5"/>
  <c r="V506" i="5"/>
  <c r="V489" i="5"/>
  <c r="U489" i="5"/>
  <c r="U477" i="5"/>
  <c r="V477" i="5"/>
  <c r="U463" i="5"/>
  <c r="V463" i="5"/>
  <c r="U452" i="5"/>
  <c r="V452" i="5"/>
  <c r="U434" i="5"/>
  <c r="V434" i="5"/>
  <c r="U413" i="5"/>
  <c r="V413" i="5"/>
  <c r="U377" i="5"/>
  <c r="V377" i="5"/>
  <c r="U358" i="5"/>
  <c r="V358" i="5"/>
  <c r="U519" i="5"/>
  <c r="V519" i="5"/>
  <c r="U504" i="5"/>
  <c r="V504" i="5"/>
  <c r="U498" i="5"/>
  <c r="V498" i="5"/>
  <c r="U480" i="5"/>
  <c r="V480" i="5"/>
  <c r="U468" i="5"/>
  <c r="V468" i="5"/>
  <c r="V456" i="5"/>
  <c r="U456" i="5"/>
  <c r="U438" i="5"/>
  <c r="V438" i="5"/>
  <c r="U347" i="5"/>
  <c r="V347" i="5"/>
  <c r="U532" i="5"/>
  <c r="V532" i="5"/>
  <c r="V513" i="5"/>
  <c r="U513" i="5"/>
  <c r="V499" i="5"/>
  <c r="U499" i="5"/>
  <c r="U478" i="5"/>
  <c r="V478" i="5"/>
  <c r="U458" i="5"/>
  <c r="V458" i="5"/>
  <c r="U443" i="5"/>
  <c r="V443" i="5"/>
  <c r="V428" i="5"/>
  <c r="U428" i="5"/>
  <c r="U324" i="5"/>
  <c r="V324" i="5"/>
  <c r="U411" i="5"/>
  <c r="V411" i="5"/>
  <c r="U399" i="5"/>
  <c r="V399" i="5"/>
  <c r="V382" i="5"/>
  <c r="U382" i="5"/>
  <c r="U363" i="5"/>
  <c r="V363" i="5"/>
  <c r="V348" i="5"/>
  <c r="U348" i="5"/>
  <c r="V294" i="5"/>
  <c r="U294" i="5"/>
  <c r="U195" i="5"/>
  <c r="V195" i="5"/>
  <c r="V407" i="5"/>
  <c r="U407" i="5"/>
  <c r="V386" i="5"/>
  <c r="U386" i="5"/>
  <c r="U375" i="5"/>
  <c r="V375" i="5"/>
  <c r="U341" i="5"/>
  <c r="V341" i="5"/>
  <c r="U214" i="5"/>
  <c r="V214" i="5"/>
  <c r="V429" i="5"/>
  <c r="U429" i="5"/>
  <c r="V415" i="5"/>
  <c r="U415" i="5"/>
  <c r="U400" i="5"/>
  <c r="V400" i="5"/>
  <c r="V381" i="5"/>
  <c r="U381" i="5"/>
  <c r="V364" i="5"/>
  <c r="U364" i="5"/>
  <c r="U345" i="5"/>
  <c r="V345" i="5"/>
  <c r="V315" i="5"/>
  <c r="U315" i="5"/>
  <c r="V283" i="5"/>
  <c r="U283" i="5"/>
  <c r="V356" i="5"/>
  <c r="U356" i="5"/>
  <c r="U335" i="5"/>
  <c r="V335" i="5"/>
  <c r="V320" i="5"/>
  <c r="U320" i="5"/>
  <c r="V303" i="5"/>
  <c r="U303" i="5"/>
  <c r="V293" i="5"/>
  <c r="U293" i="5"/>
  <c r="U271" i="5"/>
  <c r="V271" i="5"/>
  <c r="U261" i="5"/>
  <c r="V261" i="5"/>
  <c r="U246" i="5"/>
  <c r="V246" i="5"/>
  <c r="U331" i="5"/>
  <c r="V331" i="5"/>
  <c r="V316" i="5"/>
  <c r="U316" i="5"/>
  <c r="V299" i="5"/>
  <c r="U299" i="5"/>
  <c r="V284" i="5"/>
  <c r="U284" i="5"/>
  <c r="U251" i="5"/>
  <c r="V251" i="5"/>
  <c r="U135" i="5"/>
  <c r="V135" i="5"/>
  <c r="V322" i="5"/>
  <c r="U322" i="5"/>
  <c r="V306" i="5"/>
  <c r="U306" i="5"/>
  <c r="V282" i="5"/>
  <c r="U282" i="5"/>
  <c r="U274" i="5"/>
  <c r="V274" i="5"/>
  <c r="V263" i="5"/>
  <c r="U263" i="5"/>
  <c r="U254" i="5"/>
  <c r="V254" i="5"/>
  <c r="U241" i="5"/>
  <c r="V241" i="5"/>
  <c r="U236" i="5"/>
  <c r="V236" i="5"/>
  <c r="U225" i="5"/>
  <c r="V225" i="5"/>
  <c r="U210" i="5"/>
  <c r="V210" i="5"/>
  <c r="U180" i="5"/>
  <c r="V180" i="5"/>
  <c r="U243" i="5"/>
  <c r="V243" i="5"/>
  <c r="U229" i="5"/>
  <c r="V229" i="5"/>
  <c r="U212" i="5"/>
  <c r="V212" i="5"/>
  <c r="V159" i="5"/>
  <c r="U159" i="5"/>
  <c r="U245" i="5"/>
  <c r="V245" i="5"/>
  <c r="U224" i="5"/>
  <c r="V224" i="5"/>
  <c r="V215" i="5"/>
  <c r="U215" i="5"/>
  <c r="U205" i="5"/>
  <c r="V205" i="5"/>
  <c r="U196" i="5"/>
  <c r="V196" i="5"/>
  <c r="U204" i="5"/>
  <c r="V204" i="5"/>
  <c r="U194" i="5"/>
  <c r="V194" i="5"/>
  <c r="V185" i="5"/>
  <c r="U185" i="5"/>
  <c r="U172" i="5"/>
  <c r="V172" i="5"/>
  <c r="U100" i="5"/>
  <c r="V100" i="5"/>
  <c r="U170" i="5"/>
  <c r="V170" i="5"/>
  <c r="U133" i="5"/>
  <c r="V133" i="5"/>
  <c r="U187" i="5"/>
  <c r="V187" i="5"/>
  <c r="V173" i="5"/>
  <c r="U173" i="5"/>
  <c r="V149" i="5"/>
  <c r="U149" i="5"/>
  <c r="U152" i="5"/>
  <c r="V152" i="5"/>
  <c r="U138" i="5"/>
  <c r="V138" i="5"/>
  <c r="U115" i="5"/>
  <c r="V115" i="5"/>
  <c r="V156" i="5"/>
  <c r="U156" i="5"/>
  <c r="V137" i="5"/>
  <c r="U137" i="5"/>
  <c r="U123" i="5"/>
  <c r="V123" i="5"/>
  <c r="U109" i="5"/>
  <c r="V109" i="5"/>
  <c r="U84" i="5"/>
  <c r="V84" i="5"/>
  <c r="U139" i="5"/>
  <c r="V139" i="5"/>
  <c r="U126" i="5"/>
  <c r="V126" i="5"/>
  <c r="U87" i="5"/>
  <c r="V87" i="5"/>
  <c r="U101" i="5"/>
  <c r="V101" i="5"/>
  <c r="U85" i="5"/>
  <c r="V85" i="5"/>
  <c r="U107" i="5"/>
  <c r="V107" i="5"/>
  <c r="U69" i="5"/>
  <c r="V69" i="5"/>
  <c r="U94" i="5"/>
  <c r="V94" i="5"/>
  <c r="U92" i="5"/>
  <c r="V92" i="5"/>
  <c r="V61" i="5"/>
  <c r="U61" i="5"/>
  <c r="U80" i="5"/>
  <c r="V80" i="5"/>
  <c r="U66" i="5"/>
  <c r="V66" i="5"/>
  <c r="V35" i="5"/>
  <c r="U35" i="5"/>
  <c r="V59" i="5"/>
  <c r="U59" i="5"/>
  <c r="U33" i="5"/>
  <c r="V33" i="5"/>
  <c r="U70" i="5"/>
  <c r="V70" i="5"/>
  <c r="U52" i="5"/>
  <c r="V52" i="5"/>
  <c r="U47" i="5"/>
  <c r="V47" i="5"/>
  <c r="U34" i="5"/>
  <c r="V34" i="5"/>
  <c r="U39" i="5"/>
  <c r="V39" i="5"/>
  <c r="V26" i="5"/>
  <c r="U26" i="5"/>
  <c r="V44" i="5"/>
  <c r="U44" i="5"/>
  <c r="AQ130" i="5"/>
  <c r="AR130" i="5"/>
  <c r="AQ51" i="5"/>
  <c r="AR51" i="5"/>
  <c r="AQ62" i="5"/>
  <c r="AR62" i="5"/>
  <c r="AR102" i="5"/>
  <c r="AQ102" i="5"/>
  <c r="AQ156" i="5"/>
  <c r="AR156" i="5"/>
  <c r="AQ84" i="5"/>
  <c r="AR84" i="5"/>
  <c r="AQ183" i="5"/>
  <c r="AR183" i="5"/>
  <c r="AR181" i="5"/>
  <c r="AQ181" i="5"/>
  <c r="AQ189" i="5"/>
  <c r="AR189" i="5"/>
  <c r="AR243" i="5"/>
  <c r="AQ243" i="5"/>
  <c r="AQ230" i="5"/>
  <c r="AR230" i="5"/>
  <c r="AQ205" i="5"/>
  <c r="AR205" i="5"/>
  <c r="AQ282" i="5"/>
  <c r="AR282" i="5"/>
  <c r="AQ200" i="5"/>
  <c r="AR200" i="5"/>
  <c r="AQ354" i="5"/>
  <c r="AR354" i="5"/>
  <c r="AQ226" i="5"/>
  <c r="AR226" i="5"/>
  <c r="AQ373" i="5"/>
  <c r="AR373" i="5"/>
  <c r="AQ256" i="5"/>
  <c r="AR256" i="5"/>
  <c r="AQ481" i="5"/>
  <c r="AR481" i="5"/>
  <c r="AR522" i="5"/>
  <c r="AQ522" i="5"/>
  <c r="AQ357" i="5"/>
  <c r="AR357" i="5"/>
  <c r="AR422" i="5"/>
  <c r="AQ422" i="5"/>
  <c r="AQ458" i="5"/>
  <c r="AR458" i="5"/>
  <c r="AQ423" i="5"/>
  <c r="AR423" i="5"/>
  <c r="AQ480" i="5"/>
  <c r="AR480" i="5"/>
  <c r="AQ520" i="5"/>
  <c r="AR520" i="5"/>
  <c r="AQ511" i="5"/>
  <c r="AR511" i="5"/>
  <c r="AR503" i="5"/>
  <c r="AQ503" i="5"/>
  <c r="AQ538" i="5"/>
  <c r="AR538" i="5"/>
  <c r="AQ64" i="5"/>
  <c r="AR64" i="5"/>
  <c r="AQ217" i="5"/>
  <c r="AR217" i="5"/>
  <c r="AR47" i="5"/>
  <c r="AQ47" i="5"/>
  <c r="AQ65" i="5"/>
  <c r="AR65" i="5"/>
  <c r="AQ55" i="5"/>
  <c r="AR55" i="5"/>
  <c r="AR121" i="5"/>
  <c r="AQ121" i="5"/>
  <c r="AQ92" i="5"/>
  <c r="AR92" i="5"/>
  <c r="AQ139" i="5"/>
  <c r="AR139" i="5"/>
  <c r="AR177" i="5"/>
  <c r="AQ177" i="5"/>
  <c r="AR182" i="5"/>
  <c r="AQ182" i="5"/>
  <c r="AR133" i="5"/>
  <c r="AQ133" i="5"/>
  <c r="AR190" i="5"/>
  <c r="AQ190" i="5"/>
  <c r="AR239" i="5"/>
  <c r="AQ239" i="5"/>
  <c r="AR159" i="5"/>
  <c r="AQ159" i="5"/>
  <c r="AR240" i="5"/>
  <c r="AQ240" i="5"/>
  <c r="AR257" i="5"/>
  <c r="AQ257" i="5"/>
  <c r="AR210" i="5"/>
  <c r="AQ210" i="5"/>
  <c r="AQ261" i="5"/>
  <c r="AR261" i="5"/>
  <c r="AQ296" i="5"/>
  <c r="AR296" i="5"/>
  <c r="AQ336" i="5"/>
  <c r="AR336" i="5"/>
  <c r="AR421" i="5"/>
  <c r="AQ421" i="5"/>
  <c r="AQ340" i="5"/>
  <c r="AR340" i="5"/>
  <c r="AQ368" i="5"/>
  <c r="AR368" i="5"/>
  <c r="AQ386" i="5"/>
  <c r="AR386" i="5"/>
  <c r="AR347" i="5"/>
  <c r="AQ347" i="5"/>
  <c r="AQ402" i="5"/>
  <c r="AR402" i="5"/>
  <c r="AQ417" i="5"/>
  <c r="AR417" i="5"/>
  <c r="AQ412" i="5"/>
  <c r="AR412" i="5"/>
  <c r="AQ510" i="5"/>
  <c r="AR510" i="5"/>
  <c r="AQ447" i="5"/>
  <c r="AR447" i="5"/>
  <c r="AQ460" i="5"/>
  <c r="AR460" i="5"/>
  <c r="AQ117" i="5"/>
  <c r="AR117" i="5"/>
  <c r="B101" i="2"/>
  <c r="H34" i="1" s="1"/>
  <c r="B44" i="2"/>
  <c r="B83" i="2"/>
  <c r="B37" i="2"/>
  <c r="B58" i="2"/>
  <c r="B59" i="2" s="1"/>
  <c r="B31" i="2"/>
  <c r="B27" i="2"/>
  <c r="B55" i="2"/>
  <c r="B56" i="2" s="1"/>
  <c r="B52" i="2"/>
  <c r="B53" i="2" s="1"/>
  <c r="B39" i="2"/>
  <c r="B38" i="2"/>
  <c r="B23" i="2"/>
  <c r="D38" i="5" l="1"/>
  <c r="B39" i="5"/>
  <c r="AM169" i="4"/>
  <c r="AV169" i="4"/>
  <c r="V169" i="4"/>
  <c r="W169" i="4"/>
  <c r="W280" i="4"/>
  <c r="AV280" i="4"/>
  <c r="V280" i="4"/>
  <c r="AM280" i="4"/>
  <c r="AM262" i="4"/>
  <c r="AV262" i="4"/>
  <c r="W262" i="4"/>
  <c r="V262" i="4"/>
  <c r="BC164" i="4"/>
  <c r="BZ164" i="4"/>
  <c r="BB164" i="4"/>
  <c r="BS164" i="4"/>
  <c r="BC242" i="4"/>
  <c r="BS242" i="4"/>
  <c r="BB242" i="4"/>
  <c r="BZ242" i="4"/>
  <c r="W211" i="4"/>
  <c r="AM211" i="4"/>
  <c r="AV211" i="4"/>
  <c r="V211" i="4"/>
  <c r="BB259" i="4"/>
  <c r="BC259" i="4"/>
  <c r="BZ259" i="4"/>
  <c r="BS259" i="4"/>
  <c r="AM207" i="4"/>
  <c r="AV207" i="4"/>
  <c r="W207" i="4"/>
  <c r="V207" i="4"/>
  <c r="BC240" i="4"/>
  <c r="BS240" i="4"/>
  <c r="BB240" i="4"/>
  <c r="BZ240" i="4"/>
  <c r="AM297" i="4"/>
  <c r="V297" i="4"/>
  <c r="AV297" i="4"/>
  <c r="W297" i="4"/>
  <c r="AV277" i="4"/>
  <c r="V277" i="4"/>
  <c r="AM277" i="4"/>
  <c r="W277" i="4"/>
  <c r="W215" i="4"/>
  <c r="AV215" i="4"/>
  <c r="V215" i="4"/>
  <c r="AM215" i="4"/>
  <c r="BC302" i="4"/>
  <c r="BS302" i="4"/>
  <c r="BZ302" i="4"/>
  <c r="BB302" i="4"/>
  <c r="BS252" i="4"/>
  <c r="BB252" i="4"/>
  <c r="BC252" i="4"/>
  <c r="BZ252" i="4"/>
  <c r="BS238" i="4"/>
  <c r="BZ238" i="4"/>
  <c r="BC238" i="4"/>
  <c r="BB238" i="4"/>
  <c r="BC186" i="4"/>
  <c r="BB186" i="4"/>
  <c r="BS186" i="4"/>
  <c r="BZ186" i="4"/>
  <c r="BS167" i="4"/>
  <c r="BZ167" i="4"/>
  <c r="BB167" i="4"/>
  <c r="BC167" i="4"/>
  <c r="BC221" i="4"/>
  <c r="BS221" i="4"/>
  <c r="BZ221" i="4"/>
  <c r="BB221" i="4"/>
  <c r="AV284" i="4"/>
  <c r="V284" i="4"/>
  <c r="AM284" i="4"/>
  <c r="W284" i="4"/>
  <c r="BC166" i="4"/>
  <c r="BS166" i="4"/>
  <c r="BZ166" i="4"/>
  <c r="BB166" i="4"/>
  <c r="BS268" i="4"/>
  <c r="BC268" i="4"/>
  <c r="BZ268" i="4"/>
  <c r="BB268" i="4"/>
  <c r="BB209" i="4"/>
  <c r="BZ209" i="4"/>
  <c r="BC209" i="4"/>
  <c r="BS209" i="4"/>
  <c r="W164" i="4"/>
  <c r="V164" i="4"/>
  <c r="AV164" i="4"/>
  <c r="AM164" i="4"/>
  <c r="BC168" i="4"/>
  <c r="BS168" i="4"/>
  <c r="BZ168" i="4"/>
  <c r="BB168" i="4"/>
  <c r="W168" i="4"/>
  <c r="AV168" i="4"/>
  <c r="AM168" i="4"/>
  <c r="V168" i="4"/>
  <c r="BC158" i="4"/>
  <c r="BS158" i="4"/>
  <c r="BB158" i="4"/>
  <c r="BZ158" i="4"/>
  <c r="AM181" i="4"/>
  <c r="AV181" i="4"/>
  <c r="W181" i="4"/>
  <c r="V181" i="4"/>
  <c r="AM249" i="4"/>
  <c r="AV249" i="4"/>
  <c r="W249" i="4"/>
  <c r="V249" i="4"/>
  <c r="W158" i="4"/>
  <c r="AM158" i="4"/>
  <c r="AV158" i="4"/>
  <c r="V158" i="4"/>
  <c r="BB215" i="4"/>
  <c r="BC215" i="4"/>
  <c r="BS215" i="4"/>
  <c r="BZ215" i="4"/>
  <c r="BS277" i="4"/>
  <c r="BB277" i="4"/>
  <c r="BO277" i="4" s="1"/>
  <c r="BC277" i="4"/>
  <c r="BZ277" i="4"/>
  <c r="AM317" i="4"/>
  <c r="W317" i="4"/>
  <c r="V317" i="4"/>
  <c r="AV317" i="4"/>
  <c r="BZ188" i="4"/>
  <c r="BS188" i="4"/>
  <c r="BB188" i="4"/>
  <c r="BC188" i="4"/>
  <c r="V208" i="4"/>
  <c r="AV208" i="4"/>
  <c r="W208" i="4"/>
  <c r="AM208" i="4"/>
  <c r="AV242" i="4"/>
  <c r="AM242" i="4"/>
  <c r="W242" i="4"/>
  <c r="V242" i="4"/>
  <c r="W268" i="4"/>
  <c r="AM268" i="4"/>
  <c r="AV268" i="4"/>
  <c r="V268" i="4"/>
  <c r="AI268" i="4" s="1"/>
  <c r="BS299" i="4"/>
  <c r="BZ299" i="4"/>
  <c r="BB299" i="4"/>
  <c r="BC299" i="4"/>
  <c r="W222" i="4"/>
  <c r="V222" i="4"/>
  <c r="AM222" i="4"/>
  <c r="AV222" i="4"/>
  <c r="BS275" i="4"/>
  <c r="BZ275" i="4"/>
  <c r="BC275" i="4"/>
  <c r="BB275" i="4"/>
  <c r="BZ305" i="4"/>
  <c r="BS305" i="4"/>
  <c r="BB305" i="4"/>
  <c r="BC305" i="4"/>
  <c r="W182" i="4"/>
  <c r="AM182" i="4"/>
  <c r="V182" i="4"/>
  <c r="AV182" i="4"/>
  <c r="W209" i="4"/>
  <c r="AV209" i="4"/>
  <c r="AM209" i="4"/>
  <c r="V209" i="4"/>
  <c r="W243" i="4"/>
  <c r="AM243" i="4"/>
  <c r="AV243" i="4"/>
  <c r="V243" i="4"/>
  <c r="AM278" i="4"/>
  <c r="V278" i="4"/>
  <c r="AV278" i="4"/>
  <c r="W278" i="4"/>
  <c r="AM318" i="4"/>
  <c r="W318" i="4"/>
  <c r="V318" i="4"/>
  <c r="AV318" i="4"/>
  <c r="BZ195" i="4"/>
  <c r="BC195" i="4"/>
  <c r="BB195" i="4"/>
  <c r="BS195" i="4"/>
  <c r="W216" i="4"/>
  <c r="AM216" i="4"/>
  <c r="AV216" i="4"/>
  <c r="V216" i="4"/>
  <c r="BZ241" i="4"/>
  <c r="BC241" i="4"/>
  <c r="BS241" i="4"/>
  <c r="BB241" i="4"/>
  <c r="BS272" i="4"/>
  <c r="BB272" i="4"/>
  <c r="BC272" i="4"/>
  <c r="BZ272" i="4"/>
  <c r="BS295" i="4"/>
  <c r="BZ295" i="4"/>
  <c r="BC295" i="4"/>
  <c r="BB295" i="4"/>
  <c r="AM322" i="4"/>
  <c r="W322" i="4"/>
  <c r="V322" i="4"/>
  <c r="AV322" i="4"/>
  <c r="BB204" i="4"/>
  <c r="BS204" i="4"/>
  <c r="BZ204" i="4"/>
  <c r="BC204" i="4"/>
  <c r="BS229" i="4"/>
  <c r="BB229" i="4"/>
  <c r="BZ229" i="4"/>
  <c r="BC229" i="4"/>
  <c r="V270" i="4"/>
  <c r="AM270" i="4"/>
  <c r="W270" i="4"/>
  <c r="AV270" i="4"/>
  <c r="BZ311" i="4"/>
  <c r="BC311" i="4"/>
  <c r="BS311" i="4"/>
  <c r="BB311" i="4"/>
  <c r="W219" i="4"/>
  <c r="AV219" i="4"/>
  <c r="V219" i="4"/>
  <c r="AM219" i="4"/>
  <c r="BZ310" i="4"/>
  <c r="BC310" i="4"/>
  <c r="BB310" i="4"/>
  <c r="BS310" i="4"/>
  <c r="BS267" i="4"/>
  <c r="BZ267" i="4"/>
  <c r="BB267" i="4"/>
  <c r="BC267" i="4"/>
  <c r="BS297" i="4"/>
  <c r="BB297" i="4"/>
  <c r="BZ297" i="4"/>
  <c r="BC297" i="4"/>
  <c r="BC212" i="4"/>
  <c r="BS212" i="4"/>
  <c r="BB212" i="4"/>
  <c r="BZ212" i="4"/>
  <c r="BS222" i="4"/>
  <c r="BB222" i="4"/>
  <c r="BZ222" i="4"/>
  <c r="BC222" i="4"/>
  <c r="BC181" i="4"/>
  <c r="BB181" i="4"/>
  <c r="BS181" i="4"/>
  <c r="BZ181" i="4"/>
  <c r="BS246" i="4"/>
  <c r="BB246" i="4"/>
  <c r="BZ246" i="4"/>
  <c r="BC246" i="4"/>
  <c r="BS288" i="4"/>
  <c r="BC288" i="4"/>
  <c r="BZ288" i="4"/>
  <c r="BB288" i="4"/>
  <c r="BB171" i="4"/>
  <c r="BC171" i="4"/>
  <c r="BS171" i="4"/>
  <c r="BZ171" i="4"/>
  <c r="AM283" i="4"/>
  <c r="AV283" i="4"/>
  <c r="V283" i="4"/>
  <c r="W283" i="4"/>
  <c r="BS230" i="4"/>
  <c r="BC230" i="4"/>
  <c r="BB230" i="4"/>
  <c r="BO230" i="4" s="1"/>
  <c r="BZ230" i="4"/>
  <c r="BS170" i="4"/>
  <c r="BZ170" i="4"/>
  <c r="BB170" i="4"/>
  <c r="BC170" i="4"/>
  <c r="AM237" i="4"/>
  <c r="V237" i="4"/>
  <c r="W237" i="4"/>
  <c r="AV237" i="4"/>
  <c r="AM161" i="4"/>
  <c r="W161" i="4"/>
  <c r="AV161" i="4"/>
  <c r="V161" i="4"/>
  <c r="BC180" i="4"/>
  <c r="BZ180" i="4"/>
  <c r="BB180" i="4"/>
  <c r="BS180" i="4"/>
  <c r="W194" i="4"/>
  <c r="AM194" i="4"/>
  <c r="AV194" i="4"/>
  <c r="V194" i="4"/>
  <c r="BC263" i="4"/>
  <c r="BS263" i="4"/>
  <c r="BB263" i="4"/>
  <c r="BZ263" i="4"/>
  <c r="AM159" i="4"/>
  <c r="AV159" i="4"/>
  <c r="V159" i="4"/>
  <c r="W159" i="4"/>
  <c r="W220" i="4"/>
  <c r="V220" i="4"/>
  <c r="AV220" i="4"/>
  <c r="AM220" i="4"/>
  <c r="BS278" i="4"/>
  <c r="BZ278" i="4"/>
  <c r="BB278" i="4"/>
  <c r="BC278" i="4"/>
  <c r="BC324" i="4"/>
  <c r="BZ324" i="4"/>
  <c r="BS324" i="4"/>
  <c r="BB324" i="4"/>
  <c r="V190" i="4"/>
  <c r="W190" i="4"/>
  <c r="AM190" i="4"/>
  <c r="AV190" i="4"/>
  <c r="BC210" i="4"/>
  <c r="BS210" i="4"/>
  <c r="BZ210" i="4"/>
  <c r="BB210" i="4"/>
  <c r="BC243" i="4"/>
  <c r="BZ243" i="4"/>
  <c r="BS243" i="4"/>
  <c r="BB243" i="4"/>
  <c r="BC270" i="4"/>
  <c r="BS270" i="4"/>
  <c r="BZ270" i="4"/>
  <c r="BB270" i="4"/>
  <c r="W307" i="4"/>
  <c r="AM307" i="4"/>
  <c r="AV307" i="4"/>
  <c r="V307" i="4"/>
  <c r="BS228" i="4"/>
  <c r="BZ228" i="4"/>
  <c r="BB228" i="4"/>
  <c r="BC228" i="4"/>
  <c r="BS279" i="4"/>
  <c r="BC279" i="4"/>
  <c r="BB279" i="4"/>
  <c r="BZ279" i="4"/>
  <c r="AM308" i="4"/>
  <c r="W308" i="4"/>
  <c r="AV308" i="4"/>
  <c r="V308" i="4"/>
  <c r="BC184" i="4"/>
  <c r="BZ184" i="4"/>
  <c r="BS184" i="4"/>
  <c r="BB184" i="4"/>
  <c r="W223" i="4"/>
  <c r="AV223" i="4"/>
  <c r="AM223" i="4"/>
  <c r="V223" i="4"/>
  <c r="BS244" i="4"/>
  <c r="BB244" i="4"/>
  <c r="BZ244" i="4"/>
  <c r="BC244" i="4"/>
  <c r="BS283" i="4"/>
  <c r="BC283" i="4"/>
  <c r="BB283" i="4"/>
  <c r="BZ283" i="4"/>
  <c r="BS320" i="4"/>
  <c r="BZ320" i="4"/>
  <c r="BB320" i="4"/>
  <c r="BC320" i="4"/>
  <c r="BS199" i="4"/>
  <c r="BB199" i="4"/>
  <c r="BC199" i="4"/>
  <c r="BZ199" i="4"/>
  <c r="BZ219" i="4"/>
  <c r="BC219" i="4"/>
  <c r="BB219" i="4"/>
  <c r="BS219" i="4"/>
  <c r="AV252" i="4"/>
  <c r="W252" i="4"/>
  <c r="AM252" i="4"/>
  <c r="V252" i="4"/>
  <c r="BS276" i="4"/>
  <c r="BB276" i="4"/>
  <c r="BZ276" i="4"/>
  <c r="BC276" i="4"/>
  <c r="BZ296" i="4"/>
  <c r="BC296" i="4"/>
  <c r="BS296" i="4"/>
  <c r="BB296" i="4"/>
  <c r="W175" i="4"/>
  <c r="AV175" i="4"/>
  <c r="AM175" i="4"/>
  <c r="V175" i="4"/>
  <c r="BB206" i="4"/>
  <c r="BZ206" i="4"/>
  <c r="BS206" i="4"/>
  <c r="BC206" i="4"/>
  <c r="BC235" i="4"/>
  <c r="BZ235" i="4"/>
  <c r="BB235" i="4"/>
  <c r="BS235" i="4"/>
  <c r="V274" i="4"/>
  <c r="W274" i="4"/>
  <c r="AV274" i="4"/>
  <c r="AM274" i="4"/>
  <c r="AV316" i="4"/>
  <c r="V316" i="4"/>
  <c r="AM316" i="4"/>
  <c r="W316" i="4"/>
  <c r="W229" i="4"/>
  <c r="AV229" i="4"/>
  <c r="AM229" i="4"/>
  <c r="V229" i="4"/>
  <c r="W166" i="4"/>
  <c r="AV166" i="4"/>
  <c r="V166" i="4"/>
  <c r="AM166" i="4"/>
  <c r="AM206" i="4"/>
  <c r="AV206" i="4"/>
  <c r="W206" i="4"/>
  <c r="V206" i="4"/>
  <c r="BC318" i="4"/>
  <c r="BS318" i="4"/>
  <c r="BZ318" i="4"/>
  <c r="BB318" i="4"/>
  <c r="BC191" i="4"/>
  <c r="BS191" i="4"/>
  <c r="BZ191" i="4"/>
  <c r="BB191" i="4"/>
  <c r="BS303" i="4"/>
  <c r="BZ303" i="4"/>
  <c r="BB303" i="4"/>
  <c r="BC303" i="4"/>
  <c r="BC162" i="4"/>
  <c r="BS162" i="4"/>
  <c r="BB162" i="4"/>
  <c r="BZ162" i="4"/>
  <c r="AM167" i="4"/>
  <c r="AV167" i="4"/>
  <c r="W167" i="4"/>
  <c r="V167" i="4"/>
  <c r="AM321" i="4"/>
  <c r="AV321" i="4"/>
  <c r="W321" i="4"/>
  <c r="V321" i="4"/>
  <c r="AM314" i="4"/>
  <c r="AV314" i="4"/>
  <c r="W314" i="4"/>
  <c r="V314" i="4"/>
  <c r="BS187" i="4"/>
  <c r="BC187" i="4"/>
  <c r="BB187" i="4"/>
  <c r="BZ187" i="4"/>
  <c r="V267" i="4"/>
  <c r="AV267" i="4"/>
  <c r="W267" i="4"/>
  <c r="AM267" i="4"/>
  <c r="AM221" i="4"/>
  <c r="W221" i="4"/>
  <c r="AV221" i="4"/>
  <c r="V221" i="4"/>
  <c r="AM256" i="4"/>
  <c r="W256" i="4"/>
  <c r="V256" i="4"/>
  <c r="AV256" i="4"/>
  <c r="AM303" i="4"/>
  <c r="V303" i="4"/>
  <c r="AV303" i="4"/>
  <c r="W303" i="4"/>
  <c r="BB177" i="4"/>
  <c r="BC177" i="4"/>
  <c r="BS177" i="4"/>
  <c r="BZ177" i="4"/>
  <c r="AM205" i="4"/>
  <c r="W205" i="4"/>
  <c r="AV205" i="4"/>
  <c r="V205" i="4"/>
  <c r="AM239" i="4"/>
  <c r="AV239" i="4"/>
  <c r="V239" i="4"/>
  <c r="W239" i="4"/>
  <c r="AM315" i="4"/>
  <c r="W315" i="4"/>
  <c r="V315" i="4"/>
  <c r="AV315" i="4"/>
  <c r="AM193" i="4"/>
  <c r="W193" i="4"/>
  <c r="V193" i="4"/>
  <c r="AV193" i="4"/>
  <c r="AV240" i="4"/>
  <c r="W240" i="4"/>
  <c r="AM240" i="4"/>
  <c r="V240" i="4"/>
  <c r="W228" i="4"/>
  <c r="V228" i="4"/>
  <c r="AV228" i="4"/>
  <c r="AM228" i="4"/>
  <c r="W266" i="4"/>
  <c r="AM266" i="4"/>
  <c r="AV266" i="4"/>
  <c r="V266" i="4"/>
  <c r="AM245" i="4"/>
  <c r="V245" i="4"/>
  <c r="AV245" i="4"/>
  <c r="W245" i="4"/>
  <c r="BZ223" i="4"/>
  <c r="BB223" i="4"/>
  <c r="BC223" i="4"/>
  <c r="BS223" i="4"/>
  <c r="BC182" i="4"/>
  <c r="BS182" i="4"/>
  <c r="BB182" i="4"/>
  <c r="BO182" i="4" s="1"/>
  <c r="BZ182" i="4"/>
  <c r="BS247" i="4"/>
  <c r="BB247" i="4"/>
  <c r="BZ247" i="4"/>
  <c r="BC247" i="4"/>
  <c r="BC304" i="4"/>
  <c r="BB304" i="4"/>
  <c r="BS304" i="4"/>
  <c r="BZ304" i="4"/>
  <c r="BS255" i="4"/>
  <c r="BC255" i="4"/>
  <c r="BZ255" i="4"/>
  <c r="BB255" i="4"/>
  <c r="BC160" i="4"/>
  <c r="BZ160" i="4"/>
  <c r="BB160" i="4"/>
  <c r="BS160" i="4"/>
  <c r="BZ231" i="4"/>
  <c r="BB231" i="4"/>
  <c r="BS231" i="4"/>
  <c r="BC231" i="4"/>
  <c r="BC174" i="4"/>
  <c r="BZ174" i="4"/>
  <c r="BB174" i="4"/>
  <c r="BS174" i="4"/>
  <c r="AM250" i="4"/>
  <c r="W250" i="4"/>
  <c r="V250" i="4"/>
  <c r="AV250" i="4"/>
  <c r="BS200" i="4"/>
  <c r="BB200" i="4"/>
  <c r="BC200" i="4"/>
  <c r="BZ200" i="4"/>
  <c r="V261" i="4"/>
  <c r="AV261" i="4"/>
  <c r="AM261" i="4"/>
  <c r="W261" i="4"/>
  <c r="W195" i="4"/>
  <c r="AV195" i="4"/>
  <c r="V195" i="4"/>
  <c r="AM195" i="4"/>
  <c r="W271" i="4"/>
  <c r="AV271" i="4"/>
  <c r="AM271" i="4"/>
  <c r="V271" i="4"/>
  <c r="W160" i="4"/>
  <c r="AV160" i="4"/>
  <c r="V160" i="4"/>
  <c r="AM160" i="4"/>
  <c r="BC226" i="4"/>
  <c r="BS226" i="4"/>
  <c r="BB226" i="4"/>
  <c r="BZ226" i="4"/>
  <c r="AM290" i="4"/>
  <c r="AV290" i="4"/>
  <c r="W290" i="4"/>
  <c r="V290" i="4"/>
  <c r="AM173" i="4"/>
  <c r="V173" i="4"/>
  <c r="AV173" i="4"/>
  <c r="W173" i="4"/>
  <c r="AV191" i="4"/>
  <c r="AM191" i="4"/>
  <c r="W191" i="4"/>
  <c r="V191" i="4"/>
  <c r="AM212" i="4"/>
  <c r="V212" i="4"/>
  <c r="AV212" i="4"/>
  <c r="W212" i="4"/>
  <c r="AM246" i="4"/>
  <c r="AV246" i="4"/>
  <c r="V246" i="4"/>
  <c r="W246" i="4"/>
  <c r="AM273" i="4"/>
  <c r="W273" i="4"/>
  <c r="V273" i="4"/>
  <c r="AI273" i="4" s="1"/>
  <c r="AV273" i="4"/>
  <c r="BS194" i="4"/>
  <c r="BZ194" i="4"/>
  <c r="BB194" i="4"/>
  <c r="BC194" i="4"/>
  <c r="AM230" i="4"/>
  <c r="W230" i="4"/>
  <c r="V230" i="4"/>
  <c r="AV230" i="4"/>
  <c r="V282" i="4"/>
  <c r="AV282" i="4"/>
  <c r="AM282" i="4"/>
  <c r="W282" i="4"/>
  <c r="AM312" i="4"/>
  <c r="W312" i="4"/>
  <c r="V312" i="4"/>
  <c r="AV312" i="4"/>
  <c r="W186" i="4"/>
  <c r="AM186" i="4"/>
  <c r="V186" i="4"/>
  <c r="AV186" i="4"/>
  <c r="W224" i="4"/>
  <c r="V224" i="4"/>
  <c r="AV224" i="4"/>
  <c r="AM224" i="4"/>
  <c r="BC254" i="4"/>
  <c r="BB254" i="4"/>
  <c r="BS254" i="4"/>
  <c r="BZ254" i="4"/>
  <c r="BZ294" i="4"/>
  <c r="BS294" i="4"/>
  <c r="BB294" i="4"/>
  <c r="BC294" i="4"/>
  <c r="BZ325" i="4"/>
  <c r="BC325" i="4"/>
  <c r="BB325" i="4"/>
  <c r="BS325" i="4"/>
  <c r="AV202" i="4"/>
  <c r="AM202" i="4"/>
  <c r="V202" i="4"/>
  <c r="W202" i="4"/>
  <c r="BC220" i="4"/>
  <c r="BB220" i="4"/>
  <c r="BS220" i="4"/>
  <c r="BZ220" i="4"/>
  <c r="W257" i="4"/>
  <c r="V257" i="4"/>
  <c r="AM257" i="4"/>
  <c r="AV257" i="4"/>
  <c r="BC280" i="4"/>
  <c r="BB280" i="4"/>
  <c r="BZ280" i="4"/>
  <c r="BS280" i="4"/>
  <c r="AM299" i="4"/>
  <c r="W299" i="4"/>
  <c r="AV299" i="4"/>
  <c r="V299" i="4"/>
  <c r="W176" i="4"/>
  <c r="AM176" i="4"/>
  <c r="AV176" i="4"/>
  <c r="V176" i="4"/>
  <c r="BS207" i="4"/>
  <c r="BZ207" i="4"/>
  <c r="BC207" i="4"/>
  <c r="BB207" i="4"/>
  <c r="AM244" i="4"/>
  <c r="V244" i="4"/>
  <c r="AV244" i="4"/>
  <c r="W244" i="4"/>
  <c r="AM279" i="4"/>
  <c r="AV279" i="4"/>
  <c r="V279" i="4"/>
  <c r="W279" i="4"/>
  <c r="BC317" i="4"/>
  <c r="BS317" i="4"/>
  <c r="BB317" i="4"/>
  <c r="BZ317" i="4"/>
  <c r="AM293" i="4"/>
  <c r="AV293" i="4"/>
  <c r="V293" i="4"/>
  <c r="W293" i="4"/>
  <c r="BS173" i="4"/>
  <c r="BB173" i="4"/>
  <c r="BC173" i="4"/>
  <c r="BZ173" i="4"/>
  <c r="BC250" i="4"/>
  <c r="BZ250" i="4"/>
  <c r="BS250" i="4"/>
  <c r="BB250" i="4"/>
  <c r="AM241" i="4"/>
  <c r="V241" i="4"/>
  <c r="AV241" i="4"/>
  <c r="W241" i="4"/>
  <c r="BC183" i="4"/>
  <c r="BS183" i="4"/>
  <c r="BZ183" i="4"/>
  <c r="BB183" i="4"/>
  <c r="AV254" i="4"/>
  <c r="V254" i="4"/>
  <c r="AM254" i="4"/>
  <c r="W254" i="4"/>
  <c r="BB307" i="4"/>
  <c r="BZ307" i="4"/>
  <c r="BC307" i="4"/>
  <c r="BS307" i="4"/>
  <c r="BS213" i="4"/>
  <c r="BB213" i="4"/>
  <c r="BZ213" i="4"/>
  <c r="BC213" i="4"/>
  <c r="AM170" i="4"/>
  <c r="V170" i="4"/>
  <c r="AI170" i="4" s="1"/>
  <c r="W170" i="4"/>
  <c r="AV170" i="4"/>
  <c r="AV238" i="4"/>
  <c r="AM238" i="4"/>
  <c r="W238" i="4"/>
  <c r="V238" i="4"/>
  <c r="W178" i="4"/>
  <c r="AV178" i="4"/>
  <c r="AM178" i="4"/>
  <c r="V178" i="4"/>
  <c r="BS282" i="4"/>
  <c r="BC282" i="4"/>
  <c r="BB282" i="4"/>
  <c r="BZ282" i="4"/>
  <c r="W218" i="4"/>
  <c r="V218" i="4"/>
  <c r="AM218" i="4"/>
  <c r="AV218" i="4"/>
  <c r="AM301" i="4"/>
  <c r="AV301" i="4"/>
  <c r="V301" i="4"/>
  <c r="W301" i="4"/>
  <c r="AV198" i="4"/>
  <c r="V198" i="4"/>
  <c r="AM198" i="4"/>
  <c r="W198" i="4"/>
  <c r="W272" i="4"/>
  <c r="AM272" i="4"/>
  <c r="AV272" i="4"/>
  <c r="V272" i="4"/>
  <c r="BZ165" i="4"/>
  <c r="BC165" i="4"/>
  <c r="BS165" i="4"/>
  <c r="BB165" i="4"/>
  <c r="W233" i="4"/>
  <c r="AM233" i="4"/>
  <c r="V233" i="4"/>
  <c r="AV233" i="4"/>
  <c r="AM291" i="4"/>
  <c r="W291" i="4"/>
  <c r="AV291" i="4"/>
  <c r="V291" i="4"/>
  <c r="BS175" i="4"/>
  <c r="BB175" i="4"/>
  <c r="BC175" i="4"/>
  <c r="BZ175" i="4"/>
  <c r="BC193" i="4"/>
  <c r="BB193" i="4"/>
  <c r="BZ193" i="4"/>
  <c r="BS193" i="4"/>
  <c r="BC227" i="4"/>
  <c r="BB227" i="4"/>
  <c r="BS227" i="4"/>
  <c r="BZ227" i="4"/>
  <c r="BS253" i="4"/>
  <c r="BC253" i="4"/>
  <c r="BB253" i="4"/>
  <c r="BZ253" i="4"/>
  <c r="BS274" i="4"/>
  <c r="BC274" i="4"/>
  <c r="BB274" i="4"/>
  <c r="BZ274" i="4"/>
  <c r="BC197" i="4"/>
  <c r="BB197" i="4"/>
  <c r="BS197" i="4"/>
  <c r="BZ197" i="4"/>
  <c r="AM247" i="4"/>
  <c r="W247" i="4"/>
  <c r="V247" i="4"/>
  <c r="AV247" i="4"/>
  <c r="AV286" i="4"/>
  <c r="W286" i="4"/>
  <c r="V286" i="4"/>
  <c r="AM286" i="4"/>
  <c r="BS316" i="4"/>
  <c r="BZ316" i="4"/>
  <c r="BC316" i="4"/>
  <c r="BB316" i="4"/>
  <c r="AV192" i="4"/>
  <c r="W192" i="4"/>
  <c r="V192" i="4"/>
  <c r="AM192" i="4"/>
  <c r="W225" i="4"/>
  <c r="AV225" i="4"/>
  <c r="AM225" i="4"/>
  <c r="V225" i="4"/>
  <c r="BC258" i="4"/>
  <c r="BS258" i="4"/>
  <c r="BB258" i="4"/>
  <c r="BZ258" i="4"/>
  <c r="AM298" i="4"/>
  <c r="AV298" i="4"/>
  <c r="W298" i="4"/>
  <c r="V298" i="4"/>
  <c r="BC172" i="4"/>
  <c r="BS172" i="4"/>
  <c r="BZ172" i="4"/>
  <c r="BB172" i="4"/>
  <c r="BC203" i="4"/>
  <c r="BS203" i="4"/>
  <c r="BZ203" i="4"/>
  <c r="BB203" i="4"/>
  <c r="W226" i="4"/>
  <c r="AM226" i="4"/>
  <c r="V226" i="4"/>
  <c r="AI226" i="4" s="1"/>
  <c r="AV226" i="4"/>
  <c r="BC261" i="4"/>
  <c r="BZ261" i="4"/>
  <c r="BB261" i="4"/>
  <c r="BS261" i="4"/>
  <c r="BS284" i="4"/>
  <c r="BB284" i="4"/>
  <c r="BZ284" i="4"/>
  <c r="BC284" i="4"/>
  <c r="BS301" i="4"/>
  <c r="BZ301" i="4"/>
  <c r="BB301" i="4"/>
  <c r="BC301" i="4"/>
  <c r="BC179" i="4"/>
  <c r="BS179" i="4"/>
  <c r="BB179" i="4"/>
  <c r="BZ179" i="4"/>
  <c r="BC208" i="4"/>
  <c r="BB208" i="4"/>
  <c r="BZ208" i="4"/>
  <c r="BS208" i="4"/>
  <c r="BC245" i="4"/>
  <c r="BB245" i="4"/>
  <c r="BZ245" i="4"/>
  <c r="BS245" i="4"/>
  <c r="BZ285" i="4"/>
  <c r="BS285" i="4"/>
  <c r="BC285" i="4"/>
  <c r="BB285" i="4"/>
  <c r="AM319" i="4"/>
  <c r="W319" i="4"/>
  <c r="AV319" i="4"/>
  <c r="V319" i="4"/>
  <c r="BZ196" i="4"/>
  <c r="BB196" i="4"/>
  <c r="BS196" i="4"/>
  <c r="BC196" i="4"/>
  <c r="BC201" i="4"/>
  <c r="BB201" i="4"/>
  <c r="BO201" i="4" s="1"/>
  <c r="BZ201" i="4"/>
  <c r="BS201" i="4"/>
  <c r="W265" i="4"/>
  <c r="AM265" i="4"/>
  <c r="AV265" i="4"/>
  <c r="V265" i="4"/>
  <c r="BB309" i="4"/>
  <c r="BO309" i="4" s="1"/>
  <c r="BZ309" i="4"/>
  <c r="BC309" i="4"/>
  <c r="BS309" i="4"/>
  <c r="AV189" i="4"/>
  <c r="W189" i="4"/>
  <c r="V189" i="4"/>
  <c r="AM189" i="4"/>
  <c r="V258" i="4"/>
  <c r="W258" i="4"/>
  <c r="AV258" i="4"/>
  <c r="AM258" i="4"/>
  <c r="BC308" i="4"/>
  <c r="BZ308" i="4"/>
  <c r="BS308" i="4"/>
  <c r="BB308" i="4"/>
  <c r="BS273" i="4"/>
  <c r="BB273" i="4"/>
  <c r="BZ273" i="4"/>
  <c r="BC273" i="4"/>
  <c r="W171" i="4"/>
  <c r="V171" i="4"/>
  <c r="AV171" i="4"/>
  <c r="AM171" i="4"/>
  <c r="W255" i="4"/>
  <c r="AM255" i="4"/>
  <c r="AV255" i="4"/>
  <c r="V255" i="4"/>
  <c r="W177" i="4"/>
  <c r="AV177" i="4"/>
  <c r="AM177" i="4"/>
  <c r="V177" i="4"/>
  <c r="BS286" i="4"/>
  <c r="BB286" i="4"/>
  <c r="BZ286" i="4"/>
  <c r="BC286" i="4"/>
  <c r="BC224" i="4"/>
  <c r="BZ224" i="4"/>
  <c r="BB224" i="4"/>
  <c r="BS224" i="4"/>
  <c r="BZ312" i="4"/>
  <c r="BB312" i="4"/>
  <c r="BC312" i="4"/>
  <c r="BS312" i="4"/>
  <c r="AM199" i="4"/>
  <c r="W199" i="4"/>
  <c r="V199" i="4"/>
  <c r="AI199" i="4" s="1"/>
  <c r="AV199" i="4"/>
  <c r="BC281" i="4"/>
  <c r="BZ281" i="4"/>
  <c r="BS281" i="4"/>
  <c r="BB281" i="4"/>
  <c r="BS169" i="4"/>
  <c r="BZ169" i="4"/>
  <c r="BB169" i="4"/>
  <c r="BC169" i="4"/>
  <c r="BZ239" i="4"/>
  <c r="BC239" i="4"/>
  <c r="BS239" i="4"/>
  <c r="BB239" i="4"/>
  <c r="AM294" i="4"/>
  <c r="AV294" i="4"/>
  <c r="W294" i="4"/>
  <c r="V294" i="4"/>
  <c r="BC176" i="4"/>
  <c r="BS176" i="4"/>
  <c r="BB176" i="4"/>
  <c r="BZ176" i="4"/>
  <c r="V196" i="4"/>
  <c r="AV196" i="4"/>
  <c r="AM196" i="4"/>
  <c r="W196" i="4"/>
  <c r="BB232" i="4"/>
  <c r="BS232" i="4"/>
  <c r="BZ232" i="4"/>
  <c r="BC232" i="4"/>
  <c r="AM259" i="4"/>
  <c r="V259" i="4"/>
  <c r="W259" i="4"/>
  <c r="AV259" i="4"/>
  <c r="AV281" i="4"/>
  <c r="V281" i="4"/>
  <c r="W281" i="4"/>
  <c r="AM281" i="4"/>
  <c r="BC205" i="4"/>
  <c r="BS205" i="4"/>
  <c r="BZ205" i="4"/>
  <c r="BB205" i="4"/>
  <c r="BZ248" i="4"/>
  <c r="BS248" i="4"/>
  <c r="BC248" i="4"/>
  <c r="BB248" i="4"/>
  <c r="BS289" i="4"/>
  <c r="BB289" i="4"/>
  <c r="BZ289" i="4"/>
  <c r="BC289" i="4"/>
  <c r="BZ319" i="4"/>
  <c r="BS319" i="4"/>
  <c r="BB319" i="4"/>
  <c r="BC319" i="4"/>
  <c r="AM197" i="4"/>
  <c r="W197" i="4"/>
  <c r="AV197" i="4"/>
  <c r="V197" i="4"/>
  <c r="AI197" i="4" s="1"/>
  <c r="BS233" i="4"/>
  <c r="BC233" i="4"/>
  <c r="BB233" i="4"/>
  <c r="BO233" i="4" s="1"/>
  <c r="BZ233" i="4"/>
  <c r="V263" i="4"/>
  <c r="W263" i="4"/>
  <c r="AM263" i="4"/>
  <c r="AV263" i="4"/>
  <c r="AV304" i="4"/>
  <c r="V304" i="4"/>
  <c r="AM304" i="4"/>
  <c r="W304" i="4"/>
  <c r="BC178" i="4"/>
  <c r="BB178" i="4"/>
  <c r="BO178" i="4" s="1"/>
  <c r="BS178" i="4"/>
  <c r="BZ178" i="4"/>
  <c r="W210" i="4"/>
  <c r="V210" i="4"/>
  <c r="AM210" i="4"/>
  <c r="AV210" i="4"/>
  <c r="AM231" i="4"/>
  <c r="W231" i="4"/>
  <c r="V231" i="4"/>
  <c r="AV231" i="4"/>
  <c r="BS262" i="4"/>
  <c r="BB262" i="4"/>
  <c r="BC262" i="4"/>
  <c r="BZ262" i="4"/>
  <c r="AM287" i="4"/>
  <c r="AV287" i="4"/>
  <c r="V287" i="4"/>
  <c r="W287" i="4"/>
  <c r="AM305" i="4"/>
  <c r="V305" i="4"/>
  <c r="AV305" i="4"/>
  <c r="W305" i="4"/>
  <c r="AM183" i="4"/>
  <c r="AV183" i="4"/>
  <c r="V183" i="4"/>
  <c r="W183" i="4"/>
  <c r="BB211" i="4"/>
  <c r="BS211" i="4"/>
  <c r="BC211" i="4"/>
  <c r="BZ211" i="4"/>
  <c r="AM248" i="4"/>
  <c r="V248" i="4"/>
  <c r="AV248" i="4"/>
  <c r="W248" i="4"/>
  <c r="W289" i="4"/>
  <c r="AV289" i="4"/>
  <c r="V289" i="4"/>
  <c r="AM289" i="4"/>
  <c r="BZ321" i="4"/>
  <c r="BS321" i="4"/>
  <c r="BB321" i="4"/>
  <c r="BC321" i="4"/>
  <c r="AV269" i="4"/>
  <c r="W269" i="4"/>
  <c r="V269" i="4"/>
  <c r="AM269" i="4"/>
  <c r="BC214" i="4"/>
  <c r="BZ214" i="4"/>
  <c r="BS214" i="4"/>
  <c r="BB214" i="4"/>
  <c r="BS163" i="4"/>
  <c r="BC163" i="4"/>
  <c r="BZ163" i="4"/>
  <c r="BB163" i="4"/>
  <c r="BB159" i="4"/>
  <c r="BC159" i="4"/>
  <c r="BZ159" i="4"/>
  <c r="BS159" i="4"/>
  <c r="BS192" i="4"/>
  <c r="BC192" i="4"/>
  <c r="BB192" i="4"/>
  <c r="BZ192" i="4"/>
  <c r="AV275" i="4"/>
  <c r="AM275" i="4"/>
  <c r="W275" i="4"/>
  <c r="V275" i="4"/>
  <c r="BS314" i="4"/>
  <c r="BZ314" i="4"/>
  <c r="BB314" i="4"/>
  <c r="BC314" i="4"/>
  <c r="AM323" i="4"/>
  <c r="V323" i="4"/>
  <c r="AV323" i="4"/>
  <c r="W323" i="4"/>
  <c r="W172" i="4"/>
  <c r="AV172" i="4"/>
  <c r="AM172" i="4"/>
  <c r="V172" i="4"/>
  <c r="AI172" i="4" s="1"/>
  <c r="BB287" i="4"/>
  <c r="BC287" i="4"/>
  <c r="BZ287" i="4"/>
  <c r="BS287" i="4"/>
  <c r="W204" i="4"/>
  <c r="AV204" i="4"/>
  <c r="V204" i="4"/>
  <c r="AM204" i="4"/>
  <c r="AV296" i="4"/>
  <c r="W296" i="4"/>
  <c r="AM296" i="4"/>
  <c r="V296" i="4"/>
  <c r="BC251" i="4"/>
  <c r="BZ251" i="4"/>
  <c r="BS251" i="4"/>
  <c r="BB251" i="4"/>
  <c r="BS161" i="4"/>
  <c r="BC161" i="4"/>
  <c r="BZ161" i="4"/>
  <c r="BB161" i="4"/>
  <c r="BS216" i="4"/>
  <c r="BB216" i="4"/>
  <c r="BC216" i="4"/>
  <c r="BZ216" i="4"/>
  <c r="AM295" i="4"/>
  <c r="W295" i="4"/>
  <c r="V295" i="4"/>
  <c r="AV295" i="4"/>
  <c r="AM179" i="4"/>
  <c r="AV179" i="4"/>
  <c r="V179" i="4"/>
  <c r="W179" i="4"/>
  <c r="BB256" i="4"/>
  <c r="BC256" i="4"/>
  <c r="BZ256" i="4"/>
  <c r="BS256" i="4"/>
  <c r="BZ298" i="4"/>
  <c r="BS298" i="4"/>
  <c r="BC298" i="4"/>
  <c r="BB298" i="4"/>
  <c r="W180" i="4"/>
  <c r="V180" i="4"/>
  <c r="AV180" i="4"/>
  <c r="AM180" i="4"/>
  <c r="AV200" i="4"/>
  <c r="W200" i="4"/>
  <c r="V200" i="4"/>
  <c r="AM200" i="4"/>
  <c r="AM235" i="4"/>
  <c r="AV235" i="4"/>
  <c r="V235" i="4"/>
  <c r="W235" i="4"/>
  <c r="BS260" i="4"/>
  <c r="BB260" i="4"/>
  <c r="BZ260" i="4"/>
  <c r="BC260" i="4"/>
  <c r="V285" i="4"/>
  <c r="W285" i="4"/>
  <c r="AV285" i="4"/>
  <c r="AM285" i="4"/>
  <c r="BZ217" i="4"/>
  <c r="BC217" i="4"/>
  <c r="BS217" i="4"/>
  <c r="BB217" i="4"/>
  <c r="BS249" i="4"/>
  <c r="BZ249" i="4"/>
  <c r="BC249" i="4"/>
  <c r="BB249" i="4"/>
  <c r="AM292" i="4"/>
  <c r="AV292" i="4"/>
  <c r="W292" i="4"/>
  <c r="V292" i="4"/>
  <c r="BC322" i="4"/>
  <c r="BS322" i="4"/>
  <c r="BZ322" i="4"/>
  <c r="BB322" i="4"/>
  <c r="BO322" i="4" s="1"/>
  <c r="BC198" i="4"/>
  <c r="BZ198" i="4"/>
  <c r="BB198" i="4"/>
  <c r="BS198" i="4"/>
  <c r="W236" i="4"/>
  <c r="AM236" i="4"/>
  <c r="AV236" i="4"/>
  <c r="V236" i="4"/>
  <c r="BS265" i="4"/>
  <c r="BZ265" i="4"/>
  <c r="BB265" i="4"/>
  <c r="BC265" i="4"/>
  <c r="AM313" i="4"/>
  <c r="W313" i="4"/>
  <c r="V313" i="4"/>
  <c r="AV313" i="4"/>
  <c r="AM187" i="4"/>
  <c r="W187" i="4"/>
  <c r="AV187" i="4"/>
  <c r="V187" i="4"/>
  <c r="W213" i="4"/>
  <c r="AV213" i="4"/>
  <c r="AM213" i="4"/>
  <c r="V213" i="4"/>
  <c r="AV232" i="4"/>
  <c r="AM232" i="4"/>
  <c r="W232" i="4"/>
  <c r="V232" i="4"/>
  <c r="AV264" i="4"/>
  <c r="V264" i="4"/>
  <c r="W264" i="4"/>
  <c r="AM264" i="4"/>
  <c r="V288" i="4"/>
  <c r="AM288" i="4"/>
  <c r="AV288" i="4"/>
  <c r="W288" i="4"/>
  <c r="BS306" i="4"/>
  <c r="BC306" i="4"/>
  <c r="BZ306" i="4"/>
  <c r="BB306" i="4"/>
  <c r="V188" i="4"/>
  <c r="W188" i="4"/>
  <c r="AM188" i="4"/>
  <c r="AV188" i="4"/>
  <c r="W217" i="4"/>
  <c r="AM217" i="4"/>
  <c r="V217" i="4"/>
  <c r="AV217" i="4"/>
  <c r="AV253" i="4"/>
  <c r="V253" i="4"/>
  <c r="W253" i="4"/>
  <c r="AM253" i="4"/>
  <c r="BC291" i="4"/>
  <c r="BZ291" i="4"/>
  <c r="BS291" i="4"/>
  <c r="BB291" i="4"/>
  <c r="BC323" i="4"/>
  <c r="BZ323" i="4"/>
  <c r="BB323" i="4"/>
  <c r="BS323" i="4"/>
  <c r="AV310" i="4"/>
  <c r="AM310" i="4"/>
  <c r="W310" i="4"/>
  <c r="V310" i="4"/>
  <c r="BB225" i="4"/>
  <c r="BZ225" i="4"/>
  <c r="BC225" i="4"/>
  <c r="BS225" i="4"/>
  <c r="AM165" i="4"/>
  <c r="W165" i="4"/>
  <c r="V165" i="4"/>
  <c r="AV165" i="4"/>
  <c r="W162" i="4"/>
  <c r="V162" i="4"/>
  <c r="AV162" i="4"/>
  <c r="AM162" i="4"/>
  <c r="AM203" i="4"/>
  <c r="AV203" i="4"/>
  <c r="W203" i="4"/>
  <c r="V203" i="4"/>
  <c r="W276" i="4"/>
  <c r="AM276" i="4"/>
  <c r="AV276" i="4"/>
  <c r="V276" i="4"/>
  <c r="BZ315" i="4"/>
  <c r="BB315" i="4"/>
  <c r="BC315" i="4"/>
  <c r="BS315" i="4"/>
  <c r="BC185" i="4"/>
  <c r="BS185" i="4"/>
  <c r="BB185" i="4"/>
  <c r="BZ185" i="4"/>
  <c r="W174" i="4"/>
  <c r="AM174" i="4"/>
  <c r="V174" i="4"/>
  <c r="AI174" i="4" s="1"/>
  <c r="AV174" i="4"/>
  <c r="BS292" i="4"/>
  <c r="BC292" i="4"/>
  <c r="BZ292" i="4"/>
  <c r="BB292" i="4"/>
  <c r="BS269" i="4"/>
  <c r="BB269" i="4"/>
  <c r="BZ269" i="4"/>
  <c r="BC269" i="4"/>
  <c r="AM311" i="4"/>
  <c r="V311" i="4"/>
  <c r="AV311" i="4"/>
  <c r="W311" i="4"/>
  <c r="AM302" i="4"/>
  <c r="W302" i="4"/>
  <c r="V302" i="4"/>
  <c r="AV302" i="4"/>
  <c r="AM163" i="4"/>
  <c r="V163" i="4"/>
  <c r="W163" i="4"/>
  <c r="AV163" i="4"/>
  <c r="AM234" i="4"/>
  <c r="W234" i="4"/>
  <c r="AV234" i="4"/>
  <c r="V234" i="4"/>
  <c r="AV320" i="4"/>
  <c r="AM320" i="4"/>
  <c r="W320" i="4"/>
  <c r="V320" i="4"/>
  <c r="W184" i="4"/>
  <c r="V184" i="4"/>
  <c r="AM184" i="4"/>
  <c r="AV184" i="4"/>
  <c r="BS257" i="4"/>
  <c r="BC257" i="4"/>
  <c r="BB257" i="4"/>
  <c r="BZ257" i="4"/>
  <c r="AM306" i="4"/>
  <c r="V306" i="4"/>
  <c r="AV306" i="4"/>
  <c r="W306" i="4"/>
  <c r="AM185" i="4"/>
  <c r="AV185" i="4"/>
  <c r="W185" i="4"/>
  <c r="V185" i="4"/>
  <c r="BS202" i="4"/>
  <c r="BZ202" i="4"/>
  <c r="BB202" i="4"/>
  <c r="BC202" i="4"/>
  <c r="BZ236" i="4"/>
  <c r="BC236" i="4"/>
  <c r="BS236" i="4"/>
  <c r="BB236" i="4"/>
  <c r="BC264" i="4"/>
  <c r="BB264" i="4"/>
  <c r="BZ264" i="4"/>
  <c r="BS264" i="4"/>
  <c r="BS293" i="4"/>
  <c r="BC293" i="4"/>
  <c r="BZ293" i="4"/>
  <c r="BB293" i="4"/>
  <c r="BC218" i="4"/>
  <c r="BS218" i="4"/>
  <c r="BB218" i="4"/>
  <c r="BZ218" i="4"/>
  <c r="W251" i="4"/>
  <c r="V251" i="4"/>
  <c r="AM251" i="4"/>
  <c r="AV251" i="4"/>
  <c r="BB300" i="4"/>
  <c r="BS300" i="4"/>
  <c r="BZ300" i="4"/>
  <c r="BC300" i="4"/>
  <c r="AV324" i="4"/>
  <c r="AM324" i="4"/>
  <c r="W324" i="4"/>
  <c r="V324" i="4"/>
  <c r="AM201" i="4"/>
  <c r="W201" i="4"/>
  <c r="V201" i="4"/>
  <c r="AV201" i="4"/>
  <c r="BZ237" i="4"/>
  <c r="BC237" i="4"/>
  <c r="BS237" i="4"/>
  <c r="BB237" i="4"/>
  <c r="BB271" i="4"/>
  <c r="BS271" i="4"/>
  <c r="BC271" i="4"/>
  <c r="BZ271" i="4"/>
  <c r="BC313" i="4"/>
  <c r="BS313" i="4"/>
  <c r="BB313" i="4"/>
  <c r="BZ313" i="4"/>
  <c r="BC189" i="4"/>
  <c r="BS189" i="4"/>
  <c r="BB189" i="4"/>
  <c r="BZ189" i="4"/>
  <c r="W214" i="4"/>
  <c r="AM214" i="4"/>
  <c r="V214" i="4"/>
  <c r="AV214" i="4"/>
  <c r="BS234" i="4"/>
  <c r="BB234" i="4"/>
  <c r="BZ234" i="4"/>
  <c r="BC234" i="4"/>
  <c r="BS266" i="4"/>
  <c r="BB266" i="4"/>
  <c r="BZ266" i="4"/>
  <c r="BC266" i="4"/>
  <c r="BS290" i="4"/>
  <c r="BB290" i="4"/>
  <c r="BC290" i="4"/>
  <c r="BZ290" i="4"/>
  <c r="AM309" i="4"/>
  <c r="W309" i="4"/>
  <c r="V309" i="4"/>
  <c r="AV309" i="4"/>
  <c r="BC190" i="4"/>
  <c r="BS190" i="4"/>
  <c r="BZ190" i="4"/>
  <c r="BB190" i="4"/>
  <c r="AM227" i="4"/>
  <c r="AV227" i="4"/>
  <c r="V227" i="4"/>
  <c r="W227" i="4"/>
  <c r="V260" i="4"/>
  <c r="AV260" i="4"/>
  <c r="W260" i="4"/>
  <c r="AM260" i="4"/>
  <c r="AM300" i="4"/>
  <c r="AV300" i="4"/>
  <c r="V300" i="4"/>
  <c r="W300" i="4"/>
  <c r="AM325" i="4"/>
  <c r="V325" i="4"/>
  <c r="W325" i="4"/>
  <c r="AV325" i="4"/>
  <c r="W8" i="4"/>
  <c r="AM8" i="4"/>
  <c r="V8" i="4"/>
  <c r="AV8" i="4"/>
  <c r="W25" i="4"/>
  <c r="AM25" i="4"/>
  <c r="V25" i="4"/>
  <c r="AV25" i="4"/>
  <c r="AM20" i="4"/>
  <c r="W20" i="4"/>
  <c r="AV20" i="4"/>
  <c r="V20" i="4"/>
  <c r="W35" i="4"/>
  <c r="AM35" i="4"/>
  <c r="AV35" i="4"/>
  <c r="V35" i="4"/>
  <c r="W51" i="4"/>
  <c r="AM51" i="4"/>
  <c r="AV51" i="4"/>
  <c r="V51" i="4"/>
  <c r="AM73" i="4"/>
  <c r="V73" i="4"/>
  <c r="AV73" i="4"/>
  <c r="W73" i="4"/>
  <c r="AM54" i="4"/>
  <c r="V54" i="4"/>
  <c r="AV54" i="4"/>
  <c r="W54" i="4"/>
  <c r="W62" i="4"/>
  <c r="V62" i="4"/>
  <c r="AM62" i="4"/>
  <c r="AV62" i="4"/>
  <c r="AM78" i="4"/>
  <c r="W78" i="4"/>
  <c r="V78" i="4"/>
  <c r="AV78" i="4"/>
  <c r="W94" i="4"/>
  <c r="AM94" i="4"/>
  <c r="V94" i="4"/>
  <c r="AV94" i="4"/>
  <c r="AM89" i="4"/>
  <c r="V89" i="4"/>
  <c r="AV89" i="4"/>
  <c r="W89" i="4"/>
  <c r="W106" i="4"/>
  <c r="AM106" i="4"/>
  <c r="AV106" i="4"/>
  <c r="V106" i="4"/>
  <c r="W103" i="4"/>
  <c r="AM103" i="4"/>
  <c r="V103" i="4"/>
  <c r="AV103" i="4"/>
  <c r="AM118" i="4"/>
  <c r="W118" i="4"/>
  <c r="AV118" i="4"/>
  <c r="V118" i="4"/>
  <c r="AM119" i="4"/>
  <c r="W119" i="4"/>
  <c r="AV119" i="4"/>
  <c r="V119" i="4"/>
  <c r="AM134" i="4"/>
  <c r="W134" i="4"/>
  <c r="V134" i="4"/>
  <c r="AV134" i="4"/>
  <c r="W150" i="4"/>
  <c r="AM150" i="4"/>
  <c r="V150" i="4"/>
  <c r="AV150" i="4"/>
  <c r="AM143" i="4"/>
  <c r="W143" i="4"/>
  <c r="V143" i="4"/>
  <c r="AV143" i="4"/>
  <c r="W7" i="4"/>
  <c r="AM7" i="4"/>
  <c r="V7" i="4"/>
  <c r="AV7" i="4"/>
  <c r="AM10" i="4"/>
  <c r="W10" i="4"/>
  <c r="AV10" i="4"/>
  <c r="V10" i="4"/>
  <c r="W27" i="4"/>
  <c r="AM27" i="4"/>
  <c r="V27" i="4"/>
  <c r="AV27" i="4"/>
  <c r="AM22" i="4"/>
  <c r="W22" i="4"/>
  <c r="AV22" i="4"/>
  <c r="V22" i="4"/>
  <c r="V37" i="4"/>
  <c r="AM37" i="4"/>
  <c r="W37" i="4"/>
  <c r="AV37" i="4"/>
  <c r="W53" i="4"/>
  <c r="AM53" i="4"/>
  <c r="V53" i="4"/>
  <c r="AV53" i="4"/>
  <c r="AM40" i="4"/>
  <c r="W40" i="4"/>
  <c r="V40" i="4"/>
  <c r="AV40" i="4"/>
  <c r="AM56" i="4"/>
  <c r="V56" i="4"/>
  <c r="AV56" i="4"/>
  <c r="W56" i="4"/>
  <c r="AM64" i="4"/>
  <c r="W64" i="4"/>
  <c r="V64" i="4"/>
  <c r="AV64" i="4"/>
  <c r="W80" i="4"/>
  <c r="AM80" i="4"/>
  <c r="AV80" i="4"/>
  <c r="V80" i="4"/>
  <c r="W96" i="4"/>
  <c r="AM96" i="4"/>
  <c r="AV96" i="4"/>
  <c r="V96" i="4"/>
  <c r="AM91" i="4"/>
  <c r="V91" i="4"/>
  <c r="AV91" i="4"/>
  <c r="W91" i="4"/>
  <c r="W108" i="4"/>
  <c r="AM108" i="4"/>
  <c r="V108" i="4"/>
  <c r="AV108" i="4"/>
  <c r="W105" i="4"/>
  <c r="AM105" i="4"/>
  <c r="V105" i="4"/>
  <c r="AV105" i="4"/>
  <c r="V120" i="4"/>
  <c r="AM120" i="4"/>
  <c r="W120" i="4"/>
  <c r="AV120" i="4"/>
  <c r="W121" i="4"/>
  <c r="AM121" i="4"/>
  <c r="AV121" i="4"/>
  <c r="V121" i="4"/>
  <c r="W136" i="4"/>
  <c r="AM136" i="4"/>
  <c r="V136" i="4"/>
  <c r="AV136" i="4"/>
  <c r="W152" i="4"/>
  <c r="AM152" i="4"/>
  <c r="AV152" i="4"/>
  <c r="V152" i="4"/>
  <c r="AM145" i="4"/>
  <c r="W145" i="4"/>
  <c r="V145" i="4"/>
  <c r="AV145" i="4"/>
  <c r="W9" i="4"/>
  <c r="AM9" i="4"/>
  <c r="AV9" i="4"/>
  <c r="V9" i="4"/>
  <c r="W12" i="4"/>
  <c r="AM12" i="4"/>
  <c r="V12" i="4"/>
  <c r="AV12" i="4"/>
  <c r="W29" i="4"/>
  <c r="AM29" i="4"/>
  <c r="V29" i="4"/>
  <c r="AV29" i="4"/>
  <c r="AM24" i="4"/>
  <c r="W24" i="4"/>
  <c r="AV24" i="4"/>
  <c r="V24" i="4"/>
  <c r="AV39" i="4"/>
  <c r="V39" i="4"/>
  <c r="AM39" i="4"/>
  <c r="W39" i="4"/>
  <c r="W55" i="4"/>
  <c r="AM55" i="4"/>
  <c r="AV55" i="4"/>
  <c r="V55" i="4"/>
  <c r="V42" i="4"/>
  <c r="AV42" i="4"/>
  <c r="AM42" i="4"/>
  <c r="W42" i="4"/>
  <c r="AM58" i="4"/>
  <c r="V58" i="4"/>
  <c r="AV58" i="4"/>
  <c r="W58" i="4"/>
  <c r="AM66" i="4"/>
  <c r="W66" i="4"/>
  <c r="V66" i="4"/>
  <c r="AV66" i="4"/>
  <c r="W82" i="4"/>
  <c r="AM82" i="4"/>
  <c r="V82" i="4"/>
  <c r="AV82" i="4"/>
  <c r="W98" i="4"/>
  <c r="AM98" i="4"/>
  <c r="V98" i="4"/>
  <c r="AV98" i="4"/>
  <c r="AM93" i="4"/>
  <c r="V93" i="4"/>
  <c r="AV93" i="4"/>
  <c r="W93" i="4"/>
  <c r="W110" i="4"/>
  <c r="AM110" i="4"/>
  <c r="V110" i="4"/>
  <c r="AV110" i="4"/>
  <c r="W107" i="4"/>
  <c r="AM107" i="4"/>
  <c r="V107" i="4"/>
  <c r="AV107" i="4"/>
  <c r="W122" i="4"/>
  <c r="V122" i="4"/>
  <c r="AM122" i="4"/>
  <c r="AV122" i="4"/>
  <c r="W123" i="4"/>
  <c r="AM123" i="4"/>
  <c r="V123" i="4"/>
  <c r="AV123" i="4"/>
  <c r="W138" i="4"/>
  <c r="AM138" i="4"/>
  <c r="V138" i="4"/>
  <c r="AV138" i="4"/>
  <c r="W154" i="4"/>
  <c r="AM154" i="4"/>
  <c r="V154" i="4"/>
  <c r="AV154" i="4"/>
  <c r="AM147" i="4"/>
  <c r="W147" i="4"/>
  <c r="V147" i="4"/>
  <c r="AV147" i="4"/>
  <c r="AM11" i="4"/>
  <c r="W11" i="4"/>
  <c r="AV11" i="4"/>
  <c r="V11" i="4"/>
  <c r="W14" i="4"/>
  <c r="AM14" i="4"/>
  <c r="AV14" i="4"/>
  <c r="V14" i="4"/>
  <c r="W31" i="4"/>
  <c r="AM31" i="4"/>
  <c r="V31" i="4"/>
  <c r="AV31" i="4"/>
  <c r="AM26" i="4"/>
  <c r="AV26" i="4"/>
  <c r="W26" i="4"/>
  <c r="V26" i="4"/>
  <c r="W41" i="4"/>
  <c r="AM41" i="4"/>
  <c r="V41" i="4"/>
  <c r="AV41" i="4"/>
  <c r="W57" i="4"/>
  <c r="AM57" i="4"/>
  <c r="V57" i="4"/>
  <c r="AV57" i="4"/>
  <c r="AM44" i="4"/>
  <c r="V44" i="4"/>
  <c r="AV44" i="4"/>
  <c r="W44" i="4"/>
  <c r="AM63" i="4"/>
  <c r="AV63" i="4"/>
  <c r="W63" i="4"/>
  <c r="V63" i="4"/>
  <c r="W68" i="4"/>
  <c r="AM68" i="4"/>
  <c r="AV68" i="4"/>
  <c r="V68" i="4"/>
  <c r="W84" i="4"/>
  <c r="AM84" i="4"/>
  <c r="AV84" i="4"/>
  <c r="V84" i="4"/>
  <c r="AM79" i="4"/>
  <c r="W79" i="4"/>
  <c r="V79" i="4"/>
  <c r="AV79" i="4"/>
  <c r="AM95" i="4"/>
  <c r="AV95" i="4"/>
  <c r="W95" i="4"/>
  <c r="V95" i="4"/>
  <c r="W112" i="4"/>
  <c r="AM112" i="4"/>
  <c r="V112" i="4"/>
  <c r="AV112" i="4"/>
  <c r="W109" i="4"/>
  <c r="AM109" i="4"/>
  <c r="V109" i="4"/>
  <c r="AV109" i="4"/>
  <c r="W124" i="4"/>
  <c r="AM124" i="4"/>
  <c r="V124" i="4"/>
  <c r="AV124" i="4"/>
  <c r="W125" i="4"/>
  <c r="AM125" i="4"/>
  <c r="V125" i="4"/>
  <c r="AV125" i="4"/>
  <c r="AM140" i="4"/>
  <c r="AV140" i="4"/>
  <c r="W140" i="4"/>
  <c r="V140" i="4"/>
  <c r="W156" i="4"/>
  <c r="AM156" i="4"/>
  <c r="V156" i="4"/>
  <c r="AV156" i="4"/>
  <c r="AM149" i="4"/>
  <c r="V149" i="4"/>
  <c r="W149" i="4"/>
  <c r="AV149" i="4"/>
  <c r="W13" i="4"/>
  <c r="AM13" i="4"/>
  <c r="V13" i="4"/>
  <c r="AV13" i="4"/>
  <c r="W16" i="4"/>
  <c r="AM16" i="4"/>
  <c r="AV16" i="4"/>
  <c r="V16" i="4"/>
  <c r="W33" i="4"/>
  <c r="AM33" i="4"/>
  <c r="V33" i="4"/>
  <c r="AV33" i="4"/>
  <c r="AM28" i="4"/>
  <c r="W28" i="4"/>
  <c r="AV28" i="4"/>
  <c r="V28" i="4"/>
  <c r="W43" i="4"/>
  <c r="AM43" i="4"/>
  <c r="AV43" i="4"/>
  <c r="V43" i="4"/>
  <c r="W59" i="4"/>
  <c r="AM59" i="4"/>
  <c r="V59" i="4"/>
  <c r="AV59" i="4"/>
  <c r="AM46" i="4"/>
  <c r="V46" i="4"/>
  <c r="AV46" i="4"/>
  <c r="W46" i="4"/>
  <c r="AM69" i="4"/>
  <c r="V69" i="4"/>
  <c r="W69" i="4"/>
  <c r="AV69" i="4"/>
  <c r="W70" i="4"/>
  <c r="AM70" i="4"/>
  <c r="V70" i="4"/>
  <c r="AV70" i="4"/>
  <c r="W86" i="4"/>
  <c r="AM86" i="4"/>
  <c r="AV86" i="4"/>
  <c r="V86" i="4"/>
  <c r="W81" i="4"/>
  <c r="V81" i="4"/>
  <c r="AV81" i="4"/>
  <c r="AM81" i="4"/>
  <c r="AM97" i="4"/>
  <c r="AV97" i="4"/>
  <c r="W97" i="4"/>
  <c r="V97" i="4"/>
  <c r="W114" i="4"/>
  <c r="AM114" i="4"/>
  <c r="V114" i="4"/>
  <c r="AV114" i="4"/>
  <c r="W111" i="4"/>
  <c r="AM111" i="4"/>
  <c r="V111" i="4"/>
  <c r="AV111" i="4"/>
  <c r="W126" i="4"/>
  <c r="AM126" i="4"/>
  <c r="V126" i="4"/>
  <c r="AV126" i="4"/>
  <c r="W127" i="4"/>
  <c r="AM127" i="4"/>
  <c r="V127" i="4"/>
  <c r="AV127" i="4"/>
  <c r="AM142" i="4"/>
  <c r="W142" i="4"/>
  <c r="AV142" i="4"/>
  <c r="V142" i="4"/>
  <c r="AM135" i="4"/>
  <c r="AV135" i="4"/>
  <c r="W135" i="4"/>
  <c r="V135" i="4"/>
  <c r="AM151" i="4"/>
  <c r="V151" i="4"/>
  <c r="W151" i="4"/>
  <c r="AV151" i="4"/>
  <c r="W15" i="4"/>
  <c r="AM15" i="4"/>
  <c r="V15" i="4"/>
  <c r="AV15" i="4"/>
  <c r="W18" i="4"/>
  <c r="AM18" i="4"/>
  <c r="V18" i="4"/>
  <c r="AV18" i="4"/>
  <c r="W34" i="4"/>
  <c r="AM34" i="4"/>
  <c r="AV34" i="4"/>
  <c r="V34" i="4"/>
  <c r="AM30" i="4"/>
  <c r="W30" i="4"/>
  <c r="AV30" i="4"/>
  <c r="V30" i="4"/>
  <c r="W45" i="4"/>
  <c r="AM45" i="4"/>
  <c r="V45" i="4"/>
  <c r="AV45" i="4"/>
  <c r="V77" i="4"/>
  <c r="AM77" i="4"/>
  <c r="W77" i="4"/>
  <c r="AV77" i="4"/>
  <c r="AM48" i="4"/>
  <c r="V48" i="4"/>
  <c r="AV48" i="4"/>
  <c r="W48" i="4"/>
  <c r="W67" i="4"/>
  <c r="AM67" i="4"/>
  <c r="V67" i="4"/>
  <c r="AV67" i="4"/>
  <c r="W72" i="4"/>
  <c r="AM72" i="4"/>
  <c r="V72" i="4"/>
  <c r="AV72" i="4"/>
  <c r="W88" i="4"/>
  <c r="AM88" i="4"/>
  <c r="AV88" i="4"/>
  <c r="V88" i="4"/>
  <c r="AM83" i="4"/>
  <c r="V83" i="4"/>
  <c r="AV83" i="4"/>
  <c r="W83" i="4"/>
  <c r="W100" i="4"/>
  <c r="AM100" i="4"/>
  <c r="V100" i="4"/>
  <c r="AV100" i="4"/>
  <c r="W116" i="4"/>
  <c r="AM116" i="4"/>
  <c r="AV116" i="4"/>
  <c r="V116" i="4"/>
  <c r="W113" i="4"/>
  <c r="AM113" i="4"/>
  <c r="V113" i="4"/>
  <c r="AV113" i="4"/>
  <c r="W128" i="4"/>
  <c r="AM128" i="4"/>
  <c r="V128" i="4"/>
  <c r="AV128" i="4"/>
  <c r="W129" i="4"/>
  <c r="AM129" i="4"/>
  <c r="V129" i="4"/>
  <c r="AV129" i="4"/>
  <c r="W144" i="4"/>
  <c r="AM144" i="4"/>
  <c r="V144" i="4"/>
  <c r="AV144" i="4"/>
  <c r="AM137" i="4"/>
  <c r="AV137" i="4"/>
  <c r="W137" i="4"/>
  <c r="V137" i="4"/>
  <c r="AM153" i="4"/>
  <c r="V153" i="4"/>
  <c r="W153" i="4"/>
  <c r="AV153" i="4"/>
  <c r="W17" i="4"/>
  <c r="AM17" i="4"/>
  <c r="V17" i="4"/>
  <c r="AV17" i="4"/>
  <c r="W21" i="4"/>
  <c r="AM21" i="4"/>
  <c r="V21" i="4"/>
  <c r="AV21" i="4"/>
  <c r="AM36" i="4"/>
  <c r="W36" i="4"/>
  <c r="AV36" i="4"/>
  <c r="V36" i="4"/>
  <c r="AM32" i="4"/>
  <c r="W32" i="4"/>
  <c r="AV32" i="4"/>
  <c r="V32" i="4"/>
  <c r="W47" i="4"/>
  <c r="AM47" i="4"/>
  <c r="AV47" i="4"/>
  <c r="V47" i="4"/>
  <c r="W65" i="4"/>
  <c r="AM65" i="4"/>
  <c r="V65" i="4"/>
  <c r="AV65" i="4"/>
  <c r="AM50" i="4"/>
  <c r="V50" i="4"/>
  <c r="AV50" i="4"/>
  <c r="W50" i="4"/>
  <c r="AM75" i="4"/>
  <c r="V75" i="4"/>
  <c r="AV75" i="4"/>
  <c r="W75" i="4"/>
  <c r="W74" i="4"/>
  <c r="AM74" i="4"/>
  <c r="V74" i="4"/>
  <c r="AV74" i="4"/>
  <c r="W90" i="4"/>
  <c r="AM90" i="4"/>
  <c r="V90" i="4"/>
  <c r="AV90" i="4"/>
  <c r="AM85" i="4"/>
  <c r="V85" i="4"/>
  <c r="AV85" i="4"/>
  <c r="W85" i="4"/>
  <c r="W102" i="4"/>
  <c r="AM102" i="4"/>
  <c r="AV102" i="4"/>
  <c r="V102" i="4"/>
  <c r="AV99" i="4"/>
  <c r="W99" i="4"/>
  <c r="V99" i="4"/>
  <c r="AM99" i="4"/>
  <c r="W115" i="4"/>
  <c r="AM115" i="4"/>
  <c r="V115" i="4"/>
  <c r="AV115" i="4"/>
  <c r="W130" i="4"/>
  <c r="AM130" i="4"/>
  <c r="V130" i="4"/>
  <c r="AV130" i="4"/>
  <c r="W131" i="4"/>
  <c r="AM131" i="4"/>
  <c r="V131" i="4"/>
  <c r="AV131" i="4"/>
  <c r="W146" i="4"/>
  <c r="AM146" i="4"/>
  <c r="V146" i="4"/>
  <c r="AV146" i="4"/>
  <c r="AM139" i="4"/>
  <c r="W139" i="4"/>
  <c r="V139" i="4"/>
  <c r="AV139" i="4"/>
  <c r="AM155" i="4"/>
  <c r="V155" i="4"/>
  <c r="W155" i="4"/>
  <c r="AV155" i="4"/>
  <c r="W19" i="4"/>
  <c r="AM19" i="4"/>
  <c r="V19" i="4"/>
  <c r="AV19" i="4"/>
  <c r="W23" i="4"/>
  <c r="AM23" i="4"/>
  <c r="V23" i="4"/>
  <c r="AV23" i="4"/>
  <c r="AM38" i="4"/>
  <c r="W38" i="4"/>
  <c r="V38" i="4"/>
  <c r="AV38" i="4"/>
  <c r="AM71" i="4"/>
  <c r="AV71" i="4"/>
  <c r="W71" i="4"/>
  <c r="V71" i="4"/>
  <c r="W49" i="4"/>
  <c r="AM49" i="4"/>
  <c r="AV49" i="4"/>
  <c r="V49" i="4"/>
  <c r="W61" i="4"/>
  <c r="AM61" i="4"/>
  <c r="AV61" i="4"/>
  <c r="V61" i="4"/>
  <c r="AM52" i="4"/>
  <c r="V52" i="4"/>
  <c r="AV52" i="4"/>
  <c r="W52" i="4"/>
  <c r="W60" i="4"/>
  <c r="AM60" i="4"/>
  <c r="V60" i="4"/>
  <c r="AV60" i="4"/>
  <c r="W76" i="4"/>
  <c r="AM76" i="4"/>
  <c r="V76" i="4"/>
  <c r="AV76" i="4"/>
  <c r="W92" i="4"/>
  <c r="AM92" i="4"/>
  <c r="V92" i="4"/>
  <c r="AV92" i="4"/>
  <c r="AM87" i="4"/>
  <c r="V87" i="4"/>
  <c r="AV87" i="4"/>
  <c r="W87" i="4"/>
  <c r="W104" i="4"/>
  <c r="AM104" i="4"/>
  <c r="V104" i="4"/>
  <c r="AV104" i="4"/>
  <c r="W101" i="4"/>
  <c r="AM101" i="4"/>
  <c r="V101" i="4"/>
  <c r="AV101" i="4"/>
  <c r="AV117" i="4"/>
  <c r="W117" i="4"/>
  <c r="AM117" i="4"/>
  <c r="V117" i="4"/>
  <c r="W132" i="4"/>
  <c r="AM132" i="4"/>
  <c r="AV132" i="4"/>
  <c r="V132" i="4"/>
  <c r="W133" i="4"/>
  <c r="AM133" i="4"/>
  <c r="V133" i="4"/>
  <c r="AV133" i="4"/>
  <c r="W148" i="4"/>
  <c r="AM148" i="4"/>
  <c r="V148" i="4"/>
  <c r="AV148" i="4"/>
  <c r="W141" i="4"/>
  <c r="AM141" i="4"/>
  <c r="AV141" i="4"/>
  <c r="V141" i="4"/>
  <c r="AM157" i="4"/>
  <c r="W157" i="4"/>
  <c r="V157" i="4"/>
  <c r="AV157" i="4"/>
  <c r="H29" i="1"/>
  <c r="B62" i="2" s="1"/>
  <c r="B63" i="2" s="1"/>
  <c r="K82" i="2" s="1"/>
  <c r="AC2" i="5"/>
  <c r="AD2" i="5" s="1"/>
  <c r="B45" i="2"/>
  <c r="B46" i="2" s="1"/>
  <c r="B148" i="2"/>
  <c r="B162" i="2" s="1"/>
  <c r="B102" i="2"/>
  <c r="H35" i="1" s="1"/>
  <c r="R7" i="5"/>
  <c r="Z10" i="5"/>
  <c r="AB10" i="5" s="1"/>
  <c r="P244" i="5"/>
  <c r="AC7" i="5"/>
  <c r="W59" i="5"/>
  <c r="X59" i="5" s="1"/>
  <c r="B85" i="2"/>
  <c r="R12" i="5"/>
  <c r="BS11" i="4"/>
  <c r="BZ11" i="4"/>
  <c r="BB11" i="4"/>
  <c r="BO11" i="4" s="1"/>
  <c r="BZ155" i="4"/>
  <c r="BS155" i="4"/>
  <c r="BB155" i="4"/>
  <c r="BO155" i="4" s="1"/>
  <c r="BZ107" i="4"/>
  <c r="BS107" i="4"/>
  <c r="BB107" i="4"/>
  <c r="BO107" i="4" s="1"/>
  <c r="BZ61" i="4"/>
  <c r="BS61" i="4"/>
  <c r="BB61" i="4"/>
  <c r="BO61" i="4" s="1"/>
  <c r="BZ105" i="4"/>
  <c r="BS105" i="4"/>
  <c r="BB105" i="4"/>
  <c r="BO105" i="4" s="1"/>
  <c r="BZ59" i="4"/>
  <c r="BS59" i="4"/>
  <c r="BB59" i="4"/>
  <c r="BO59" i="4" s="1"/>
  <c r="BZ130" i="4"/>
  <c r="BS130" i="4"/>
  <c r="BB130" i="4"/>
  <c r="BO130" i="4" s="1"/>
  <c r="BZ46" i="4"/>
  <c r="BS46" i="4"/>
  <c r="BB46" i="4"/>
  <c r="BO46" i="4" s="1"/>
  <c r="BS26" i="4"/>
  <c r="BZ26" i="4"/>
  <c r="BB26" i="4"/>
  <c r="BO26" i="4" s="1"/>
  <c r="BZ157" i="4"/>
  <c r="BS157" i="4"/>
  <c r="BB157" i="4"/>
  <c r="BO157" i="4" s="1"/>
  <c r="BS116" i="4"/>
  <c r="BZ116" i="4"/>
  <c r="BB116" i="4"/>
  <c r="BO116" i="4" s="1"/>
  <c r="BS12" i="4"/>
  <c r="BZ12" i="4"/>
  <c r="BB12" i="4"/>
  <c r="BO12" i="4" s="1"/>
  <c r="BZ147" i="4"/>
  <c r="BS147" i="4"/>
  <c r="BB147" i="4"/>
  <c r="BO147" i="4" s="1"/>
  <c r="BZ85" i="4"/>
  <c r="BS85" i="4"/>
  <c r="BB85" i="4"/>
  <c r="BO85" i="4" s="1"/>
  <c r="BS152" i="4"/>
  <c r="BZ152" i="4"/>
  <c r="BB152" i="4"/>
  <c r="BO152" i="4" s="1"/>
  <c r="BZ114" i="4"/>
  <c r="BS114" i="4"/>
  <c r="BB114" i="4"/>
  <c r="BO114" i="4" s="1"/>
  <c r="BZ9" i="4"/>
  <c r="BS9" i="4"/>
  <c r="BB9" i="4"/>
  <c r="BO9" i="4" s="1"/>
  <c r="BS136" i="4"/>
  <c r="BZ136" i="4"/>
  <c r="BB136" i="4"/>
  <c r="BO136" i="4" s="1"/>
  <c r="BZ93" i="4"/>
  <c r="BS93" i="4"/>
  <c r="BB93" i="4"/>
  <c r="BO93" i="4" s="1"/>
  <c r="BZ131" i="4"/>
  <c r="BS131" i="4"/>
  <c r="BB131" i="4"/>
  <c r="BO131" i="4" s="1"/>
  <c r="BZ103" i="4"/>
  <c r="BS103" i="4"/>
  <c r="BB103" i="4"/>
  <c r="BO103" i="4" s="1"/>
  <c r="BZ79" i="4"/>
  <c r="BS79" i="4"/>
  <c r="BB79" i="4"/>
  <c r="BO79" i="4" s="1"/>
  <c r="BS8" i="4"/>
  <c r="BZ8" i="4"/>
  <c r="BB8" i="4"/>
  <c r="BO8" i="4" s="1"/>
  <c r="BS140" i="4"/>
  <c r="BZ140" i="4"/>
  <c r="BB140" i="4"/>
  <c r="BO140" i="4" s="1"/>
  <c r="BZ125" i="4"/>
  <c r="BS125" i="4"/>
  <c r="BB125" i="4"/>
  <c r="BO125" i="4" s="1"/>
  <c r="BZ121" i="4"/>
  <c r="BS121" i="4"/>
  <c r="BB121" i="4"/>
  <c r="BO121" i="4" s="1"/>
  <c r="BS100" i="4"/>
  <c r="BZ100" i="4"/>
  <c r="BB100" i="4"/>
  <c r="BO100" i="4" s="1"/>
  <c r="BS84" i="4"/>
  <c r="BZ84" i="4"/>
  <c r="BB84" i="4"/>
  <c r="BO84" i="4" s="1"/>
  <c r="BZ71" i="4"/>
  <c r="BS71" i="4"/>
  <c r="BB71" i="4"/>
  <c r="BO71" i="4" s="1"/>
  <c r="BZ137" i="4"/>
  <c r="BS137" i="4"/>
  <c r="BB137" i="4"/>
  <c r="BO137" i="4" s="1"/>
  <c r="BZ109" i="4"/>
  <c r="BS109" i="4"/>
  <c r="BB109" i="4"/>
  <c r="BO109" i="4" s="1"/>
  <c r="BZ90" i="4"/>
  <c r="BS90" i="4"/>
  <c r="BB90" i="4"/>
  <c r="BO90" i="4" s="1"/>
  <c r="BZ74" i="4"/>
  <c r="BS74" i="4"/>
  <c r="BB74" i="4"/>
  <c r="BO74" i="4" s="1"/>
  <c r="BS120" i="4"/>
  <c r="BZ120" i="4"/>
  <c r="BB120" i="4"/>
  <c r="BO120" i="4" s="1"/>
  <c r="BZ62" i="4"/>
  <c r="BS62" i="4"/>
  <c r="BB62" i="4"/>
  <c r="BO62" i="4" s="1"/>
  <c r="BZ57" i="4"/>
  <c r="BS57" i="4"/>
  <c r="BB57" i="4"/>
  <c r="BO57" i="4" s="1"/>
  <c r="BZ53" i="4"/>
  <c r="BS53" i="4"/>
  <c r="BB53" i="4"/>
  <c r="BO53" i="4" s="1"/>
  <c r="BZ49" i="4"/>
  <c r="BS49" i="4"/>
  <c r="BB49" i="4"/>
  <c r="BO49" i="4" s="1"/>
  <c r="BZ45" i="4"/>
  <c r="BS45" i="4"/>
  <c r="BB45" i="4"/>
  <c r="BO45" i="4" s="1"/>
  <c r="BZ41" i="4"/>
  <c r="BS41" i="4"/>
  <c r="BB41" i="4"/>
  <c r="BO41" i="4" s="1"/>
  <c r="BZ37" i="4"/>
  <c r="BS37" i="4"/>
  <c r="BB37" i="4"/>
  <c r="BO37" i="4" s="1"/>
  <c r="BZ33" i="4"/>
  <c r="BS33" i="4"/>
  <c r="BB33" i="4"/>
  <c r="BO33" i="4" s="1"/>
  <c r="BZ29" i="4"/>
  <c r="BS29" i="4"/>
  <c r="BB29" i="4"/>
  <c r="BO29" i="4" s="1"/>
  <c r="BZ25" i="4"/>
  <c r="BS25" i="4"/>
  <c r="BB25" i="4"/>
  <c r="BO25" i="4" s="1"/>
  <c r="BZ21" i="4"/>
  <c r="BS21" i="4"/>
  <c r="BB21" i="4"/>
  <c r="BO21" i="4" s="1"/>
  <c r="BZ17" i="4"/>
  <c r="BS17" i="4"/>
  <c r="BB17" i="4"/>
  <c r="BO17" i="4" s="1"/>
  <c r="BZ15" i="4"/>
  <c r="BS15" i="4"/>
  <c r="BB15" i="4"/>
  <c r="BO15" i="4" s="1"/>
  <c r="BZ143" i="4"/>
  <c r="BS143" i="4"/>
  <c r="BB143" i="4"/>
  <c r="BO143" i="4" s="1"/>
  <c r="BZ73" i="4"/>
  <c r="BS73" i="4"/>
  <c r="BB73" i="4"/>
  <c r="BO73" i="4" s="1"/>
  <c r="BZ101" i="4"/>
  <c r="BS101" i="4"/>
  <c r="BB101" i="4"/>
  <c r="BO101" i="4" s="1"/>
  <c r="BZ118" i="4"/>
  <c r="BS118" i="4"/>
  <c r="BB118" i="4"/>
  <c r="BO118" i="4" s="1"/>
  <c r="BZ142" i="4"/>
  <c r="BS142" i="4"/>
  <c r="BB142" i="4"/>
  <c r="BO142" i="4" s="1"/>
  <c r="BS132" i="4"/>
  <c r="BZ132" i="4"/>
  <c r="BB132" i="4"/>
  <c r="BO132" i="4" s="1"/>
  <c r="BZ83" i="4"/>
  <c r="BS83" i="4"/>
  <c r="BB83" i="4"/>
  <c r="BO83" i="4" s="1"/>
  <c r="BZ126" i="4"/>
  <c r="BS126" i="4"/>
  <c r="BB126" i="4"/>
  <c r="BO126" i="4" s="1"/>
  <c r="BZ122" i="4"/>
  <c r="BS122" i="4"/>
  <c r="BB122" i="4"/>
  <c r="BO122" i="4" s="1"/>
  <c r="BS72" i="4"/>
  <c r="BZ72" i="4"/>
  <c r="BB72" i="4"/>
  <c r="BO72" i="4" s="1"/>
  <c r="BZ110" i="4"/>
  <c r="BS110" i="4"/>
  <c r="BB110" i="4"/>
  <c r="BO110" i="4" s="1"/>
  <c r="BZ78" i="4"/>
  <c r="BS78" i="4"/>
  <c r="BB78" i="4"/>
  <c r="BO78" i="4" s="1"/>
  <c r="BZ58" i="4"/>
  <c r="BS58" i="4"/>
  <c r="BB58" i="4"/>
  <c r="BO58" i="4" s="1"/>
  <c r="BZ54" i="4"/>
  <c r="BS54" i="4"/>
  <c r="BB54" i="4"/>
  <c r="BO54" i="4" s="1"/>
  <c r="BS42" i="4"/>
  <c r="BZ42" i="4"/>
  <c r="BB42" i="4"/>
  <c r="BO42" i="4" s="1"/>
  <c r="BS38" i="4"/>
  <c r="BZ38" i="4"/>
  <c r="BB38" i="4"/>
  <c r="BO38" i="4" s="1"/>
  <c r="BS34" i="4"/>
  <c r="BZ34" i="4"/>
  <c r="BB34" i="4"/>
  <c r="BO34" i="4" s="1"/>
  <c r="BS30" i="4"/>
  <c r="BZ30" i="4"/>
  <c r="BB30" i="4"/>
  <c r="BO30" i="4" s="1"/>
  <c r="BS18" i="4"/>
  <c r="BZ18" i="4"/>
  <c r="BB18" i="4"/>
  <c r="BO18" i="4" s="1"/>
  <c r="BZ63" i="4"/>
  <c r="BS63" i="4"/>
  <c r="BB63" i="4"/>
  <c r="BO63" i="4" s="1"/>
  <c r="BZ150" i="4"/>
  <c r="BS150" i="4"/>
  <c r="BB150" i="4"/>
  <c r="BO150" i="4" s="1"/>
  <c r="BS108" i="4"/>
  <c r="BZ108" i="4"/>
  <c r="BB108" i="4"/>
  <c r="BO108" i="4" s="1"/>
  <c r="BZ154" i="4"/>
  <c r="BS154" i="4"/>
  <c r="BB154" i="4"/>
  <c r="BO154" i="4" s="1"/>
  <c r="BZ117" i="4"/>
  <c r="BS117" i="4"/>
  <c r="BB117" i="4"/>
  <c r="BO117" i="4" s="1"/>
  <c r="BZ14" i="4"/>
  <c r="BS14" i="4"/>
  <c r="BB14" i="4"/>
  <c r="BO14" i="4" s="1"/>
  <c r="BZ141" i="4"/>
  <c r="BS141" i="4"/>
  <c r="BB141" i="4"/>
  <c r="BO141" i="4" s="1"/>
  <c r="BZ97" i="4"/>
  <c r="BS97" i="4"/>
  <c r="BB97" i="4"/>
  <c r="BO97" i="4" s="1"/>
  <c r="BS156" i="4"/>
  <c r="BZ156" i="4"/>
  <c r="BB156" i="4"/>
  <c r="BO156" i="4" s="1"/>
  <c r="BZ127" i="4"/>
  <c r="BS127" i="4"/>
  <c r="BB127" i="4"/>
  <c r="BO127" i="4" s="1"/>
  <c r="BZ77" i="4"/>
  <c r="BS77" i="4"/>
  <c r="BB77" i="4"/>
  <c r="BO77" i="4" s="1"/>
  <c r="BZ129" i="4"/>
  <c r="BS129" i="4"/>
  <c r="BB129" i="4"/>
  <c r="BO129" i="4" s="1"/>
  <c r="BZ95" i="4"/>
  <c r="BS95" i="4"/>
  <c r="BB95" i="4"/>
  <c r="BO95" i="4" s="1"/>
  <c r="BZ75" i="4"/>
  <c r="BS75" i="4"/>
  <c r="BB75" i="4"/>
  <c r="BO75" i="4" s="1"/>
  <c r="BZ153" i="4"/>
  <c r="BS153" i="4"/>
  <c r="BB153" i="4"/>
  <c r="BO153" i="4" s="1"/>
  <c r="BZ139" i="4"/>
  <c r="BS139" i="4"/>
  <c r="BB139" i="4"/>
  <c r="BO139" i="4" s="1"/>
  <c r="BS124" i="4"/>
  <c r="BZ124" i="4"/>
  <c r="BB124" i="4"/>
  <c r="BO124" i="4" s="1"/>
  <c r="BS112" i="4"/>
  <c r="BZ112" i="4"/>
  <c r="BB112" i="4"/>
  <c r="BO112" i="4" s="1"/>
  <c r="BS96" i="4"/>
  <c r="BZ96" i="4"/>
  <c r="BB96" i="4"/>
  <c r="BO96" i="4" s="1"/>
  <c r="BS80" i="4"/>
  <c r="BZ80" i="4"/>
  <c r="BB80" i="4"/>
  <c r="BO80" i="4" s="1"/>
  <c r="BZ66" i="4"/>
  <c r="BS66" i="4"/>
  <c r="BB66" i="4"/>
  <c r="BO66" i="4" s="1"/>
  <c r="BS128" i="4"/>
  <c r="BZ128" i="4"/>
  <c r="BB128" i="4"/>
  <c r="BO128" i="4" s="1"/>
  <c r="BZ102" i="4"/>
  <c r="BS102" i="4"/>
  <c r="BB102" i="4"/>
  <c r="BO102" i="4" s="1"/>
  <c r="BZ86" i="4"/>
  <c r="BS86" i="4"/>
  <c r="BB86" i="4"/>
  <c r="BO86" i="4" s="1"/>
  <c r="BS68" i="4"/>
  <c r="BZ68" i="4"/>
  <c r="BB68" i="4"/>
  <c r="BO68" i="4" s="1"/>
  <c r="BZ99" i="4"/>
  <c r="BS99" i="4"/>
  <c r="BB99" i="4"/>
  <c r="BO99" i="4" s="1"/>
  <c r="BZ67" i="4"/>
  <c r="BS67" i="4"/>
  <c r="BB67" i="4"/>
  <c r="BO67" i="4" s="1"/>
  <c r="BS56" i="4"/>
  <c r="BZ56" i="4"/>
  <c r="BB56" i="4"/>
  <c r="BO56" i="4" s="1"/>
  <c r="BS52" i="4"/>
  <c r="BZ52" i="4"/>
  <c r="BB52" i="4"/>
  <c r="BO52" i="4" s="1"/>
  <c r="BS48" i="4"/>
  <c r="BZ48" i="4"/>
  <c r="BB48" i="4"/>
  <c r="BO48" i="4" s="1"/>
  <c r="BS44" i="4"/>
  <c r="BZ44" i="4"/>
  <c r="BB44" i="4"/>
  <c r="BO44" i="4" s="1"/>
  <c r="BS40" i="4"/>
  <c r="BZ40" i="4"/>
  <c r="BB40" i="4"/>
  <c r="BO40" i="4" s="1"/>
  <c r="BS36" i="4"/>
  <c r="BZ36" i="4"/>
  <c r="BB36" i="4"/>
  <c r="BO36" i="4" s="1"/>
  <c r="BS32" i="4"/>
  <c r="BZ32" i="4"/>
  <c r="BB32" i="4"/>
  <c r="BO32" i="4" s="1"/>
  <c r="BS28" i="4"/>
  <c r="BZ28" i="4"/>
  <c r="BB28" i="4"/>
  <c r="BO28" i="4" s="1"/>
  <c r="BS24" i="4"/>
  <c r="BZ24" i="4"/>
  <c r="BB24" i="4"/>
  <c r="BO24" i="4" s="1"/>
  <c r="BS20" i="4"/>
  <c r="BZ20" i="4"/>
  <c r="BB20" i="4"/>
  <c r="BO20" i="4" s="1"/>
  <c r="BZ16" i="4"/>
  <c r="BB16" i="4"/>
  <c r="BO16" i="4" s="1"/>
  <c r="BS148" i="4"/>
  <c r="BZ148" i="4"/>
  <c r="BB148" i="4"/>
  <c r="BO148" i="4" s="1"/>
  <c r="BS10" i="4"/>
  <c r="BZ10" i="4"/>
  <c r="BB10" i="4"/>
  <c r="BO10" i="4" s="1"/>
  <c r="BS104" i="4"/>
  <c r="BZ104" i="4"/>
  <c r="BB104" i="4"/>
  <c r="BO104" i="4" s="1"/>
  <c r="BS144" i="4"/>
  <c r="BZ144" i="4"/>
  <c r="BB144" i="4"/>
  <c r="BO144" i="4" s="1"/>
  <c r="BS88" i="4"/>
  <c r="BZ88" i="4"/>
  <c r="BB88" i="4"/>
  <c r="BO88" i="4" s="1"/>
  <c r="BZ94" i="4"/>
  <c r="BS94" i="4"/>
  <c r="BB94" i="4"/>
  <c r="BO94" i="4" s="1"/>
  <c r="BZ69" i="4"/>
  <c r="BS69" i="4"/>
  <c r="BB69" i="4"/>
  <c r="BO69" i="4" s="1"/>
  <c r="BZ50" i="4"/>
  <c r="BS50" i="4"/>
  <c r="BB50" i="4"/>
  <c r="BO50" i="4" s="1"/>
  <c r="BS22" i="4"/>
  <c r="BZ22" i="4"/>
  <c r="BB22" i="4"/>
  <c r="BO22" i="4" s="1"/>
  <c r="BZ7" i="4"/>
  <c r="BS7" i="4"/>
  <c r="BB7" i="4"/>
  <c r="BO7" i="4" s="1"/>
  <c r="BZ146" i="4"/>
  <c r="BS146" i="4"/>
  <c r="BB146" i="4"/>
  <c r="BO146" i="4" s="1"/>
  <c r="BZ89" i="4"/>
  <c r="BS89" i="4"/>
  <c r="BB89" i="4"/>
  <c r="BO89" i="4" s="1"/>
  <c r="BZ151" i="4"/>
  <c r="BS151" i="4"/>
  <c r="BB151" i="4"/>
  <c r="BO151" i="4" s="1"/>
  <c r="BZ113" i="4"/>
  <c r="BS113" i="4"/>
  <c r="BB113" i="4"/>
  <c r="BO113" i="4" s="1"/>
  <c r="BZ13" i="4"/>
  <c r="BS13" i="4"/>
  <c r="BB13" i="4"/>
  <c r="BO13" i="4" s="1"/>
  <c r="BZ138" i="4"/>
  <c r="BS138" i="4"/>
  <c r="BB138" i="4"/>
  <c r="BO138" i="4" s="1"/>
  <c r="BZ81" i="4"/>
  <c r="BS81" i="4"/>
  <c r="BB81" i="4"/>
  <c r="BO81" i="4" s="1"/>
  <c r="BZ145" i="4"/>
  <c r="BS145" i="4"/>
  <c r="BB145" i="4"/>
  <c r="BO145" i="4" s="1"/>
  <c r="BZ115" i="4"/>
  <c r="BS115" i="4"/>
  <c r="BB115" i="4"/>
  <c r="BO115" i="4" s="1"/>
  <c r="BZ133" i="4"/>
  <c r="BS133" i="4"/>
  <c r="BB133" i="4"/>
  <c r="BO133" i="4" s="1"/>
  <c r="BZ111" i="4"/>
  <c r="BS111" i="4"/>
  <c r="BB111" i="4"/>
  <c r="BO111" i="4" s="1"/>
  <c r="BZ91" i="4"/>
  <c r="BS91" i="4"/>
  <c r="BB91" i="4"/>
  <c r="BO91" i="4" s="1"/>
  <c r="BZ70" i="4"/>
  <c r="BS70" i="4"/>
  <c r="BB70" i="4"/>
  <c r="BO70" i="4" s="1"/>
  <c r="BZ149" i="4"/>
  <c r="BS149" i="4"/>
  <c r="BB149" i="4"/>
  <c r="BO149" i="4" s="1"/>
  <c r="BZ135" i="4"/>
  <c r="BS135" i="4"/>
  <c r="BB135" i="4"/>
  <c r="BO135" i="4" s="1"/>
  <c r="BZ123" i="4"/>
  <c r="BS123" i="4"/>
  <c r="BB123" i="4"/>
  <c r="BO123" i="4" s="1"/>
  <c r="BZ106" i="4"/>
  <c r="BS106" i="4"/>
  <c r="BB106" i="4"/>
  <c r="BO106" i="4" s="1"/>
  <c r="BS92" i="4"/>
  <c r="BZ92" i="4"/>
  <c r="BB92" i="4"/>
  <c r="BO92" i="4" s="1"/>
  <c r="BS76" i="4"/>
  <c r="BZ76" i="4"/>
  <c r="BB76" i="4"/>
  <c r="BO76" i="4" s="1"/>
  <c r="BZ65" i="4"/>
  <c r="BS65" i="4"/>
  <c r="BB65" i="4"/>
  <c r="BO65" i="4" s="1"/>
  <c r="BZ119" i="4"/>
  <c r="BS119" i="4"/>
  <c r="BB119" i="4"/>
  <c r="BO119" i="4" s="1"/>
  <c r="BZ98" i="4"/>
  <c r="BS98" i="4"/>
  <c r="BB98" i="4"/>
  <c r="BO98" i="4" s="1"/>
  <c r="BZ82" i="4"/>
  <c r="BS82" i="4"/>
  <c r="BB82" i="4"/>
  <c r="BO82" i="4" s="1"/>
  <c r="BZ134" i="4"/>
  <c r="BS134" i="4"/>
  <c r="BB134" i="4"/>
  <c r="BO134" i="4" s="1"/>
  <c r="BZ87" i="4"/>
  <c r="BS87" i="4"/>
  <c r="BB87" i="4"/>
  <c r="BO87" i="4" s="1"/>
  <c r="BS60" i="4"/>
  <c r="BZ60" i="4"/>
  <c r="BB60" i="4"/>
  <c r="BO60" i="4" s="1"/>
  <c r="BZ55" i="4"/>
  <c r="BS55" i="4"/>
  <c r="BB55" i="4"/>
  <c r="BO55" i="4" s="1"/>
  <c r="BS51" i="4"/>
  <c r="BZ51" i="4"/>
  <c r="BB51" i="4"/>
  <c r="BO51" i="4" s="1"/>
  <c r="BZ47" i="4"/>
  <c r="BS47" i="4"/>
  <c r="BB47" i="4"/>
  <c r="BO47" i="4" s="1"/>
  <c r="BS43" i="4"/>
  <c r="BZ43" i="4"/>
  <c r="BB43" i="4"/>
  <c r="BO43" i="4" s="1"/>
  <c r="BZ39" i="4"/>
  <c r="BS39" i="4"/>
  <c r="BB39" i="4"/>
  <c r="BO39" i="4" s="1"/>
  <c r="BS35" i="4"/>
  <c r="BZ35" i="4"/>
  <c r="BB35" i="4"/>
  <c r="BO35" i="4" s="1"/>
  <c r="BZ31" i="4"/>
  <c r="BS31" i="4"/>
  <c r="BB31" i="4"/>
  <c r="BO31" i="4" s="1"/>
  <c r="BS27" i="4"/>
  <c r="BZ27" i="4"/>
  <c r="BB27" i="4"/>
  <c r="BO27" i="4" s="1"/>
  <c r="BZ23" i="4"/>
  <c r="BS23" i="4"/>
  <c r="BB23" i="4"/>
  <c r="BO23" i="4" s="1"/>
  <c r="BS19" i="4"/>
  <c r="BZ19" i="4"/>
  <c r="BB19" i="4"/>
  <c r="BO19" i="4" s="1"/>
  <c r="BS64" i="4"/>
  <c r="BZ64" i="4"/>
  <c r="BB64" i="4"/>
  <c r="BO64" i="4" s="1"/>
  <c r="BC7" i="4"/>
  <c r="BC108" i="4"/>
  <c r="BC117" i="4"/>
  <c r="BC141" i="4"/>
  <c r="BC156" i="4"/>
  <c r="BC77" i="4"/>
  <c r="BC95" i="4"/>
  <c r="BC153" i="4"/>
  <c r="BC124" i="4"/>
  <c r="BC96" i="4"/>
  <c r="BC66" i="4"/>
  <c r="BC86" i="4"/>
  <c r="BC99" i="4"/>
  <c r="BC56" i="4"/>
  <c r="BC52" i="4"/>
  <c r="BC44" i="4"/>
  <c r="BC36" i="4"/>
  <c r="BC28" i="4"/>
  <c r="BC16" i="4"/>
  <c r="BC89" i="4"/>
  <c r="BC113" i="4"/>
  <c r="BC138" i="4"/>
  <c r="BC145" i="4"/>
  <c r="BC133" i="4"/>
  <c r="BC91" i="4"/>
  <c r="BC70" i="4"/>
  <c r="BC123" i="4"/>
  <c r="BC92" i="4"/>
  <c r="BC65" i="4"/>
  <c r="BC82" i="4"/>
  <c r="BC87" i="4"/>
  <c r="BC55" i="4"/>
  <c r="BC47" i="4"/>
  <c r="BC39" i="4"/>
  <c r="BC31" i="4"/>
  <c r="BC23" i="4"/>
  <c r="BC64" i="4"/>
  <c r="BC11" i="4"/>
  <c r="BC143" i="4"/>
  <c r="BC73" i="4"/>
  <c r="BC148" i="4"/>
  <c r="BC101" i="4"/>
  <c r="BC155" i="4"/>
  <c r="BC118" i="4"/>
  <c r="BC10" i="4"/>
  <c r="BC142" i="4"/>
  <c r="BC107" i="4"/>
  <c r="BC132" i="4"/>
  <c r="BC104" i="4"/>
  <c r="BC83" i="4"/>
  <c r="BC61" i="4"/>
  <c r="BC144" i="4"/>
  <c r="BC126" i="4"/>
  <c r="BC122" i="4"/>
  <c r="BC105" i="4"/>
  <c r="BC88" i="4"/>
  <c r="BC72" i="4"/>
  <c r="BC59" i="4"/>
  <c r="BC110" i="4"/>
  <c r="BC94" i="4"/>
  <c r="BC78" i="4"/>
  <c r="BC130" i="4"/>
  <c r="BC69" i="4"/>
  <c r="BC58" i="4"/>
  <c r="BC54" i="4"/>
  <c r="BC50" i="4"/>
  <c r="BC46" i="4"/>
  <c r="BC42" i="4"/>
  <c r="BC38" i="4"/>
  <c r="BC34" i="4"/>
  <c r="BC30" i="4"/>
  <c r="BC26" i="4"/>
  <c r="BC22" i="4"/>
  <c r="BC18" i="4"/>
  <c r="BC63" i="4"/>
  <c r="BC150" i="4"/>
  <c r="BC154" i="4"/>
  <c r="BC14" i="4"/>
  <c r="BC97" i="4"/>
  <c r="BC127" i="4"/>
  <c r="BC129" i="4"/>
  <c r="BC75" i="4"/>
  <c r="BC139" i="4"/>
  <c r="BC112" i="4"/>
  <c r="BC80" i="4"/>
  <c r="BC128" i="4"/>
  <c r="BC102" i="4"/>
  <c r="BC68" i="4"/>
  <c r="BC67" i="4"/>
  <c r="BC48" i="4"/>
  <c r="BC40" i="4"/>
  <c r="BT40" i="4" s="1"/>
  <c r="BC32" i="4"/>
  <c r="BC24" i="4"/>
  <c r="BC20" i="4"/>
  <c r="BC146" i="4"/>
  <c r="BC151" i="4"/>
  <c r="BC13" i="4"/>
  <c r="BC81" i="4"/>
  <c r="BC115" i="4"/>
  <c r="BC111" i="4"/>
  <c r="BC149" i="4"/>
  <c r="BC135" i="4"/>
  <c r="BC106" i="4"/>
  <c r="BC76" i="4"/>
  <c r="BC119" i="4"/>
  <c r="BC98" i="4"/>
  <c r="BC134" i="4"/>
  <c r="BC60" i="4"/>
  <c r="BC51" i="4"/>
  <c r="BC43" i="4"/>
  <c r="BC35" i="4"/>
  <c r="BC27" i="4"/>
  <c r="BC19" i="4"/>
  <c r="BC157" i="4"/>
  <c r="BC116" i="4"/>
  <c r="BC12" i="4"/>
  <c r="BC147" i="4"/>
  <c r="BC85" i="4"/>
  <c r="BC152" i="4"/>
  <c r="BC114" i="4"/>
  <c r="BC9" i="4"/>
  <c r="BC136" i="4"/>
  <c r="BC93" i="4"/>
  <c r="BC131" i="4"/>
  <c r="BC103" i="4"/>
  <c r="BC79" i="4"/>
  <c r="BC8" i="4"/>
  <c r="BT8" i="4" s="1"/>
  <c r="BC140" i="4"/>
  <c r="BC125" i="4"/>
  <c r="BC121" i="4"/>
  <c r="BC100" i="4"/>
  <c r="BC84" i="4"/>
  <c r="BC71" i="4"/>
  <c r="BC137" i="4"/>
  <c r="BC109" i="4"/>
  <c r="BC90" i="4"/>
  <c r="BC74" i="4"/>
  <c r="BC120" i="4"/>
  <c r="BC62" i="4"/>
  <c r="BC57" i="4"/>
  <c r="BC53" i="4"/>
  <c r="BC49" i="4"/>
  <c r="BC45" i="4"/>
  <c r="BC41" i="4"/>
  <c r="BC37" i="4"/>
  <c r="BC33" i="4"/>
  <c r="BC29" i="4"/>
  <c r="BC25" i="4"/>
  <c r="BC21" i="4"/>
  <c r="BC17" i="4"/>
  <c r="BC15" i="4"/>
  <c r="P548" i="5"/>
  <c r="P335" i="5"/>
  <c r="P193" i="5"/>
  <c r="P483" i="5"/>
  <c r="P395" i="5"/>
  <c r="P143" i="5"/>
  <c r="P429" i="5"/>
  <c r="P301" i="5"/>
  <c r="P542" i="5"/>
  <c r="P424" i="5"/>
  <c r="P283" i="5"/>
  <c r="P455" i="5"/>
  <c r="P475" i="5"/>
  <c r="P487" i="5"/>
  <c r="P302" i="5"/>
  <c r="P290" i="5"/>
  <c r="P38" i="5"/>
  <c r="P545" i="5"/>
  <c r="P505" i="5"/>
  <c r="P420" i="5"/>
  <c r="P365" i="5"/>
  <c r="P68" i="5"/>
  <c r="P89" i="5"/>
  <c r="P130" i="5"/>
  <c r="P182" i="5"/>
  <c r="P192" i="5"/>
  <c r="P206" i="5"/>
  <c r="P211" i="5"/>
  <c r="P251" i="5"/>
  <c r="P300" i="5"/>
  <c r="P265" i="5"/>
  <c r="P294" i="5"/>
  <c r="P257" i="5"/>
  <c r="P322" i="5"/>
  <c r="P264" i="5"/>
  <c r="P373" i="5"/>
  <c r="P425" i="5"/>
  <c r="P325" i="5"/>
  <c r="P367" i="5"/>
  <c r="P405" i="5"/>
  <c r="P241" i="5"/>
  <c r="P345" i="5"/>
  <c r="P381" i="5"/>
  <c r="P375" i="5"/>
  <c r="P452" i="5"/>
  <c r="P490" i="5"/>
  <c r="P534" i="5"/>
  <c r="P444" i="5"/>
  <c r="P502" i="5"/>
  <c r="P432" i="5"/>
  <c r="P472" i="5"/>
  <c r="P515" i="5"/>
  <c r="P558" i="5"/>
  <c r="P504" i="5"/>
  <c r="P376" i="5"/>
  <c r="P500" i="5"/>
  <c r="P535" i="5"/>
  <c r="P463" i="5"/>
  <c r="P523" i="5"/>
  <c r="P546" i="5"/>
  <c r="P433" i="5"/>
  <c r="P519" i="5"/>
  <c r="P19" i="5"/>
  <c r="P34" i="5"/>
  <c r="P69" i="5"/>
  <c r="P78" i="5"/>
  <c r="P153" i="5"/>
  <c r="P150" i="5"/>
  <c r="P210" i="5"/>
  <c r="P226" i="5"/>
  <c r="P218" i="5"/>
  <c r="P255" i="5"/>
  <c r="P310" i="5"/>
  <c r="P267" i="5"/>
  <c r="P304" i="5"/>
  <c r="P279" i="5"/>
  <c r="P332" i="5"/>
  <c r="P292" i="5"/>
  <c r="P392" i="5"/>
  <c r="P427" i="5"/>
  <c r="P328" i="5"/>
  <c r="P374" i="5"/>
  <c r="P406" i="5"/>
  <c r="P284" i="5"/>
  <c r="P359" i="5"/>
  <c r="P387" i="5"/>
  <c r="P411" i="5"/>
  <c r="P470" i="5"/>
  <c r="P495" i="5"/>
  <c r="P380" i="5"/>
  <c r="P449" i="5"/>
  <c r="P518" i="5"/>
  <c r="P447" i="5"/>
  <c r="P498" i="5"/>
  <c r="P522" i="5"/>
  <c r="P350" i="5"/>
  <c r="P527" i="5"/>
  <c r="P453" i="5"/>
  <c r="P503" i="5"/>
  <c r="P556" i="5"/>
  <c r="P473" i="5"/>
  <c r="P539" i="5"/>
  <c r="P529" i="5"/>
  <c r="P391" i="5"/>
  <c r="P541" i="5"/>
  <c r="P559" i="5"/>
  <c r="P464" i="5"/>
  <c r="P471" i="5"/>
  <c r="P499" i="5"/>
  <c r="P356" i="5"/>
  <c r="P423" i="5"/>
  <c r="P482" i="5"/>
  <c r="P400" i="5"/>
  <c r="P313" i="5"/>
  <c r="P394" i="5"/>
  <c r="P201" i="5"/>
  <c r="P349" i="5"/>
  <c r="P282" i="5"/>
  <c r="P274" i="5"/>
  <c r="P285" i="5"/>
  <c r="P231" i="5"/>
  <c r="P173" i="5"/>
  <c r="P125" i="5"/>
  <c r="P25" i="5"/>
  <c r="P512" i="5"/>
  <c r="P557" i="5"/>
  <c r="P517" i="5"/>
  <c r="P530" i="5"/>
  <c r="P560" i="5"/>
  <c r="P547" i="5"/>
  <c r="P460" i="5"/>
  <c r="P479" i="5"/>
  <c r="P531" i="5"/>
  <c r="P446" i="5"/>
  <c r="P364" i="5"/>
  <c r="P235" i="5"/>
  <c r="P348" i="5"/>
  <c r="P414" i="5"/>
  <c r="P355" i="5"/>
  <c r="P236" i="5"/>
  <c r="P188" i="5"/>
  <c r="P245" i="5"/>
  <c r="P163" i="5"/>
  <c r="P183" i="5"/>
  <c r="P85" i="5"/>
  <c r="P551" i="5"/>
  <c r="P462" i="5"/>
  <c r="P554" i="5"/>
  <c r="P485" i="5"/>
  <c r="P528" i="5"/>
  <c r="P538" i="5"/>
  <c r="P532" i="5"/>
  <c r="P458" i="5"/>
  <c r="P476" i="5"/>
  <c r="P506" i="5"/>
  <c r="P442" i="5"/>
  <c r="P362" i="5"/>
  <c r="P415" i="5"/>
  <c r="P344" i="5"/>
  <c r="P402" i="5"/>
  <c r="P351" i="5"/>
  <c r="P317" i="5"/>
  <c r="P326" i="5"/>
  <c r="P220" i="5"/>
  <c r="P248" i="5"/>
  <c r="P154" i="5"/>
  <c r="P52" i="5"/>
  <c r="P55" i="5"/>
  <c r="P79" i="5"/>
  <c r="P95" i="5"/>
  <c r="P116" i="5"/>
  <c r="P121" i="5"/>
  <c r="P191" i="5"/>
  <c r="P228" i="5"/>
  <c r="P214" i="5"/>
  <c r="P197" i="5"/>
  <c r="P229" i="5"/>
  <c r="P281" i="5"/>
  <c r="P305" i="5"/>
  <c r="P198" i="5"/>
  <c r="P280" i="5"/>
  <c r="P315" i="5"/>
  <c r="P263" i="5"/>
  <c r="P314" i="5"/>
  <c r="P353" i="5"/>
  <c r="P340" i="5"/>
  <c r="P388" i="5"/>
  <c r="P417" i="5"/>
  <c r="P256" i="5"/>
  <c r="P339" i="5"/>
  <c r="P370" i="5"/>
  <c r="P397" i="5"/>
  <c r="P421" i="5"/>
  <c r="P299" i="5"/>
  <c r="P352" i="5"/>
  <c r="P378" i="5"/>
  <c r="P403" i="5"/>
  <c r="P434" i="5"/>
  <c r="P469" i="5"/>
  <c r="P489" i="5"/>
  <c r="P510" i="5"/>
  <c r="P389" i="5"/>
  <c r="P445" i="5"/>
  <c r="P494" i="5"/>
  <c r="P409" i="5"/>
  <c r="P448" i="5"/>
  <c r="P478" i="5"/>
  <c r="P513" i="5"/>
  <c r="P544" i="5"/>
  <c r="P441" i="5"/>
  <c r="P524" i="5"/>
  <c r="P555" i="5"/>
  <c r="P474" i="5"/>
  <c r="P37" i="5"/>
  <c r="P58" i="5"/>
  <c r="P49" i="5"/>
  <c r="P86" i="5"/>
  <c r="P91" i="5"/>
  <c r="P70" i="5"/>
  <c r="P104" i="5"/>
  <c r="P119" i="5"/>
  <c r="P158" i="5"/>
  <c r="P148" i="5"/>
  <c r="P160" i="5"/>
  <c r="P203" i="5"/>
  <c r="P247" i="5"/>
  <c r="P209" i="5"/>
  <c r="P237" i="5"/>
  <c r="P215" i="5"/>
  <c r="P239" i="5"/>
  <c r="P259" i="5"/>
  <c r="P298" i="5"/>
  <c r="P321" i="5"/>
  <c r="P200" i="5"/>
  <c r="P277" i="5"/>
  <c r="P297" i="5"/>
  <c r="P324" i="5"/>
  <c r="P273" i="5"/>
  <c r="P306" i="5"/>
  <c r="P334" i="5"/>
  <c r="P238" i="5"/>
  <c r="P343" i="5"/>
  <c r="P379" i="5"/>
  <c r="P408" i="5"/>
  <c r="P426" i="5"/>
  <c r="P288" i="5"/>
  <c r="P338" i="5"/>
  <c r="P358" i="5"/>
  <c r="P377" i="5"/>
  <c r="P401" i="5"/>
  <c r="P416" i="5"/>
  <c r="P258" i="5"/>
  <c r="P333" i="5"/>
  <c r="P357" i="5"/>
  <c r="P366" i="5"/>
  <c r="P393" i="5"/>
  <c r="P250" i="5"/>
  <c r="P436" i="5"/>
  <c r="P467" i="5"/>
  <c r="P486" i="5"/>
  <c r="P492" i="5"/>
  <c r="P520" i="5"/>
  <c r="P386" i="5"/>
  <c r="P437" i="5"/>
  <c r="P465" i="5"/>
  <c r="P497" i="5"/>
  <c r="P371" i="5"/>
  <c r="P443" i="5"/>
  <c r="P459" i="5"/>
  <c r="P481" i="5"/>
  <c r="P508" i="5"/>
  <c r="P525" i="5"/>
  <c r="P549" i="5"/>
  <c r="P461" i="5"/>
  <c r="P511" i="5"/>
  <c r="P543" i="5"/>
  <c r="P428" i="5"/>
  <c r="P480" i="5"/>
  <c r="P521" i="5"/>
  <c r="P537" i="5"/>
  <c r="P456" i="5"/>
  <c r="P496" i="5"/>
  <c r="P540" i="5"/>
  <c r="P550" i="5"/>
  <c r="P431" i="5"/>
  <c r="P468" i="5"/>
  <c r="P536" i="5"/>
  <c r="P23" i="5"/>
  <c r="P46" i="5"/>
  <c r="P71" i="5"/>
  <c r="P39" i="5"/>
  <c r="P87" i="5"/>
  <c r="P98" i="5"/>
  <c r="P120" i="5"/>
  <c r="P110" i="5"/>
  <c r="P135" i="5"/>
  <c r="P180" i="5"/>
  <c r="P168" i="5"/>
  <c r="P29" i="5"/>
  <c r="P44" i="5"/>
  <c r="P26" i="5"/>
  <c r="P53" i="5"/>
  <c r="P72" i="5"/>
  <c r="P31" i="5"/>
  <c r="P99" i="5"/>
  <c r="P103" i="5"/>
  <c r="P149" i="5"/>
  <c r="P132" i="5"/>
  <c r="P137" i="5"/>
  <c r="P166" i="5"/>
  <c r="P124" i="5"/>
  <c r="P113" i="5"/>
  <c r="P181" i="5"/>
  <c r="P205" i="5"/>
  <c r="P230" i="5"/>
  <c r="P202" i="5"/>
  <c r="P224" i="5"/>
  <c r="P242" i="5"/>
  <c r="P212" i="5"/>
  <c r="P227" i="5"/>
  <c r="P232" i="5"/>
  <c r="P261" i="5"/>
  <c r="P296" i="5"/>
  <c r="P307" i="5"/>
  <c r="P330" i="5"/>
  <c r="P262" i="5"/>
  <c r="P275" i="5"/>
  <c r="P286" i="5"/>
  <c r="P312" i="5"/>
  <c r="P329" i="5"/>
  <c r="P268" i="5"/>
  <c r="P295" i="5"/>
  <c r="P318" i="5"/>
  <c r="P337" i="5"/>
  <c r="P199" i="5"/>
  <c r="P323" i="5"/>
  <c r="P354" i="5"/>
  <c r="P383" i="5"/>
  <c r="P404" i="5"/>
  <c r="P419" i="5"/>
  <c r="P435" i="5"/>
  <c r="P291" i="5"/>
  <c r="P331" i="5"/>
  <c r="P347" i="5"/>
  <c r="P368" i="5"/>
  <c r="P384" i="5"/>
  <c r="P398" i="5"/>
  <c r="P412" i="5"/>
  <c r="P216" i="5"/>
  <c r="P269" i="5"/>
  <c r="P316" i="5"/>
  <c r="P346" i="5"/>
  <c r="P360" i="5"/>
  <c r="P369" i="5"/>
  <c r="P390" i="5"/>
  <c r="P410" i="5"/>
  <c r="P396" i="5"/>
  <c r="P438" i="5"/>
  <c r="P457" i="5"/>
  <c r="P477" i="5"/>
  <c r="P488" i="5"/>
  <c r="P493" i="5"/>
  <c r="P514" i="5"/>
  <c r="P372" i="5"/>
  <c r="P407" i="5"/>
  <c r="P439" i="5"/>
  <c r="P450" i="5"/>
  <c r="P484" i="5"/>
  <c r="P509" i="5"/>
  <c r="P385" i="5"/>
  <c r="P440" i="5"/>
  <c r="P451" i="5"/>
  <c r="P466" i="5"/>
  <c r="P491" i="5"/>
  <c r="P507" i="5"/>
  <c r="P516" i="5"/>
  <c r="P533" i="5"/>
  <c r="P552" i="5"/>
  <c r="P454" i="5"/>
  <c r="P501" i="5"/>
  <c r="P526" i="5"/>
  <c r="P553" i="5"/>
  <c r="P418" i="5"/>
  <c r="W525" i="5"/>
  <c r="Y525" i="5" s="1"/>
  <c r="W376" i="5"/>
  <c r="X376" i="5" s="1"/>
  <c r="W515" i="5"/>
  <c r="Y515" i="5" s="1"/>
  <c r="W190" i="5"/>
  <c r="X190" i="5" s="1"/>
  <c r="W554" i="5"/>
  <c r="X554" i="5" s="1"/>
  <c r="W415" i="5"/>
  <c r="X415" i="5" s="1"/>
  <c r="W544" i="5"/>
  <c r="X544" i="5" s="1"/>
  <c r="W536" i="5"/>
  <c r="Y536" i="5" s="1"/>
  <c r="W339" i="5"/>
  <c r="X339" i="5" s="1"/>
  <c r="W154" i="5"/>
  <c r="X154" i="5" s="1"/>
  <c r="W448" i="5"/>
  <c r="Y448" i="5" s="1"/>
  <c r="W214" i="5"/>
  <c r="Y214" i="5" s="1"/>
  <c r="W524" i="5"/>
  <c r="X524" i="5" s="1"/>
  <c r="W373" i="5"/>
  <c r="X373" i="5" s="1"/>
  <c r="W206" i="5"/>
  <c r="X206" i="5" s="1"/>
  <c r="W107" i="5"/>
  <c r="X107" i="5" s="1"/>
  <c r="S8" i="5"/>
  <c r="W379" i="5"/>
  <c r="X379" i="5" s="1"/>
  <c r="W464" i="5"/>
  <c r="X464" i="5" s="1"/>
  <c r="W484" i="5"/>
  <c r="Y484" i="5" s="1"/>
  <c r="W337" i="5"/>
  <c r="X337" i="5" s="1"/>
  <c r="W216" i="5"/>
  <c r="X216" i="5" s="1"/>
  <c r="W45" i="5"/>
  <c r="X45" i="5" s="1"/>
  <c r="W40" i="5"/>
  <c r="Y40" i="5" s="1"/>
  <c r="W94" i="5"/>
  <c r="Y94" i="5" s="1"/>
  <c r="W102" i="5"/>
  <c r="Y102" i="5" s="1"/>
  <c r="W132" i="5"/>
  <c r="Y132" i="5" s="1"/>
  <c r="W150" i="5"/>
  <c r="X150" i="5" s="1"/>
  <c r="W103" i="5"/>
  <c r="Y103" i="5" s="1"/>
  <c r="W194" i="5"/>
  <c r="Y194" i="5" s="1"/>
  <c r="W200" i="5"/>
  <c r="X200" i="5" s="1"/>
  <c r="W211" i="5"/>
  <c r="X211" i="5" s="1"/>
  <c r="W267" i="5"/>
  <c r="X267" i="5" s="1"/>
  <c r="W329" i="5"/>
  <c r="Y329" i="5" s="1"/>
  <c r="W273" i="5"/>
  <c r="Y273" i="5" s="1"/>
  <c r="W332" i="5"/>
  <c r="X332" i="5" s="1"/>
  <c r="W323" i="5"/>
  <c r="X323" i="5" s="1"/>
  <c r="W335" i="5"/>
  <c r="Y335" i="5" s="1"/>
  <c r="W395" i="5"/>
  <c r="X395" i="5" s="1"/>
  <c r="W320" i="5"/>
  <c r="Y320" i="5" s="1"/>
  <c r="W381" i="5"/>
  <c r="X381" i="5" s="1"/>
  <c r="W410" i="5"/>
  <c r="X410" i="5" s="1"/>
  <c r="W285" i="5"/>
  <c r="Y285" i="5" s="1"/>
  <c r="W375" i="5"/>
  <c r="Y375" i="5" s="1"/>
  <c r="W405" i="5"/>
  <c r="X405" i="5" s="1"/>
  <c r="W361" i="5"/>
  <c r="X361" i="5" s="1"/>
  <c r="W455" i="5"/>
  <c r="Y455" i="5" s="1"/>
  <c r="W479" i="5"/>
  <c r="Y479" i="5" s="1"/>
  <c r="W506" i="5"/>
  <c r="X506" i="5" s="1"/>
  <c r="W535" i="5"/>
  <c r="Y535" i="5" s="1"/>
  <c r="W411" i="5"/>
  <c r="X411" i="5" s="1"/>
  <c r="W447" i="5"/>
  <c r="Y447" i="5" s="1"/>
  <c r="W489" i="5"/>
  <c r="X489" i="5" s="1"/>
  <c r="W514" i="5"/>
  <c r="X514" i="5" s="1"/>
  <c r="W404" i="5"/>
  <c r="Y404" i="5" s="1"/>
  <c r="W460" i="5"/>
  <c r="X460" i="5" s="1"/>
  <c r="W496" i="5"/>
  <c r="Y496" i="5" s="1"/>
  <c r="W523" i="5"/>
  <c r="X523" i="5" s="1"/>
  <c r="W558" i="5"/>
  <c r="X558" i="5" s="1"/>
  <c r="W531" i="5"/>
  <c r="X531" i="5" s="1"/>
  <c r="W457" i="5"/>
  <c r="Y457" i="5" s="1"/>
  <c r="W546" i="5"/>
  <c r="Y546" i="5" s="1"/>
  <c r="W500" i="5"/>
  <c r="X500" i="5" s="1"/>
  <c r="W553" i="5"/>
  <c r="Y553" i="5" s="1"/>
  <c r="W442" i="5"/>
  <c r="Y442" i="5" s="1"/>
  <c r="W492" i="5"/>
  <c r="X492" i="5" s="1"/>
  <c r="W549" i="5"/>
  <c r="Y549" i="5" s="1"/>
  <c r="W19" i="5"/>
  <c r="Y19" i="5" s="1"/>
  <c r="W10" i="5"/>
  <c r="W44" i="5"/>
  <c r="Y44" i="5" s="1"/>
  <c r="W43" i="5"/>
  <c r="Y43" i="5" s="1"/>
  <c r="W76" i="5"/>
  <c r="X76" i="5" s="1"/>
  <c r="W66" i="5"/>
  <c r="X66" i="5" s="1"/>
  <c r="W158" i="5"/>
  <c r="X158" i="5" s="1"/>
  <c r="W128" i="5"/>
  <c r="Y128" i="5" s="1"/>
  <c r="W176" i="5"/>
  <c r="X176" i="5" s="1"/>
  <c r="W184" i="5"/>
  <c r="Y184" i="5" s="1"/>
  <c r="W248" i="5"/>
  <c r="Y248" i="5" s="1"/>
  <c r="W227" i="5"/>
  <c r="Y227" i="5" s="1"/>
  <c r="W207" i="5"/>
  <c r="Y207" i="5" s="1"/>
  <c r="W309" i="5"/>
  <c r="Y309" i="5" s="1"/>
  <c r="W255" i="5"/>
  <c r="X255" i="5" s="1"/>
  <c r="W308" i="5"/>
  <c r="X308" i="5" s="1"/>
  <c r="W292" i="5"/>
  <c r="Y292" i="5" s="1"/>
  <c r="W355" i="5"/>
  <c r="Y355" i="5" s="1"/>
  <c r="W370" i="5"/>
  <c r="Y370" i="5" s="1"/>
  <c r="W434" i="5"/>
  <c r="Y434" i="5" s="1"/>
  <c r="W366" i="5"/>
  <c r="X366" i="5" s="1"/>
  <c r="W400" i="5"/>
  <c r="Y400" i="5" s="1"/>
  <c r="W253" i="5"/>
  <c r="X253" i="5" s="1"/>
  <c r="W369" i="5"/>
  <c r="X369" i="5" s="1"/>
  <c r="W391" i="5"/>
  <c r="X391" i="5" s="1"/>
  <c r="W269" i="5"/>
  <c r="X269" i="5" s="1"/>
  <c r="W444" i="5"/>
  <c r="X444" i="5" s="1"/>
  <c r="W470" i="5"/>
  <c r="Y470" i="5" s="1"/>
  <c r="W495" i="5"/>
  <c r="Y495" i="5" s="1"/>
  <c r="W526" i="5"/>
  <c r="X526" i="5" s="1"/>
  <c r="W353" i="5"/>
  <c r="X353" i="5" s="1"/>
  <c r="W430" i="5"/>
  <c r="X430" i="5" s="1"/>
  <c r="W469" i="5"/>
  <c r="X469" i="5" s="1"/>
  <c r="W507" i="5"/>
  <c r="Y507" i="5" s="1"/>
  <c r="W365" i="5"/>
  <c r="X365" i="5" s="1"/>
  <c r="W453" i="5"/>
  <c r="Y453" i="5" s="1"/>
  <c r="W480" i="5"/>
  <c r="X480" i="5" s="1"/>
  <c r="W516" i="5"/>
  <c r="Y516" i="5" s="1"/>
  <c r="W545" i="5"/>
  <c r="X545" i="5" s="1"/>
  <c r="W462" i="5"/>
  <c r="Y462" i="5" s="1"/>
  <c r="W422" i="5"/>
  <c r="Y422" i="5" s="1"/>
  <c r="W539" i="5"/>
  <c r="X539" i="5" s="1"/>
  <c r="W474" i="5"/>
  <c r="Y474" i="5" s="1"/>
  <c r="W552" i="5"/>
  <c r="Y552" i="5" s="1"/>
  <c r="W425" i="5"/>
  <c r="X425" i="5" s="1"/>
  <c r="W482" i="5"/>
  <c r="Y482" i="5" s="1"/>
  <c r="W533" i="5"/>
  <c r="Y533" i="5" s="1"/>
  <c r="W560" i="5"/>
  <c r="Y560" i="5" s="1"/>
  <c r="W559" i="5"/>
  <c r="Y559" i="5" s="1"/>
  <c r="W459" i="5"/>
  <c r="X459" i="5" s="1"/>
  <c r="W551" i="5"/>
  <c r="Y551" i="5" s="1"/>
  <c r="W534" i="5"/>
  <c r="Y534" i="5" s="1"/>
  <c r="W439" i="5"/>
  <c r="X439" i="5" s="1"/>
  <c r="W512" i="5"/>
  <c r="Y512" i="5" s="1"/>
  <c r="W438" i="5"/>
  <c r="Y438" i="5" s="1"/>
  <c r="W502" i="5"/>
  <c r="X502" i="5" s="1"/>
  <c r="W429" i="5"/>
  <c r="X429" i="5" s="1"/>
  <c r="W520" i="5"/>
  <c r="X520" i="5" s="1"/>
  <c r="W467" i="5"/>
  <c r="X467" i="5" s="1"/>
  <c r="W236" i="5"/>
  <c r="X236" i="5" s="1"/>
  <c r="W354" i="5"/>
  <c r="X354" i="5" s="1"/>
  <c r="W398" i="5"/>
  <c r="Y398" i="5" s="1"/>
  <c r="W427" i="5"/>
  <c r="Y427" i="5" s="1"/>
  <c r="W345" i="5"/>
  <c r="X345" i="5" s="1"/>
  <c r="W301" i="5"/>
  <c r="Y301" i="5" s="1"/>
  <c r="W297" i="5"/>
  <c r="X297" i="5" s="1"/>
  <c r="W223" i="5"/>
  <c r="Y223" i="5" s="1"/>
  <c r="W181" i="5"/>
  <c r="X181" i="5" s="1"/>
  <c r="W123" i="5"/>
  <c r="Y123" i="5" s="1"/>
  <c r="W99" i="5"/>
  <c r="X99" i="5" s="1"/>
  <c r="W27" i="5"/>
  <c r="Y27" i="5" s="1"/>
  <c r="W556" i="5"/>
  <c r="X556" i="5" s="1"/>
  <c r="W452" i="5"/>
  <c r="X452" i="5" s="1"/>
  <c r="W521" i="5"/>
  <c r="X521" i="5" s="1"/>
  <c r="W486" i="5"/>
  <c r="X486" i="5" s="1"/>
  <c r="W310" i="5"/>
  <c r="Y310" i="5" s="1"/>
  <c r="W498" i="5"/>
  <c r="Y498" i="5" s="1"/>
  <c r="W431" i="5"/>
  <c r="Y431" i="5" s="1"/>
  <c r="W491" i="5"/>
  <c r="Y491" i="5" s="1"/>
  <c r="W414" i="5"/>
  <c r="Y414" i="5" s="1"/>
  <c r="W509" i="5"/>
  <c r="Y509" i="5" s="1"/>
  <c r="W461" i="5"/>
  <c r="X461" i="5" s="1"/>
  <c r="W407" i="5"/>
  <c r="X407" i="5" s="1"/>
  <c r="W305" i="5"/>
  <c r="Y305" i="5" s="1"/>
  <c r="W387" i="5"/>
  <c r="Y387" i="5" s="1"/>
  <c r="W401" i="5"/>
  <c r="W328" i="5"/>
  <c r="Y328" i="5" s="1"/>
  <c r="W277" i="5"/>
  <c r="X277" i="5" s="1"/>
  <c r="W275" i="5"/>
  <c r="Y275" i="5" s="1"/>
  <c r="W203" i="5"/>
  <c r="Y203" i="5" s="1"/>
  <c r="W139" i="5"/>
  <c r="W97" i="5"/>
  <c r="X97" i="5" s="1"/>
  <c r="W85" i="5"/>
  <c r="Y85" i="5" s="1"/>
  <c r="W34" i="5"/>
  <c r="Y34" i="5" s="1"/>
  <c r="W530" i="5"/>
  <c r="X530" i="5" s="1"/>
  <c r="W385" i="5"/>
  <c r="X385" i="5" s="1"/>
  <c r="W446" i="5"/>
  <c r="X446" i="5" s="1"/>
  <c r="W388" i="5"/>
  <c r="X388" i="5" s="1"/>
  <c r="W540" i="5"/>
  <c r="Y540" i="5" s="1"/>
  <c r="W475" i="5"/>
  <c r="Y475" i="5" s="1"/>
  <c r="W296" i="5"/>
  <c r="Y296" i="5" s="1"/>
  <c r="W466" i="5"/>
  <c r="X466" i="5" s="1"/>
  <c r="W343" i="5"/>
  <c r="X343" i="5" s="1"/>
  <c r="W490" i="5"/>
  <c r="X490" i="5" s="1"/>
  <c r="W440" i="5"/>
  <c r="X440" i="5" s="1"/>
  <c r="W390" i="5"/>
  <c r="Y390" i="5" s="1"/>
  <c r="W186" i="5"/>
  <c r="X186" i="5" s="1"/>
  <c r="W364" i="5"/>
  <c r="Y364" i="5" s="1"/>
  <c r="W360" i="5"/>
  <c r="Y360" i="5" s="1"/>
  <c r="W288" i="5"/>
  <c r="X288" i="5" s="1"/>
  <c r="W252" i="5"/>
  <c r="X252" i="5" s="1"/>
  <c r="W243" i="5"/>
  <c r="Y243" i="5" s="1"/>
  <c r="W246" i="5"/>
  <c r="X246" i="5" s="1"/>
  <c r="W164" i="5"/>
  <c r="Y164" i="5" s="1"/>
  <c r="W152" i="5"/>
  <c r="Y152" i="5" s="1"/>
  <c r="W58" i="5"/>
  <c r="Y58" i="5" s="1"/>
  <c r="W29" i="5"/>
  <c r="X29" i="5" s="1"/>
  <c r="P20" i="5"/>
  <c r="P43" i="5"/>
  <c r="P35" i="5"/>
  <c r="P27" i="5"/>
  <c r="P54" i="5"/>
  <c r="P66" i="5"/>
  <c r="P57" i="5"/>
  <c r="P47" i="5"/>
  <c r="P21" i="5"/>
  <c r="P75" i="5"/>
  <c r="P82" i="5"/>
  <c r="P56" i="5"/>
  <c r="P83" i="5"/>
  <c r="P97" i="5"/>
  <c r="P108" i="5"/>
  <c r="P102" i="5"/>
  <c r="P114" i="5"/>
  <c r="P140" i="5"/>
  <c r="P159" i="5"/>
  <c r="P122" i="5"/>
  <c r="P152" i="5"/>
  <c r="P131" i="5"/>
  <c r="P151" i="5"/>
  <c r="P155" i="5"/>
  <c r="P175" i="5"/>
  <c r="P94" i="5"/>
  <c r="P139" i="5"/>
  <c r="P176" i="5"/>
  <c r="P147" i="5"/>
  <c r="P171" i="5"/>
  <c r="P187" i="5"/>
  <c r="P196" i="5"/>
  <c r="P189" i="5"/>
  <c r="P221" i="5"/>
  <c r="P246" i="5"/>
  <c r="P156" i="5"/>
  <c r="P36" i="5"/>
  <c r="P33" i="5"/>
  <c r="P24" i="5"/>
  <c r="P48" i="5"/>
  <c r="P63" i="5"/>
  <c r="P45" i="5"/>
  <c r="P32" i="5"/>
  <c r="P65" i="5"/>
  <c r="P67" i="5"/>
  <c r="P76" i="5"/>
  <c r="P93" i="5"/>
  <c r="P51" i="5"/>
  <c r="P92" i="5"/>
  <c r="P107" i="5"/>
  <c r="P100" i="5"/>
  <c r="P106" i="5"/>
  <c r="P138" i="5"/>
  <c r="P157" i="5"/>
  <c r="P111" i="5"/>
  <c r="P145" i="5"/>
  <c r="P123" i="5"/>
  <c r="P142" i="5"/>
  <c r="P118" i="5"/>
  <c r="P172" i="5"/>
  <c r="P185" i="5"/>
  <c r="P136" i="5"/>
  <c r="P170" i="5"/>
  <c r="P126" i="5"/>
  <c r="P167" i="5"/>
  <c r="P186" i="5"/>
  <c r="P194" i="5"/>
  <c r="P184" i="5"/>
  <c r="P219" i="5"/>
  <c r="P233" i="5"/>
  <c r="P252" i="5"/>
  <c r="P204" i="5"/>
  <c r="P217" i="5"/>
  <c r="AN10" i="5"/>
  <c r="AO10" i="5"/>
  <c r="AH10" i="5"/>
  <c r="AI10" i="5"/>
  <c r="AP10" i="5"/>
  <c r="AQ13" i="5"/>
  <c r="AR13" i="5"/>
  <c r="O9" i="5"/>
  <c r="AG9" i="5" s="1"/>
  <c r="W8" i="5"/>
  <c r="W12" i="5"/>
  <c r="W13" i="5"/>
  <c r="W35" i="5"/>
  <c r="Y35" i="5" s="1"/>
  <c r="W21" i="5"/>
  <c r="Y21" i="5" s="1"/>
  <c r="W49" i="5"/>
  <c r="Y49" i="5" s="1"/>
  <c r="W64" i="5"/>
  <c r="Y64" i="5" s="1"/>
  <c r="W65" i="5"/>
  <c r="X65" i="5" s="1"/>
  <c r="W74" i="5"/>
  <c r="Y74" i="5" s="1"/>
  <c r="W73" i="5"/>
  <c r="Y73" i="5" s="1"/>
  <c r="W87" i="5"/>
  <c r="X87" i="5" s="1"/>
  <c r="W119" i="5"/>
  <c r="X119" i="5" s="1"/>
  <c r="W115" i="5"/>
  <c r="Y115" i="5" s="1"/>
  <c r="W110" i="5"/>
  <c r="W134" i="5"/>
  <c r="X134" i="5" s="1"/>
  <c r="W137" i="5"/>
  <c r="Y137" i="5" s="1"/>
  <c r="W171" i="5"/>
  <c r="X171" i="5" s="1"/>
  <c r="W148" i="5"/>
  <c r="X148" i="5" s="1"/>
  <c r="W202" i="5"/>
  <c r="Y202" i="5" s="1"/>
  <c r="W226" i="5"/>
  <c r="Y226" i="5" s="1"/>
  <c r="W172" i="5"/>
  <c r="X172" i="5" s="1"/>
  <c r="W209" i="5"/>
  <c r="X209" i="5" s="1"/>
  <c r="W239" i="5"/>
  <c r="X239" i="5" s="1"/>
  <c r="W229" i="5"/>
  <c r="X229" i="5" s="1"/>
  <c r="W225" i="5"/>
  <c r="Y225" i="5" s="1"/>
  <c r="W283" i="5"/>
  <c r="Y283" i="5" s="1"/>
  <c r="W315" i="5"/>
  <c r="Y315" i="5" s="1"/>
  <c r="W213" i="5"/>
  <c r="X213" i="5" s="1"/>
  <c r="W260" i="5"/>
  <c r="Y260" i="5" s="1"/>
  <c r="W279" i="5"/>
  <c r="X279" i="5" s="1"/>
  <c r="W318" i="5"/>
  <c r="X318" i="5" s="1"/>
  <c r="W251" i="5"/>
  <c r="X251" i="5" s="1"/>
  <c r="W302" i="5"/>
  <c r="Y302" i="5" s="1"/>
  <c r="W333" i="5"/>
  <c r="Y333" i="5" s="1"/>
  <c r="W268" i="5"/>
  <c r="X268" i="5" s="1"/>
  <c r="W351" i="5"/>
  <c r="Y351" i="5" s="1"/>
  <c r="W377" i="5"/>
  <c r="Y377" i="5" s="1"/>
  <c r="W412" i="5"/>
  <c r="X412" i="5" s="1"/>
  <c r="W259" i="5"/>
  <c r="Y259" i="5" s="1"/>
  <c r="W346" i="5"/>
  <c r="X346" i="5" s="1"/>
  <c r="W367" i="5"/>
  <c r="Y367" i="5" s="1"/>
  <c r="W394" i="5"/>
  <c r="X394" i="5" s="1"/>
  <c r="W403" i="5"/>
  <c r="W420" i="5"/>
  <c r="Y420" i="5" s="1"/>
  <c r="W256" i="5"/>
  <c r="Y256" i="5" s="1"/>
  <c r="W341" i="5"/>
  <c r="Y341" i="5" s="1"/>
  <c r="W371" i="5"/>
  <c r="X371" i="5" s="1"/>
  <c r="W380" i="5"/>
  <c r="X380" i="5" s="1"/>
  <c r="W393" i="5"/>
  <c r="Y393" i="5" s="1"/>
  <c r="W409" i="5"/>
  <c r="W281" i="5"/>
  <c r="X281" i="5" s="1"/>
  <c r="W423" i="5"/>
  <c r="X423" i="5" s="1"/>
  <c r="W445" i="5"/>
  <c r="Y445" i="5" s="1"/>
  <c r="W463" i="5"/>
  <c r="W473" i="5"/>
  <c r="X473" i="5" s="1"/>
  <c r="W487" i="5"/>
  <c r="X487" i="5" s="1"/>
  <c r="W497" i="5"/>
  <c r="Y497" i="5" s="1"/>
  <c r="W510" i="5"/>
  <c r="W528" i="5"/>
  <c r="Y528" i="5" s="1"/>
  <c r="W217" i="5"/>
  <c r="X217" i="5" s="1"/>
  <c r="W363" i="5"/>
  <c r="Y363" i="5" s="1"/>
  <c r="W417" i="5"/>
  <c r="X417" i="5" s="1"/>
  <c r="W441" i="5"/>
  <c r="Y441" i="5" s="1"/>
  <c r="W450" i="5"/>
  <c r="X450" i="5" s="1"/>
  <c r="W478" i="5"/>
  <c r="Y478" i="5" s="1"/>
  <c r="W494" i="5"/>
  <c r="X494" i="5" s="1"/>
  <c r="W508" i="5"/>
  <c r="Y508" i="5" s="1"/>
  <c r="W284" i="5"/>
  <c r="X284" i="5" s="1"/>
  <c r="W383" i="5"/>
  <c r="X383" i="5" s="1"/>
  <c r="W433" i="5"/>
  <c r="X433" i="5" s="1"/>
  <c r="W456" i="5"/>
  <c r="X456" i="5" s="1"/>
  <c r="W471" i="5"/>
  <c r="Y471" i="5" s="1"/>
  <c r="W483" i="5"/>
  <c r="Y483" i="5" s="1"/>
  <c r="W501" i="5"/>
  <c r="Y501" i="5" s="1"/>
  <c r="W517" i="5"/>
  <c r="W527" i="5"/>
  <c r="X527" i="5" s="1"/>
  <c r="W550" i="5"/>
  <c r="Y550" i="5" s="1"/>
  <c r="W435" i="5"/>
  <c r="Y435" i="5" s="1"/>
  <c r="W468" i="5"/>
  <c r="Y468" i="5" s="1"/>
  <c r="W557" i="5"/>
  <c r="Y557" i="5" s="1"/>
  <c r="W424" i="5"/>
  <c r="X424" i="5" s="1"/>
  <c r="W511" i="5"/>
  <c r="W541" i="5"/>
  <c r="Y541" i="5" s="1"/>
  <c r="W538" i="5"/>
  <c r="Y538" i="5" s="1"/>
  <c r="W477" i="5"/>
  <c r="X477" i="5" s="1"/>
  <c r="W522" i="5"/>
  <c r="W41" i="5"/>
  <c r="X41" i="5" s="1"/>
  <c r="W31" i="5"/>
  <c r="Y31" i="5" s="1"/>
  <c r="W69" i="5"/>
  <c r="Y69" i="5" s="1"/>
  <c r="W22" i="5"/>
  <c r="X22" i="5" s="1"/>
  <c r="W72" i="5"/>
  <c r="X72" i="5" s="1"/>
  <c r="W86" i="5"/>
  <c r="Y86" i="5" s="1"/>
  <c r="W96" i="5"/>
  <c r="Y96" i="5" s="1"/>
  <c r="W92" i="5"/>
  <c r="X92" i="5" s="1"/>
  <c r="W143" i="5"/>
  <c r="X143" i="5" s="1"/>
  <c r="W126" i="5"/>
  <c r="X126" i="5" s="1"/>
  <c r="W116" i="5"/>
  <c r="X116" i="5" s="1"/>
  <c r="W147" i="5"/>
  <c r="X147" i="5" s="1"/>
  <c r="W160" i="5"/>
  <c r="Y160" i="5" s="1"/>
  <c r="W177" i="5"/>
  <c r="Y177" i="5" s="1"/>
  <c r="W169" i="5"/>
  <c r="X169" i="5" s="1"/>
  <c r="W167" i="5"/>
  <c r="W231" i="5"/>
  <c r="Y231" i="5" s="1"/>
  <c r="W196" i="5"/>
  <c r="X196" i="5" s="1"/>
  <c r="W218" i="5"/>
  <c r="X218" i="5" s="1"/>
  <c r="W189" i="5"/>
  <c r="X189" i="5" s="1"/>
  <c r="W238" i="5"/>
  <c r="Y238" i="5" s="1"/>
  <c r="W235" i="5"/>
  <c r="X235" i="5" s="1"/>
  <c r="W287" i="5"/>
  <c r="X287" i="5" s="1"/>
  <c r="W319" i="5"/>
  <c r="W240" i="5"/>
  <c r="W265" i="5"/>
  <c r="X265" i="5" s="1"/>
  <c r="W289" i="5"/>
  <c r="Y289" i="5" s="1"/>
  <c r="W324" i="5"/>
  <c r="Y324" i="5" s="1"/>
  <c r="W266" i="5"/>
  <c r="X266" i="5" s="1"/>
  <c r="W313" i="5"/>
  <c r="Y313" i="5" s="1"/>
  <c r="W340" i="5"/>
  <c r="Y340" i="5" s="1"/>
  <c r="W298" i="5"/>
  <c r="X298" i="5" s="1"/>
  <c r="W357" i="5"/>
  <c r="X357" i="5" s="1"/>
  <c r="W384" i="5"/>
  <c r="X384" i="5" s="1"/>
  <c r="W416" i="5"/>
  <c r="X416" i="5" s="1"/>
  <c r="W300" i="5"/>
  <c r="W356" i="5"/>
  <c r="W378" i="5"/>
  <c r="Y378" i="5" s="1"/>
  <c r="W397" i="5"/>
  <c r="X397" i="5" s="1"/>
  <c r="W406" i="5"/>
  <c r="W421" i="5"/>
  <c r="X421" i="5" s="1"/>
  <c r="W261" i="5"/>
  <c r="Y261" i="5" s="1"/>
  <c r="W349" i="5"/>
  <c r="Y349" i="5" s="1"/>
  <c r="W372" i="5"/>
  <c r="Y372" i="5" s="1"/>
  <c r="W386" i="5"/>
  <c r="X386" i="5" s="1"/>
  <c r="W396" i="5"/>
  <c r="X396" i="5" s="1"/>
  <c r="W418" i="5"/>
  <c r="X418" i="5" s="1"/>
  <c r="W293" i="5"/>
  <c r="X293" i="5" s="1"/>
  <c r="W426" i="5"/>
  <c r="W449" i="5"/>
  <c r="Y449" i="5" s="1"/>
  <c r="W465" i="5"/>
  <c r="Y465" i="5" s="1"/>
  <c r="W476" i="5"/>
  <c r="W488" i="5"/>
  <c r="Y488" i="5" s="1"/>
  <c r="W503" i="5"/>
  <c r="X503" i="5" s="1"/>
  <c r="W518" i="5"/>
  <c r="X518" i="5" s="1"/>
  <c r="W529" i="5"/>
  <c r="W307" i="5"/>
  <c r="X307" i="5" s="1"/>
  <c r="W402" i="5"/>
  <c r="X402" i="5" s="1"/>
  <c r="W428" i="5"/>
  <c r="Y428" i="5" s="1"/>
  <c r="W443" i="5"/>
  <c r="X443" i="5" s="1"/>
  <c r="W451" i="5"/>
  <c r="Y451" i="5" s="1"/>
  <c r="W481" i="5"/>
  <c r="Y481" i="5" s="1"/>
  <c r="W499" i="5"/>
  <c r="Y499" i="5" s="1"/>
  <c r="W513" i="5"/>
  <c r="X513" i="5" s="1"/>
  <c r="W290" i="5"/>
  <c r="W389" i="5"/>
  <c r="X389" i="5" s="1"/>
  <c r="W436" i="5"/>
  <c r="X436" i="5" s="1"/>
  <c r="W458" i="5"/>
  <c r="W472" i="5"/>
  <c r="Y472" i="5" s="1"/>
  <c r="W485" i="5"/>
  <c r="X485" i="5" s="1"/>
  <c r="W504" i="5"/>
  <c r="Y504" i="5" s="1"/>
  <c r="W519" i="5"/>
  <c r="W537" i="5"/>
  <c r="Y537" i="5" s="1"/>
  <c r="W555" i="5"/>
  <c r="X555" i="5" s="1"/>
  <c r="W437" i="5"/>
  <c r="X437" i="5" s="1"/>
  <c r="W505" i="5"/>
  <c r="Y505" i="5" s="1"/>
  <c r="W547" i="5"/>
  <c r="Y547" i="5" s="1"/>
  <c r="W454" i="5"/>
  <c r="X454" i="5" s="1"/>
  <c r="W532" i="5"/>
  <c r="Y532" i="5" s="1"/>
  <c r="W542" i="5"/>
  <c r="Y542" i="5" s="1"/>
  <c r="W543" i="5"/>
  <c r="W493" i="5"/>
  <c r="X493" i="5" s="1"/>
  <c r="W548" i="5"/>
  <c r="Y548" i="5" s="1"/>
  <c r="AQ12" i="5"/>
  <c r="AR12" i="5"/>
  <c r="Z8" i="5"/>
  <c r="Z12" i="5"/>
  <c r="Z13" i="5"/>
  <c r="S13" i="5"/>
  <c r="R13" i="5"/>
  <c r="R10" i="5"/>
  <c r="S10" i="5"/>
  <c r="W11" i="5"/>
  <c r="Q11" i="5"/>
  <c r="Z11" i="5"/>
  <c r="AM11" i="5"/>
  <c r="T11" i="5"/>
  <c r="AJ11" i="5"/>
  <c r="P12" i="5"/>
  <c r="P13" i="5"/>
  <c r="P11" i="5"/>
  <c r="P8" i="5"/>
  <c r="P9" i="5"/>
  <c r="P10" i="5"/>
  <c r="AK10" i="5"/>
  <c r="AL10" i="5"/>
  <c r="U10" i="5"/>
  <c r="V10" i="5"/>
  <c r="Z34" i="5"/>
  <c r="AA34" i="5" s="1"/>
  <c r="Z540" i="5"/>
  <c r="AB540" i="5" s="1"/>
  <c r="W23" i="5"/>
  <c r="Y23" i="5" s="1"/>
  <c r="P22" i="5"/>
  <c r="P40" i="5"/>
  <c r="P30" i="5"/>
  <c r="P41" i="5"/>
  <c r="P28" i="5"/>
  <c r="P50" i="5"/>
  <c r="P60" i="5"/>
  <c r="P73" i="5"/>
  <c r="P61" i="5"/>
  <c r="P42" i="5"/>
  <c r="P64" i="5"/>
  <c r="P62" i="5"/>
  <c r="P77" i="5"/>
  <c r="P80" i="5"/>
  <c r="P90" i="5"/>
  <c r="P88" i="5"/>
  <c r="P84" i="5"/>
  <c r="P96" i="5"/>
  <c r="P101" i="5"/>
  <c r="P81" i="5"/>
  <c r="P105" i="5"/>
  <c r="P109" i="5"/>
  <c r="P128" i="5"/>
  <c r="P146" i="5"/>
  <c r="P161" i="5"/>
  <c r="P115" i="5"/>
  <c r="P141" i="5"/>
  <c r="P117" i="5"/>
  <c r="P133" i="5"/>
  <c r="P144" i="5"/>
  <c r="P59" i="5"/>
  <c r="P162" i="5"/>
  <c r="P179" i="5"/>
  <c r="P74" i="5"/>
  <c r="P127" i="5"/>
  <c r="P164" i="5"/>
  <c r="P178" i="5"/>
  <c r="P129" i="5"/>
  <c r="P165" i="5"/>
  <c r="P177" i="5"/>
  <c r="P190" i="5"/>
  <c r="P195" i="5"/>
  <c r="P169" i="5"/>
  <c r="P207" i="5"/>
  <c r="P225" i="5"/>
  <c r="P240" i="5"/>
  <c r="P249" i="5"/>
  <c r="P174" i="5"/>
  <c r="P208" i="5"/>
  <c r="P222" i="5"/>
  <c r="P234" i="5"/>
  <c r="P134" i="5"/>
  <c r="P213" i="5"/>
  <c r="P223" i="5"/>
  <c r="P243" i="5"/>
  <c r="P253" i="5"/>
  <c r="P271" i="5"/>
  <c r="P293" i="5"/>
  <c r="P303" i="5"/>
  <c r="P320" i="5"/>
  <c r="P112" i="5"/>
  <c r="P260" i="5"/>
  <c r="P272" i="5"/>
  <c r="P278" i="5"/>
  <c r="P287" i="5"/>
  <c r="P309" i="5"/>
  <c r="P319" i="5"/>
  <c r="P254" i="5"/>
  <c r="P270" i="5"/>
  <c r="P289" i="5"/>
  <c r="P308" i="5"/>
  <c r="P327" i="5"/>
  <c r="P342" i="5"/>
  <c r="P361" i="5"/>
  <c r="P276" i="5"/>
  <c r="P341" i="5"/>
  <c r="P363" i="5"/>
  <c r="P382" i="5"/>
  <c r="P399" i="5"/>
  <c r="P413" i="5"/>
  <c r="P422" i="5"/>
  <c r="P430" i="5"/>
  <c r="P266" i="5"/>
  <c r="P311" i="5"/>
  <c r="P336" i="5"/>
  <c r="Z482" i="5"/>
  <c r="AB482" i="5" s="1"/>
  <c r="Z244" i="5"/>
  <c r="Z497" i="5"/>
  <c r="Z426" i="5"/>
  <c r="AA426" i="5" s="1"/>
  <c r="Z232" i="5"/>
  <c r="AA232" i="5" s="1"/>
  <c r="Z559" i="5"/>
  <c r="Z308" i="5"/>
  <c r="Z94" i="5"/>
  <c r="Z488" i="5"/>
  <c r="Z276" i="5"/>
  <c r="Z110" i="5"/>
  <c r="AA110" i="5" s="1"/>
  <c r="Z551" i="5"/>
  <c r="AA551" i="5" s="1"/>
  <c r="Z491" i="5"/>
  <c r="AB491" i="5" s="1"/>
  <c r="Z428" i="5"/>
  <c r="Z424" i="5"/>
  <c r="Z373" i="5"/>
  <c r="AB373" i="5" s="1"/>
  <c r="Z249" i="5"/>
  <c r="AB249" i="5" s="1"/>
  <c r="Z79" i="5"/>
  <c r="AA79" i="5" s="1"/>
  <c r="Z534" i="5"/>
  <c r="Z512" i="5"/>
  <c r="Z470" i="5"/>
  <c r="Z359" i="5"/>
  <c r="Z229" i="5"/>
  <c r="Z160" i="5"/>
  <c r="AA160" i="5" s="1"/>
  <c r="Z22" i="5"/>
  <c r="AA22" i="5" s="1"/>
  <c r="Z496" i="5"/>
  <c r="Z480" i="5"/>
  <c r="Z552" i="5"/>
  <c r="Z543" i="5"/>
  <c r="Z372" i="5"/>
  <c r="Z381" i="5"/>
  <c r="Z211" i="5"/>
  <c r="AA211" i="5" s="1"/>
  <c r="Z413" i="5"/>
  <c r="AB413" i="5" s="1"/>
  <c r="Z353" i="5"/>
  <c r="Z296" i="5"/>
  <c r="Z210" i="5"/>
  <c r="Z162" i="5"/>
  <c r="AB162" i="5" s="1"/>
  <c r="Z64" i="5"/>
  <c r="W241" i="5"/>
  <c r="W197" i="5"/>
  <c r="X197" i="5" s="1"/>
  <c r="W191" i="5"/>
  <c r="Y191" i="5" s="1"/>
  <c r="W163" i="5"/>
  <c r="W179" i="5"/>
  <c r="W168" i="5"/>
  <c r="W112" i="5"/>
  <c r="W140" i="5"/>
  <c r="Y140" i="5" s="1"/>
  <c r="W118" i="5"/>
  <c r="Y118" i="5" s="1"/>
  <c r="W141" i="5"/>
  <c r="X141" i="5" s="1"/>
  <c r="W108" i="5"/>
  <c r="Y108" i="5" s="1"/>
  <c r="W130" i="5"/>
  <c r="W95" i="5"/>
  <c r="W106" i="5"/>
  <c r="X106" i="5" s="1"/>
  <c r="W91" i="5"/>
  <c r="Y91" i="5" s="1"/>
  <c r="W81" i="5"/>
  <c r="X81" i="5" s="1"/>
  <c r="W79" i="5"/>
  <c r="W50" i="5"/>
  <c r="Y50" i="5" s="1"/>
  <c r="W53" i="5"/>
  <c r="X53" i="5" s="1"/>
  <c r="W60" i="5"/>
  <c r="Y60" i="5" s="1"/>
  <c r="W39" i="5"/>
  <c r="W33" i="5"/>
  <c r="X33" i="5" s="1"/>
  <c r="Z550" i="5"/>
  <c r="Z434" i="5"/>
  <c r="Z549" i="5"/>
  <c r="AB549" i="5" s="1"/>
  <c r="Z502" i="5"/>
  <c r="Z495" i="5"/>
  <c r="AB495" i="5" s="1"/>
  <c r="Z504" i="5"/>
  <c r="AB504" i="5" s="1"/>
  <c r="Z382" i="5"/>
  <c r="Z371" i="5"/>
  <c r="Z278" i="5"/>
  <c r="AA278" i="5" s="1"/>
  <c r="Z223" i="5"/>
  <c r="Z136" i="5"/>
  <c r="AB136" i="5" s="1"/>
  <c r="Z104" i="5"/>
  <c r="AB104" i="5" s="1"/>
  <c r="Z44" i="5"/>
  <c r="AB44" i="5" s="1"/>
  <c r="W20" i="5"/>
  <c r="W37" i="5"/>
  <c r="X37" i="5" s="1"/>
  <c r="W30" i="5"/>
  <c r="X30" i="5" s="1"/>
  <c r="W46" i="5"/>
  <c r="W32" i="5"/>
  <c r="Y32" i="5" s="1"/>
  <c r="W51" i="5"/>
  <c r="X51" i="5" s="1"/>
  <c r="W57" i="5"/>
  <c r="W71" i="5"/>
  <c r="W52" i="5"/>
  <c r="W68" i="5"/>
  <c r="X68" i="5" s="1"/>
  <c r="W48" i="5"/>
  <c r="X48" i="5" s="1"/>
  <c r="W62" i="5"/>
  <c r="W75" i="5"/>
  <c r="X75" i="5" s="1"/>
  <c r="W70" i="5"/>
  <c r="X70" i="5" s="1"/>
  <c r="W77" i="5"/>
  <c r="X77" i="5" s="1"/>
  <c r="W90" i="5"/>
  <c r="X90" i="5" s="1"/>
  <c r="W88" i="5"/>
  <c r="W82" i="5"/>
  <c r="X82" i="5" s="1"/>
  <c r="W104" i="5"/>
  <c r="Y104" i="5" s="1"/>
  <c r="W84" i="5"/>
  <c r="X84" i="5" s="1"/>
  <c r="W93" i="5"/>
  <c r="X93" i="5" s="1"/>
  <c r="W105" i="5"/>
  <c r="X105" i="5" s="1"/>
  <c r="W122" i="5"/>
  <c r="Y122" i="5" s="1"/>
  <c r="W146" i="5"/>
  <c r="Y146" i="5" s="1"/>
  <c r="W159" i="5"/>
  <c r="W121" i="5"/>
  <c r="X121" i="5" s="1"/>
  <c r="W136" i="5"/>
  <c r="Y136" i="5" s="1"/>
  <c r="W101" i="5"/>
  <c r="Y101" i="5" s="1"/>
  <c r="W117" i="5"/>
  <c r="Y117" i="5" s="1"/>
  <c r="W125" i="5"/>
  <c r="Y125" i="5" s="1"/>
  <c r="W135" i="5"/>
  <c r="Y135" i="5" s="1"/>
  <c r="W149" i="5"/>
  <c r="W155" i="5"/>
  <c r="W156" i="5"/>
  <c r="Y156" i="5" s="1"/>
  <c r="W166" i="5"/>
  <c r="Y166" i="5" s="1"/>
  <c r="W180" i="5"/>
  <c r="X180" i="5" s="1"/>
  <c r="W178" i="5"/>
  <c r="Y178" i="5" s="1"/>
  <c r="W124" i="5"/>
  <c r="Y124" i="5" s="1"/>
  <c r="W151" i="5"/>
  <c r="Y151" i="5" s="1"/>
  <c r="W170" i="5"/>
  <c r="Y170" i="5" s="1"/>
  <c r="W188" i="5"/>
  <c r="W205" i="5"/>
  <c r="X205" i="5" s="1"/>
  <c r="W195" i="5"/>
  <c r="Y195" i="5" s="1"/>
  <c r="W219" i="5"/>
  <c r="W237" i="5"/>
  <c r="X237" i="5" s="1"/>
  <c r="W247" i="5"/>
  <c r="Y247" i="5" s="1"/>
  <c r="W175" i="5"/>
  <c r="X175" i="5" s="1"/>
  <c r="W201" i="5"/>
  <c r="W215" i="5"/>
  <c r="W224" i="5"/>
  <c r="Y224" i="5" s="1"/>
  <c r="W245" i="5"/>
  <c r="X245" i="5" s="1"/>
  <c r="W212" i="5"/>
  <c r="Y212" i="5" s="1"/>
  <c r="W232" i="5"/>
  <c r="W129" i="5"/>
  <c r="Y129" i="5" s="1"/>
  <c r="W230" i="5"/>
  <c r="X230" i="5" s="1"/>
  <c r="W272" i="5"/>
  <c r="Y272" i="5" s="1"/>
  <c r="W286" i="5"/>
  <c r="W304" i="5"/>
  <c r="Y304" i="5" s="1"/>
  <c r="W317" i="5"/>
  <c r="Y317" i="5" s="1"/>
  <c r="W330" i="5"/>
  <c r="X330" i="5" s="1"/>
  <c r="W221" i="5"/>
  <c r="X221" i="5" s="1"/>
  <c r="W254" i="5"/>
  <c r="Y254" i="5" s="1"/>
  <c r="W263" i="5"/>
  <c r="Y263" i="5" s="1"/>
  <c r="W274" i="5"/>
  <c r="X274" i="5" s="1"/>
  <c r="W282" i="5"/>
  <c r="W306" i="5"/>
  <c r="Y306" i="5" s="1"/>
  <c r="W322" i="5"/>
  <c r="W185" i="5"/>
  <c r="X185" i="5" s="1"/>
  <c r="W258" i="5"/>
  <c r="X258" i="5" s="1"/>
  <c r="W291" i="5"/>
  <c r="Y291" i="5" s="1"/>
  <c r="W311" i="5"/>
  <c r="Y311" i="5" s="1"/>
  <c r="W325" i="5"/>
  <c r="Y325" i="5" s="1"/>
  <c r="W336" i="5"/>
  <c r="W347" i="5"/>
  <c r="X347" i="5" s="1"/>
  <c r="W271" i="5"/>
  <c r="Y271" i="5" s="1"/>
  <c r="W338" i="5"/>
  <c r="W352" i="5"/>
  <c r="X352" i="5" s="1"/>
  <c r="W368" i="5"/>
  <c r="Y368" i="5" s="1"/>
  <c r="W382" i="5"/>
  <c r="Y382" i="5" s="1"/>
  <c r="W399" i="5"/>
  <c r="X399" i="5" s="1"/>
  <c r="W413" i="5"/>
  <c r="W432" i="5"/>
  <c r="Y432" i="5" s="1"/>
  <c r="W264" i="5"/>
  <c r="X264" i="5" s="1"/>
  <c r="W334" i="5"/>
  <c r="W350" i="5"/>
  <c r="Y350" i="5" s="1"/>
  <c r="W25" i="5"/>
  <c r="Y25" i="5" s="1"/>
  <c r="W28" i="5"/>
  <c r="X28" i="5" s="1"/>
  <c r="W38" i="5"/>
  <c r="W24" i="5"/>
  <c r="Y24" i="5" s="1"/>
  <c r="W42" i="5"/>
  <c r="W47" i="5"/>
  <c r="X47" i="5" s="1"/>
  <c r="W61" i="5"/>
  <c r="X61" i="5" s="1"/>
  <c r="W36" i="5"/>
  <c r="Y36" i="5" s="1"/>
  <c r="W54" i="5"/>
  <c r="W26" i="5"/>
  <c r="X26" i="5" s="1"/>
  <c r="W56" i="5"/>
  <c r="W67" i="5"/>
  <c r="W55" i="5"/>
  <c r="X55" i="5" s="1"/>
  <c r="W80" i="5"/>
  <c r="W83" i="5"/>
  <c r="W78" i="5"/>
  <c r="W63" i="5"/>
  <c r="X63" i="5" s="1"/>
  <c r="W98" i="5"/>
  <c r="X98" i="5" s="1"/>
  <c r="W109" i="5"/>
  <c r="W89" i="5"/>
  <c r="W100" i="5"/>
  <c r="W114" i="5"/>
  <c r="Y114" i="5" s="1"/>
  <c r="W138" i="5"/>
  <c r="W157" i="5"/>
  <c r="X157" i="5" s="1"/>
  <c r="W113" i="5"/>
  <c r="W127" i="5"/>
  <c r="X127" i="5" s="1"/>
  <c r="W145" i="5"/>
  <c r="W111" i="5"/>
  <c r="W120" i="5"/>
  <c r="Y120" i="5" s="1"/>
  <c r="W133" i="5"/>
  <c r="Y133" i="5" s="1"/>
  <c r="W144" i="5"/>
  <c r="W153" i="5"/>
  <c r="W131" i="5"/>
  <c r="X131" i="5" s="1"/>
  <c r="W162" i="5"/>
  <c r="X162" i="5" s="1"/>
  <c r="W174" i="5"/>
  <c r="W173" i="5"/>
  <c r="W183" i="5"/>
  <c r="W142" i="5"/>
  <c r="X142" i="5" s="1"/>
  <c r="W165" i="5"/>
  <c r="Y165" i="5" s="1"/>
  <c r="W182" i="5"/>
  <c r="W199" i="5"/>
  <c r="W187" i="5"/>
  <c r="X187" i="5" s="1"/>
  <c r="W204" i="5"/>
  <c r="W228" i="5"/>
  <c r="W244" i="5"/>
  <c r="X244" i="5" s="1"/>
  <c r="W161" i="5"/>
  <c r="Y161" i="5" s="1"/>
  <c r="W198" i="5"/>
  <c r="W208" i="5"/>
  <c r="W220" i="5"/>
  <c r="X220" i="5" s="1"/>
  <c r="W234" i="5"/>
  <c r="X234" i="5" s="1"/>
  <c r="W193" i="5"/>
  <c r="W222" i="5"/>
  <c r="Y222" i="5" s="1"/>
  <c r="W242" i="5"/>
  <c r="W210" i="5"/>
  <c r="Y210" i="5" s="1"/>
  <c r="W262" i="5"/>
  <c r="W280" i="5"/>
  <c r="Y280" i="5" s="1"/>
  <c r="W294" i="5"/>
  <c r="W312" i="5"/>
  <c r="Y312" i="5" s="1"/>
  <c r="W326" i="5"/>
  <c r="X326" i="5" s="1"/>
  <c r="W192" i="5"/>
  <c r="W249" i="5"/>
  <c r="X249" i="5" s="1"/>
  <c r="W257" i="5"/>
  <c r="W270" i="5"/>
  <c r="W278" i="5"/>
  <c r="W295" i="5"/>
  <c r="Y295" i="5" s="1"/>
  <c r="W314" i="5"/>
  <c r="X314" i="5" s="1"/>
  <c r="W327" i="5"/>
  <c r="Y327" i="5" s="1"/>
  <c r="W250" i="5"/>
  <c r="W276" i="5"/>
  <c r="W299" i="5"/>
  <c r="X299" i="5" s="1"/>
  <c r="W316" i="5"/>
  <c r="Y316" i="5" s="1"/>
  <c r="W331" i="5"/>
  <c r="W344" i="5"/>
  <c r="W359" i="5"/>
  <c r="X359" i="5" s="1"/>
  <c r="W321" i="5"/>
  <c r="X321" i="5" s="1"/>
  <c r="W348" i="5"/>
  <c r="Y348" i="5" s="1"/>
  <c r="W358" i="5"/>
  <c r="X358" i="5" s="1"/>
  <c r="W374" i="5"/>
  <c r="X374" i="5" s="1"/>
  <c r="W392" i="5"/>
  <c r="W408" i="5"/>
  <c r="Y408" i="5" s="1"/>
  <c r="W419" i="5"/>
  <c r="X419" i="5" s="1"/>
  <c r="W233" i="5"/>
  <c r="X233" i="5" s="1"/>
  <c r="W303" i="5"/>
  <c r="Y303" i="5" s="1"/>
  <c r="W342" i="5"/>
  <c r="W362" i="5"/>
  <c r="Z485" i="5"/>
  <c r="Z532" i="5"/>
  <c r="Z464" i="5"/>
  <c r="Z529" i="5"/>
  <c r="AB529" i="5" s="1"/>
  <c r="Z535" i="5"/>
  <c r="Z448" i="5"/>
  <c r="Z538" i="5"/>
  <c r="Z469" i="5"/>
  <c r="AB469" i="5" s="1"/>
  <c r="Z246" i="5"/>
  <c r="AB246" i="5" s="1"/>
  <c r="Z463" i="5"/>
  <c r="Z313" i="5"/>
  <c r="Z474" i="5"/>
  <c r="AA474" i="5" s="1"/>
  <c r="Z415" i="5"/>
  <c r="AA415" i="5" s="1"/>
  <c r="Z350" i="5"/>
  <c r="Z401" i="5"/>
  <c r="Z431" i="5"/>
  <c r="AB431" i="5" s="1"/>
  <c r="Z334" i="5"/>
  <c r="AA334" i="5" s="1"/>
  <c r="Z317" i="5"/>
  <c r="Z271" i="5"/>
  <c r="AA271" i="5" s="1"/>
  <c r="Z226" i="5"/>
  <c r="Z182" i="5"/>
  <c r="AA182" i="5" s="1"/>
  <c r="Z186" i="5"/>
  <c r="Z150" i="5"/>
  <c r="AA150" i="5" s="1"/>
  <c r="Z95" i="5"/>
  <c r="AA95" i="5" s="1"/>
  <c r="Z52" i="5"/>
  <c r="AA52" i="5" s="1"/>
  <c r="Z43" i="5"/>
  <c r="Z19" i="5"/>
  <c r="AA19" i="5" s="1"/>
  <c r="Z554" i="5"/>
  <c r="Z514" i="5"/>
  <c r="Z436" i="5"/>
  <c r="AB436" i="5" s="1"/>
  <c r="Z501" i="5"/>
  <c r="Z555" i="5"/>
  <c r="AA555" i="5" s="1"/>
  <c r="Z342" i="5"/>
  <c r="Z513" i="5"/>
  <c r="Z443" i="5"/>
  <c r="AB443" i="5" s="1"/>
  <c r="Z509" i="5"/>
  <c r="AA509" i="5" s="1"/>
  <c r="Z446" i="5"/>
  <c r="Z525" i="5"/>
  <c r="Z453" i="5"/>
  <c r="AA453" i="5" s="1"/>
  <c r="Z397" i="5"/>
  <c r="AB397" i="5" s="1"/>
  <c r="Z328" i="5"/>
  <c r="Z384" i="5"/>
  <c r="AA384" i="5" s="1"/>
  <c r="Z390" i="5"/>
  <c r="AA390" i="5" s="1"/>
  <c r="Z295" i="5"/>
  <c r="Z272" i="5"/>
  <c r="Z216" i="5"/>
  <c r="Z169" i="5"/>
  <c r="Z178" i="5"/>
  <c r="AB178" i="5" s="1"/>
  <c r="Z137" i="5"/>
  <c r="Z120" i="5"/>
  <c r="AB120" i="5" s="1"/>
  <c r="Z76" i="5"/>
  <c r="Z58" i="5"/>
  <c r="Z528" i="5"/>
  <c r="AA528" i="5" s="1"/>
  <c r="Z456" i="5"/>
  <c r="Z546" i="5"/>
  <c r="AB546" i="5" s="1"/>
  <c r="Z527" i="5"/>
  <c r="AA527" i="5" s="1"/>
  <c r="Z490" i="5"/>
  <c r="Z460" i="5"/>
  <c r="Z545" i="5"/>
  <c r="AB545" i="5" s="1"/>
  <c r="Z523" i="5"/>
  <c r="Z475" i="5"/>
  <c r="Z560" i="5"/>
  <c r="Z526" i="5"/>
  <c r="Z433" i="5"/>
  <c r="Z557" i="5"/>
  <c r="Z536" i="5"/>
  <c r="Z499" i="5"/>
  <c r="AB499" i="5" s="1"/>
  <c r="Z466" i="5"/>
  <c r="Z427" i="5"/>
  <c r="Z521" i="5"/>
  <c r="Z484" i="5"/>
  <c r="Z461" i="5"/>
  <c r="Z405" i="5"/>
  <c r="Z258" i="5"/>
  <c r="AA258" i="5" s="1"/>
  <c r="Z500" i="5"/>
  <c r="Z468" i="5"/>
  <c r="AA468" i="5" s="1"/>
  <c r="Z391" i="5"/>
  <c r="AB391" i="5" s="1"/>
  <c r="Z406" i="5"/>
  <c r="Z378" i="5"/>
  <c r="Z348" i="5"/>
  <c r="AA348" i="5" s="1"/>
  <c r="Z266" i="5"/>
  <c r="AB266" i="5" s="1"/>
  <c r="Z399" i="5"/>
  <c r="AA399" i="5" s="1"/>
  <c r="Z370" i="5"/>
  <c r="Z423" i="5"/>
  <c r="AB423" i="5" s="1"/>
  <c r="Z363" i="5"/>
  <c r="AA363" i="5" s="1"/>
  <c r="Z322" i="5"/>
  <c r="AA322" i="5" s="1"/>
  <c r="Z273" i="5"/>
  <c r="AB273" i="5" s="1"/>
  <c r="Z298" i="5"/>
  <c r="AA298" i="5" s="1"/>
  <c r="Z323" i="5"/>
  <c r="AA323" i="5" s="1"/>
  <c r="Z261" i="5"/>
  <c r="AB261" i="5" s="1"/>
  <c r="Z215" i="5"/>
  <c r="AB215" i="5" s="1"/>
  <c r="Z205" i="5"/>
  <c r="Z235" i="5"/>
  <c r="AA235" i="5" s="1"/>
  <c r="Z207" i="5"/>
  <c r="Z109" i="5"/>
  <c r="AA109" i="5" s="1"/>
  <c r="Z172" i="5"/>
  <c r="AB172" i="5" s="1"/>
  <c r="Z152" i="5"/>
  <c r="AB152" i="5" s="1"/>
  <c r="Z144" i="5"/>
  <c r="AA144" i="5" s="1"/>
  <c r="Z105" i="5"/>
  <c r="AA105" i="5" s="1"/>
  <c r="Z84" i="5"/>
  <c r="AB84" i="5" s="1"/>
  <c r="Z71" i="5"/>
  <c r="Z69" i="5"/>
  <c r="Z30" i="5"/>
  <c r="AB30" i="5" s="1"/>
  <c r="Z47" i="5"/>
  <c r="Z35" i="5"/>
  <c r="Z46" i="5"/>
  <c r="AB46" i="5" s="1"/>
  <c r="Z73" i="5"/>
  <c r="AA73" i="5" s="1"/>
  <c r="Z53" i="5"/>
  <c r="Z77" i="5"/>
  <c r="Z42" i="5"/>
  <c r="AB42" i="5" s="1"/>
  <c r="Z87" i="5"/>
  <c r="AB87" i="5" s="1"/>
  <c r="Z88" i="5"/>
  <c r="Z97" i="5"/>
  <c r="Z111" i="5"/>
  <c r="AB111" i="5" s="1"/>
  <c r="Z131" i="5"/>
  <c r="Z153" i="5"/>
  <c r="AB153" i="5" s="1"/>
  <c r="Z130" i="5"/>
  <c r="AA130" i="5" s="1"/>
  <c r="Z100" i="5"/>
  <c r="AA100" i="5" s="1"/>
  <c r="Z151" i="5"/>
  <c r="AB151" i="5" s="1"/>
  <c r="Z99" i="5"/>
  <c r="Z174" i="5"/>
  <c r="AA174" i="5" s="1"/>
  <c r="Z145" i="5"/>
  <c r="AB145" i="5" s="1"/>
  <c r="Z193" i="5"/>
  <c r="AA193" i="5" s="1"/>
  <c r="Z190" i="5"/>
  <c r="Z222" i="5"/>
  <c r="AB222" i="5" s="1"/>
  <c r="Z250" i="5"/>
  <c r="AA250" i="5" s="1"/>
  <c r="Z194" i="5"/>
  <c r="AB194" i="5" s="1"/>
  <c r="Z228" i="5"/>
  <c r="Z200" i="5"/>
  <c r="AB200" i="5" s="1"/>
  <c r="Z224" i="5"/>
  <c r="AB224" i="5" s="1"/>
  <c r="Z247" i="5"/>
  <c r="Z281" i="5"/>
  <c r="Z305" i="5"/>
  <c r="AA305" i="5" s="1"/>
  <c r="Z248" i="5"/>
  <c r="AB248" i="5" s="1"/>
  <c r="Z284" i="5"/>
  <c r="AB284" i="5" s="1"/>
  <c r="Z326" i="5"/>
  <c r="Z260" i="5"/>
  <c r="AA260" i="5" s="1"/>
  <c r="Z279" i="5"/>
  <c r="Z312" i="5"/>
  <c r="AA312" i="5" s="1"/>
  <c r="Z337" i="5"/>
  <c r="AA337" i="5" s="1"/>
  <c r="Z318" i="5"/>
  <c r="Z375" i="5"/>
  <c r="Z414" i="5"/>
  <c r="AB414" i="5" s="1"/>
  <c r="Z435" i="5"/>
  <c r="Z338" i="5"/>
  <c r="AB338" i="5" s="1"/>
  <c r="Z377" i="5"/>
  <c r="Z392" i="5"/>
  <c r="Z408" i="5"/>
  <c r="Z419" i="5"/>
  <c r="AA419" i="5" s="1"/>
  <c r="Z311" i="5"/>
  <c r="Z344" i="5"/>
  <c r="Z356" i="5"/>
  <c r="Z366" i="5"/>
  <c r="Z388" i="5"/>
  <c r="Z400" i="5"/>
  <c r="Z420" i="5"/>
  <c r="Z367" i="5"/>
  <c r="Z437" i="5"/>
  <c r="Z459" i="5"/>
  <c r="Z477" i="5"/>
  <c r="Z492" i="5"/>
  <c r="Z505" i="5"/>
  <c r="Z537" i="5"/>
  <c r="Z341" i="5"/>
  <c r="AB341" i="5" s="1"/>
  <c r="Z393" i="5"/>
  <c r="Z432" i="5"/>
  <c r="Z454" i="5"/>
  <c r="Z465" i="5"/>
  <c r="Z476" i="5"/>
  <c r="AB476" i="5" s="1"/>
  <c r="Z503" i="5"/>
  <c r="Z519" i="5"/>
  <c r="Z327" i="5"/>
  <c r="Z407" i="5"/>
  <c r="AB407" i="5" s="1"/>
  <c r="Z429" i="5"/>
  <c r="Z450" i="5"/>
  <c r="Z481" i="5"/>
  <c r="AB481" i="5" s="1"/>
  <c r="Z493" i="5"/>
  <c r="Z508" i="5"/>
  <c r="Z522" i="5"/>
  <c r="AA522" i="5" s="1"/>
  <c r="Z539" i="5"/>
  <c r="Z548" i="5"/>
  <c r="Z316" i="5"/>
  <c r="Z362" i="5"/>
  <c r="Z458" i="5"/>
  <c r="Z31" i="5"/>
  <c r="AA31" i="5" s="1"/>
  <c r="Z20" i="5"/>
  <c r="AA20" i="5" s="1"/>
  <c r="Z29" i="5"/>
  <c r="AB29" i="5" s="1"/>
  <c r="Z39" i="5"/>
  <c r="AA39" i="5" s="1"/>
  <c r="Z60" i="5"/>
  <c r="AB60" i="5" s="1"/>
  <c r="Z61" i="5"/>
  <c r="AA61" i="5" s="1"/>
  <c r="Z65" i="5"/>
  <c r="AB65" i="5" s="1"/>
  <c r="Z70" i="5"/>
  <c r="Z83" i="5"/>
  <c r="AB83" i="5" s="1"/>
  <c r="Z108" i="5"/>
  <c r="AA108" i="5" s="1"/>
  <c r="Z103" i="5"/>
  <c r="AA103" i="5" s="1"/>
  <c r="Z118" i="5"/>
  <c r="AB118" i="5" s="1"/>
  <c r="Z140" i="5"/>
  <c r="AB140" i="5" s="1"/>
  <c r="Z161" i="5"/>
  <c r="AB161" i="5" s="1"/>
  <c r="Z146" i="5"/>
  <c r="AA146" i="5" s="1"/>
  <c r="Z129" i="5"/>
  <c r="Z167" i="5"/>
  <c r="AB167" i="5" s="1"/>
  <c r="Z159" i="5"/>
  <c r="AB159" i="5" s="1"/>
  <c r="Z106" i="5"/>
  <c r="AA106" i="5" s="1"/>
  <c r="Z177" i="5"/>
  <c r="Z203" i="5"/>
  <c r="AB203" i="5" s="1"/>
  <c r="Z206" i="5"/>
  <c r="Z233" i="5"/>
  <c r="AA233" i="5" s="1"/>
  <c r="Z132" i="5"/>
  <c r="Z204" i="5"/>
  <c r="AB204" i="5" s="1"/>
  <c r="Z241" i="5"/>
  <c r="AB241" i="5" s="1"/>
  <c r="Z209" i="5"/>
  <c r="Z239" i="5"/>
  <c r="Z259" i="5"/>
  <c r="Z291" i="5"/>
  <c r="AA291" i="5" s="1"/>
  <c r="Z321" i="5"/>
  <c r="AA321" i="5" s="1"/>
  <c r="Z268" i="5"/>
  <c r="Z294" i="5"/>
  <c r="AB294" i="5" s="1"/>
  <c r="Z212" i="5"/>
  <c r="AB212" i="5" s="1"/>
  <c r="Z270" i="5"/>
  <c r="AA270" i="5" s="1"/>
  <c r="Z289" i="5"/>
  <c r="Z320" i="5"/>
  <c r="Z351" i="5"/>
  <c r="Z347" i="5"/>
  <c r="AB347" i="5" s="1"/>
  <c r="Z385" i="5"/>
  <c r="Z422" i="5"/>
  <c r="AB422" i="5" s="1"/>
  <c r="Z442" i="5"/>
  <c r="Z360" i="5"/>
  <c r="Z380" i="5"/>
  <c r="Z395" i="5"/>
  <c r="Z412" i="5"/>
  <c r="AB412" i="5" s="1"/>
  <c r="Z251" i="5"/>
  <c r="Z325" i="5"/>
  <c r="AA325" i="5" s="1"/>
  <c r="Z345" i="5"/>
  <c r="Z358" i="5"/>
  <c r="AB358" i="5" s="1"/>
  <c r="Z374" i="5"/>
  <c r="AB374" i="5" s="1"/>
  <c r="Z394" i="5"/>
  <c r="Z403" i="5"/>
  <c r="AA403" i="5" s="1"/>
  <c r="Z421" i="5"/>
  <c r="Z376" i="5"/>
  <c r="Z452" i="5"/>
  <c r="Z462" i="5"/>
  <c r="Z478" i="5"/>
  <c r="Z498" i="5"/>
  <c r="Z507" i="5"/>
  <c r="Z189" i="5"/>
  <c r="Z355" i="5"/>
  <c r="Z396" i="5"/>
  <c r="Z444" i="5"/>
  <c r="AA444" i="5" s="1"/>
  <c r="Z455" i="5"/>
  <c r="Z467" i="5"/>
  <c r="Z479" i="5"/>
  <c r="Z506" i="5"/>
  <c r="Z520" i="5"/>
  <c r="Z349" i="5"/>
  <c r="Z410" i="5"/>
  <c r="Z441" i="5"/>
  <c r="Z451" i="5"/>
  <c r="AA451" i="5" s="1"/>
  <c r="Z487" i="5"/>
  <c r="Z494" i="5"/>
  <c r="Z510" i="5"/>
  <c r="Z530" i="5"/>
  <c r="Z541" i="5"/>
  <c r="Z553" i="5"/>
  <c r="Z340" i="5"/>
  <c r="Z368" i="5"/>
  <c r="AA368" i="5" s="1"/>
  <c r="Z472" i="5"/>
  <c r="Z533" i="5"/>
  <c r="Z558" i="5"/>
  <c r="Z447" i="5"/>
  <c r="Z517" i="5"/>
  <c r="Z409" i="5"/>
  <c r="Z542" i="5"/>
  <c r="Z524" i="5"/>
  <c r="Z483" i="5"/>
  <c r="Z438" i="5"/>
  <c r="Z547" i="5"/>
  <c r="Z515" i="5"/>
  <c r="Z471" i="5"/>
  <c r="Z556" i="5"/>
  <c r="Z516" i="5"/>
  <c r="Z354" i="5"/>
  <c r="Z544" i="5"/>
  <c r="AB544" i="5" s="1"/>
  <c r="Z518" i="5"/>
  <c r="AB518" i="5" s="1"/>
  <c r="Z489" i="5"/>
  <c r="AB489" i="5" s="1"/>
  <c r="Z445" i="5"/>
  <c r="Z386" i="5"/>
  <c r="Z511" i="5"/>
  <c r="AB511" i="5" s="1"/>
  <c r="Z473" i="5"/>
  <c r="Z449" i="5"/>
  <c r="Z387" i="5"/>
  <c r="AA387" i="5" s="1"/>
  <c r="Z531" i="5"/>
  <c r="Z486" i="5"/>
  <c r="AA486" i="5" s="1"/>
  <c r="Z457" i="5"/>
  <c r="Z299" i="5"/>
  <c r="Z398" i="5"/>
  <c r="AB398" i="5" s="1"/>
  <c r="Z364" i="5"/>
  <c r="AB364" i="5" s="1"/>
  <c r="Z336" i="5"/>
  <c r="Z416" i="5"/>
  <c r="AA416" i="5" s="1"/>
  <c r="Z389" i="5"/>
  <c r="AA389" i="5" s="1"/>
  <c r="Z335" i="5"/>
  <c r="AA335" i="5" s="1"/>
  <c r="Z411" i="5"/>
  <c r="Z304" i="5"/>
  <c r="AB304" i="5" s="1"/>
  <c r="Z306" i="5"/>
  <c r="Z257" i="5"/>
  <c r="AA257" i="5" s="1"/>
  <c r="Z283" i="5"/>
  <c r="Z303" i="5"/>
  <c r="AB303" i="5" s="1"/>
  <c r="Z245" i="5"/>
  <c r="Z199" i="5"/>
  <c r="AB199" i="5" s="1"/>
  <c r="Z188" i="5"/>
  <c r="AB188" i="5" s="1"/>
  <c r="Z221" i="5"/>
  <c r="AA221" i="5" s="1"/>
  <c r="Z187" i="5"/>
  <c r="AA187" i="5" s="1"/>
  <c r="Z168" i="5"/>
  <c r="AB168" i="5" s="1"/>
  <c r="Z148" i="5"/>
  <c r="Z122" i="5"/>
  <c r="AA122" i="5" s="1"/>
  <c r="Z128" i="5"/>
  <c r="Z96" i="5"/>
  <c r="AA96" i="5" s="1"/>
  <c r="Z85" i="5"/>
  <c r="Z56" i="5"/>
  <c r="AB56" i="5" s="1"/>
  <c r="Z66" i="5"/>
  <c r="Z26" i="5"/>
  <c r="AA26" i="5" s="1"/>
  <c r="Z36" i="5"/>
  <c r="AB36" i="5" s="1"/>
  <c r="Z48" i="5"/>
  <c r="Z23" i="5"/>
  <c r="Z37" i="5"/>
  <c r="Z33" i="5"/>
  <c r="Z21" i="5"/>
  <c r="Z59" i="5"/>
  <c r="AA59" i="5" s="1"/>
  <c r="Z24" i="5"/>
  <c r="Z45" i="5"/>
  <c r="AA45" i="5" s="1"/>
  <c r="Z54" i="5"/>
  <c r="Z68" i="5"/>
  <c r="AA68" i="5" s="1"/>
  <c r="Z78" i="5"/>
  <c r="Z72" i="5"/>
  <c r="Z50" i="5"/>
  <c r="Z80" i="5"/>
  <c r="AB80" i="5" s="1"/>
  <c r="Z91" i="5"/>
  <c r="AA91" i="5" s="1"/>
  <c r="Z90" i="5"/>
  <c r="AB90" i="5" s="1"/>
  <c r="Z89" i="5"/>
  <c r="Z74" i="5"/>
  <c r="AA74" i="5" s="1"/>
  <c r="Z98" i="5"/>
  <c r="AA98" i="5" s="1"/>
  <c r="Z107" i="5"/>
  <c r="Z116" i="5"/>
  <c r="Z123" i="5"/>
  <c r="AA123" i="5" s="1"/>
  <c r="Z133" i="5"/>
  <c r="AA133" i="5" s="1"/>
  <c r="Z147" i="5"/>
  <c r="AA147" i="5" s="1"/>
  <c r="Z154" i="5"/>
  <c r="Z114" i="5"/>
  <c r="AB114" i="5" s="1"/>
  <c r="Z134" i="5"/>
  <c r="Z157" i="5"/>
  <c r="AA157" i="5" s="1"/>
  <c r="Z112" i="5"/>
  <c r="Z139" i="5"/>
  <c r="AA139" i="5" s="1"/>
  <c r="Z156" i="5"/>
  <c r="Z175" i="5"/>
  <c r="Z115" i="5"/>
  <c r="Z164" i="5"/>
  <c r="AB164" i="5" s="1"/>
  <c r="Z176" i="5"/>
  <c r="AB176" i="5" s="1"/>
  <c r="Z121" i="5"/>
  <c r="Z171" i="5"/>
  <c r="AB171" i="5" s="1"/>
  <c r="Z179" i="5"/>
  <c r="AA179" i="5" s="1"/>
  <c r="Z195" i="5"/>
  <c r="Z113" i="5"/>
  <c r="Z191" i="5"/>
  <c r="Z213" i="5"/>
  <c r="AA213" i="5" s="1"/>
  <c r="Z225" i="5"/>
  <c r="Z236" i="5"/>
  <c r="AA236" i="5" s="1"/>
  <c r="Z252" i="5"/>
  <c r="AB252" i="5" s="1"/>
  <c r="Z181" i="5"/>
  <c r="AA181" i="5" s="1"/>
  <c r="Z197" i="5"/>
  <c r="AB197" i="5" s="1"/>
  <c r="Z214" i="5"/>
  <c r="AA214" i="5" s="1"/>
  <c r="Z231" i="5"/>
  <c r="Z163" i="5"/>
  <c r="Z201" i="5"/>
  <c r="Z218" i="5"/>
  <c r="Z227" i="5"/>
  <c r="Z238" i="5"/>
  <c r="Z253" i="5"/>
  <c r="Z264" i="5"/>
  <c r="AB264" i="5" s="1"/>
  <c r="Z285" i="5"/>
  <c r="Z300" i="5"/>
  <c r="Z307" i="5"/>
  <c r="AA307" i="5" s="1"/>
  <c r="Z331" i="5"/>
  <c r="AB331" i="5" s="1"/>
  <c r="Z262" i="5"/>
  <c r="AB262" i="5" s="1"/>
  <c r="Z275" i="5"/>
  <c r="AB275" i="5" s="1"/>
  <c r="Z290" i="5"/>
  <c r="Z309" i="5"/>
  <c r="Z329" i="5"/>
  <c r="Z254" i="5"/>
  <c r="Z263" i="5"/>
  <c r="Z274" i="5"/>
  <c r="AB274" i="5" s="1"/>
  <c r="Z282" i="5"/>
  <c r="Z297" i="5"/>
  <c r="AA297" i="5" s="1"/>
  <c r="Z314" i="5"/>
  <c r="AA314" i="5" s="1"/>
  <c r="Z324" i="5"/>
  <c r="Z339" i="5"/>
  <c r="Z361" i="5"/>
  <c r="AA361" i="5" s="1"/>
  <c r="Z333" i="5"/>
  <c r="Z365" i="5"/>
  <c r="Z379" i="5"/>
  <c r="Z402" i="5"/>
  <c r="Z417" i="5"/>
  <c r="Z425" i="5"/>
  <c r="Z439" i="5"/>
  <c r="AB439" i="5" s="1"/>
  <c r="Z286" i="5"/>
  <c r="AB286" i="5" s="1"/>
  <c r="Z352" i="5"/>
  <c r="Z27" i="5"/>
  <c r="Z40" i="5"/>
  <c r="AA40" i="5" s="1"/>
  <c r="Z49" i="5"/>
  <c r="Z25" i="5"/>
  <c r="AB25" i="5" s="1"/>
  <c r="Z41" i="5"/>
  <c r="Z38" i="5"/>
  <c r="AB38" i="5" s="1"/>
  <c r="Z28" i="5"/>
  <c r="AB28" i="5" s="1"/>
  <c r="Z63" i="5"/>
  <c r="AB63" i="5" s="1"/>
  <c r="Z55" i="5"/>
  <c r="AB55" i="5" s="1"/>
  <c r="Z51" i="5"/>
  <c r="AB51" i="5" s="1"/>
  <c r="Z57" i="5"/>
  <c r="Z32" i="5"/>
  <c r="AA32" i="5" s="1"/>
  <c r="Z62" i="5"/>
  <c r="Z75" i="5"/>
  <c r="Z67" i="5"/>
  <c r="AB67" i="5" s="1"/>
  <c r="Z82" i="5"/>
  <c r="AB82" i="5" s="1"/>
  <c r="Z93" i="5"/>
  <c r="AB93" i="5" s="1"/>
  <c r="Z92" i="5"/>
  <c r="AA92" i="5" s="1"/>
  <c r="Z101" i="5"/>
  <c r="Z86" i="5"/>
  <c r="Z102" i="5"/>
  <c r="AA102" i="5" s="1"/>
  <c r="Z81" i="5"/>
  <c r="AB81" i="5" s="1"/>
  <c r="Z117" i="5"/>
  <c r="AA117" i="5" s="1"/>
  <c r="Z125" i="5"/>
  <c r="AB125" i="5" s="1"/>
  <c r="Z135" i="5"/>
  <c r="Z149" i="5"/>
  <c r="AB149" i="5" s="1"/>
  <c r="Z155" i="5"/>
  <c r="Z119" i="5"/>
  <c r="Z138" i="5"/>
  <c r="AA138" i="5" s="1"/>
  <c r="Z158" i="5"/>
  <c r="Z124" i="5"/>
  <c r="AA124" i="5" s="1"/>
  <c r="Z142" i="5"/>
  <c r="Z141" i="5"/>
  <c r="AA141" i="5" s="1"/>
  <c r="Z185" i="5"/>
  <c r="AA185" i="5" s="1"/>
  <c r="Z143" i="5"/>
  <c r="Z166" i="5"/>
  <c r="AB166" i="5" s="1"/>
  <c r="Z180" i="5"/>
  <c r="Z127" i="5"/>
  <c r="Z173" i="5"/>
  <c r="Z183" i="5"/>
  <c r="Z196" i="5"/>
  <c r="Z170" i="5"/>
  <c r="AA170" i="5" s="1"/>
  <c r="Z192" i="5"/>
  <c r="Z217" i="5"/>
  <c r="Z230" i="5"/>
  <c r="Z240" i="5"/>
  <c r="AB240" i="5" s="1"/>
  <c r="Z126" i="5"/>
  <c r="AB126" i="5" s="1"/>
  <c r="Z184" i="5"/>
  <c r="AB184" i="5" s="1"/>
  <c r="Z202" i="5"/>
  <c r="Z219" i="5"/>
  <c r="Z237" i="5"/>
  <c r="Z198" i="5"/>
  <c r="Z208" i="5"/>
  <c r="Z220" i="5"/>
  <c r="AB220" i="5" s="1"/>
  <c r="Z234" i="5"/>
  <c r="AB234" i="5" s="1"/>
  <c r="Z242" i="5"/>
  <c r="AA242" i="5" s="1"/>
  <c r="Z256" i="5"/>
  <c r="Z269" i="5"/>
  <c r="Z288" i="5"/>
  <c r="Z302" i="5"/>
  <c r="AA302" i="5" s="1"/>
  <c r="Z310" i="5"/>
  <c r="Z165" i="5"/>
  <c r="Z267" i="5"/>
  <c r="Z280" i="5"/>
  <c r="AA280" i="5" s="1"/>
  <c r="Z293" i="5"/>
  <c r="Z315" i="5"/>
  <c r="Z330" i="5"/>
  <c r="Z255" i="5"/>
  <c r="AB255" i="5" s="1"/>
  <c r="Z265" i="5"/>
  <c r="AB265" i="5" s="1"/>
  <c r="Z277" i="5"/>
  <c r="AB277" i="5" s="1"/>
  <c r="Z287" i="5"/>
  <c r="Z301" i="5"/>
  <c r="Z319" i="5"/>
  <c r="Z332" i="5"/>
  <c r="Z346" i="5"/>
  <c r="Z243" i="5"/>
  <c r="AB243" i="5" s="1"/>
  <c r="Z343" i="5"/>
  <c r="AA343" i="5" s="1"/>
  <c r="Z369" i="5"/>
  <c r="AB369" i="5" s="1"/>
  <c r="Z383" i="5"/>
  <c r="AB383" i="5" s="1"/>
  <c r="Z404" i="5"/>
  <c r="AA404" i="5" s="1"/>
  <c r="Z418" i="5"/>
  <c r="Z430" i="5"/>
  <c r="Z440" i="5"/>
  <c r="Z292" i="5"/>
  <c r="AA292" i="5" s="1"/>
  <c r="Z357" i="5"/>
  <c r="R539" i="5"/>
  <c r="S539" i="5"/>
  <c r="R556" i="5"/>
  <c r="S556" i="5"/>
  <c r="R554" i="5"/>
  <c r="S554" i="5"/>
  <c r="S443" i="5"/>
  <c r="R443" i="5"/>
  <c r="S508" i="5"/>
  <c r="R508" i="5"/>
  <c r="R559" i="5"/>
  <c r="S559" i="5"/>
  <c r="R537" i="5"/>
  <c r="S537" i="5"/>
  <c r="S479" i="5"/>
  <c r="R479" i="5"/>
  <c r="R449" i="5"/>
  <c r="S449" i="5"/>
  <c r="S506" i="5"/>
  <c r="R506" i="5"/>
  <c r="S469" i="5"/>
  <c r="R469" i="5"/>
  <c r="S446" i="5"/>
  <c r="R446" i="5"/>
  <c r="S301" i="5"/>
  <c r="R301" i="5"/>
  <c r="S503" i="5"/>
  <c r="R503" i="5"/>
  <c r="S485" i="5"/>
  <c r="R485" i="5"/>
  <c r="S456" i="5"/>
  <c r="R456" i="5"/>
  <c r="S318" i="5"/>
  <c r="R318" i="5"/>
  <c r="S412" i="5"/>
  <c r="R412" i="5"/>
  <c r="R368" i="5"/>
  <c r="S368" i="5"/>
  <c r="S414" i="5"/>
  <c r="R414" i="5"/>
  <c r="S402" i="5"/>
  <c r="R402" i="5"/>
  <c r="S353" i="5"/>
  <c r="R353" i="5"/>
  <c r="S441" i="5"/>
  <c r="R441" i="5"/>
  <c r="S431" i="5"/>
  <c r="R431" i="5"/>
  <c r="R380" i="5"/>
  <c r="S380" i="5"/>
  <c r="S371" i="5"/>
  <c r="R371" i="5"/>
  <c r="R357" i="5"/>
  <c r="S357" i="5"/>
  <c r="S346" i="5"/>
  <c r="R346" i="5"/>
  <c r="S329" i="5"/>
  <c r="R329" i="5"/>
  <c r="R315" i="5"/>
  <c r="S315" i="5"/>
  <c r="R283" i="5"/>
  <c r="S283" i="5"/>
  <c r="R265" i="5"/>
  <c r="S265" i="5"/>
  <c r="R243" i="5"/>
  <c r="S243" i="5"/>
  <c r="S211" i="5"/>
  <c r="R211" i="5"/>
  <c r="S330" i="5"/>
  <c r="R330" i="5"/>
  <c r="S310" i="5"/>
  <c r="R310" i="5"/>
  <c r="R300" i="5"/>
  <c r="S300" i="5"/>
  <c r="S290" i="5"/>
  <c r="R290" i="5"/>
  <c r="S261" i="5"/>
  <c r="R261" i="5"/>
  <c r="R247" i="5"/>
  <c r="S247" i="5"/>
  <c r="R212" i="5"/>
  <c r="S212" i="5"/>
  <c r="R328" i="5"/>
  <c r="S328" i="5"/>
  <c r="R313" i="5"/>
  <c r="S313" i="5"/>
  <c r="R292" i="5"/>
  <c r="S292" i="5"/>
  <c r="R276" i="5"/>
  <c r="S276" i="5"/>
  <c r="R258" i="5"/>
  <c r="S258" i="5"/>
  <c r="R213" i="5"/>
  <c r="S213" i="5"/>
  <c r="S244" i="5"/>
  <c r="R244" i="5"/>
  <c r="S231" i="5"/>
  <c r="R231" i="5"/>
  <c r="S217" i="5"/>
  <c r="R217" i="5"/>
  <c r="R205" i="5"/>
  <c r="S205" i="5"/>
  <c r="R165" i="5"/>
  <c r="S165" i="5"/>
  <c r="S230" i="5"/>
  <c r="R230" i="5"/>
  <c r="R219" i="5"/>
  <c r="S219" i="5"/>
  <c r="R191" i="5"/>
  <c r="S191" i="5"/>
  <c r="R107" i="5"/>
  <c r="S107" i="5"/>
  <c r="R238" i="5"/>
  <c r="S238" i="5"/>
  <c r="R216" i="5"/>
  <c r="S216" i="5"/>
  <c r="R193" i="5"/>
  <c r="S193" i="5"/>
  <c r="R207" i="5"/>
  <c r="S207" i="5"/>
  <c r="S178" i="5"/>
  <c r="R178" i="5"/>
  <c r="R164" i="5"/>
  <c r="S164" i="5"/>
  <c r="S180" i="5"/>
  <c r="R180" i="5"/>
  <c r="R166" i="5"/>
  <c r="S166" i="5"/>
  <c r="R130" i="5"/>
  <c r="S130" i="5"/>
  <c r="R169" i="5"/>
  <c r="S169" i="5"/>
  <c r="R115" i="5"/>
  <c r="S115" i="5"/>
  <c r="R150" i="5"/>
  <c r="S150" i="5"/>
  <c r="R136" i="5"/>
  <c r="S136" i="5"/>
  <c r="S126" i="5"/>
  <c r="R126" i="5"/>
  <c r="S113" i="5"/>
  <c r="R113" i="5"/>
  <c r="S96" i="5"/>
  <c r="R96" i="5"/>
  <c r="R149" i="5"/>
  <c r="S149" i="5"/>
  <c r="R138" i="5"/>
  <c r="S138" i="5"/>
  <c r="S114" i="5"/>
  <c r="R114" i="5"/>
  <c r="S160" i="5"/>
  <c r="R160" i="5"/>
  <c r="S151" i="5"/>
  <c r="R151" i="5"/>
  <c r="S135" i="5"/>
  <c r="R135" i="5"/>
  <c r="R119" i="5"/>
  <c r="S119" i="5"/>
  <c r="S99" i="5"/>
  <c r="R99" i="5"/>
  <c r="R103" i="5"/>
  <c r="S103" i="5"/>
  <c r="S111" i="5"/>
  <c r="R111" i="5"/>
  <c r="S90" i="5"/>
  <c r="R90" i="5"/>
  <c r="S95" i="5"/>
  <c r="R95" i="5"/>
  <c r="S91" i="5"/>
  <c r="R91" i="5"/>
  <c r="R75" i="5"/>
  <c r="S75" i="5"/>
  <c r="S28" i="5"/>
  <c r="R28" i="5"/>
  <c r="R70" i="5"/>
  <c r="S70" i="5"/>
  <c r="R61" i="5"/>
  <c r="S61" i="5"/>
  <c r="R60" i="5"/>
  <c r="S60" i="5"/>
  <c r="R38" i="5"/>
  <c r="S38" i="5"/>
  <c r="R59" i="5"/>
  <c r="S59" i="5"/>
  <c r="S27" i="5"/>
  <c r="R27" i="5"/>
  <c r="R50" i="5"/>
  <c r="S50" i="5"/>
  <c r="R35" i="5"/>
  <c r="S35" i="5"/>
  <c r="S25" i="5"/>
  <c r="R25" i="5"/>
  <c r="S34" i="5"/>
  <c r="R34" i="5"/>
  <c r="R49" i="5"/>
  <c r="S49" i="5"/>
  <c r="R39" i="5"/>
  <c r="S39" i="5"/>
  <c r="S21" i="5"/>
  <c r="R21" i="5"/>
  <c r="S534" i="5"/>
  <c r="R534" i="5"/>
  <c r="S499" i="5"/>
  <c r="R499" i="5"/>
  <c r="S429" i="5"/>
  <c r="R429" i="5"/>
  <c r="R544" i="5"/>
  <c r="S544" i="5"/>
  <c r="S466" i="5"/>
  <c r="R466" i="5"/>
  <c r="R560" i="5"/>
  <c r="S560" i="5"/>
  <c r="S522" i="5"/>
  <c r="R522" i="5"/>
  <c r="S432" i="5"/>
  <c r="R432" i="5"/>
  <c r="S550" i="5"/>
  <c r="R550" i="5"/>
  <c r="R547" i="5"/>
  <c r="S547" i="5"/>
  <c r="S498" i="5"/>
  <c r="R498" i="5"/>
  <c r="S451" i="5"/>
  <c r="R451" i="5"/>
  <c r="R553" i="5"/>
  <c r="S553" i="5"/>
  <c r="R543" i="5"/>
  <c r="S543" i="5"/>
  <c r="S536" i="5"/>
  <c r="R536" i="5"/>
  <c r="R528" i="5"/>
  <c r="S528" i="5"/>
  <c r="S497" i="5"/>
  <c r="R497" i="5"/>
  <c r="S476" i="5"/>
  <c r="R476" i="5"/>
  <c r="S445" i="5"/>
  <c r="R445" i="5"/>
  <c r="S424" i="5"/>
  <c r="R424" i="5"/>
  <c r="S520" i="5"/>
  <c r="R520" i="5"/>
  <c r="S495" i="5"/>
  <c r="R495" i="5"/>
  <c r="S489" i="5"/>
  <c r="R489" i="5"/>
  <c r="S482" i="5"/>
  <c r="R482" i="5"/>
  <c r="S467" i="5"/>
  <c r="R467" i="5"/>
  <c r="S436" i="5"/>
  <c r="R436" i="5"/>
  <c r="S422" i="5"/>
  <c r="R422" i="5"/>
  <c r="S345" i="5"/>
  <c r="R345" i="5"/>
  <c r="R252" i="5"/>
  <c r="S252" i="5"/>
  <c r="S523" i="5"/>
  <c r="R523" i="5"/>
  <c r="S512" i="5"/>
  <c r="R512" i="5"/>
  <c r="S501" i="5"/>
  <c r="R501" i="5"/>
  <c r="S483" i="5"/>
  <c r="R483" i="5"/>
  <c r="S473" i="5"/>
  <c r="R473" i="5"/>
  <c r="S463" i="5"/>
  <c r="R463" i="5"/>
  <c r="S455" i="5"/>
  <c r="R455" i="5"/>
  <c r="R393" i="5"/>
  <c r="S393" i="5"/>
  <c r="R378" i="5"/>
  <c r="S378" i="5"/>
  <c r="S421" i="5"/>
  <c r="R421" i="5"/>
  <c r="S406" i="5"/>
  <c r="R406" i="5"/>
  <c r="S397" i="5"/>
  <c r="R397" i="5"/>
  <c r="S377" i="5"/>
  <c r="R377" i="5"/>
  <c r="S367" i="5"/>
  <c r="R367" i="5"/>
  <c r="R344" i="5"/>
  <c r="S344" i="5"/>
  <c r="R263" i="5"/>
  <c r="S263" i="5"/>
  <c r="S413" i="5"/>
  <c r="R413" i="5"/>
  <c r="R399" i="5"/>
  <c r="S399" i="5"/>
  <c r="S382" i="5"/>
  <c r="R382" i="5"/>
  <c r="S363" i="5"/>
  <c r="R363" i="5"/>
  <c r="S349" i="5"/>
  <c r="R349" i="5"/>
  <c r="R308" i="5"/>
  <c r="S308" i="5"/>
  <c r="R249" i="5"/>
  <c r="S249" i="5"/>
  <c r="S440" i="5"/>
  <c r="R440" i="5"/>
  <c r="S428" i="5"/>
  <c r="R428" i="5"/>
  <c r="S409" i="5"/>
  <c r="R409" i="5"/>
  <c r="S389" i="5"/>
  <c r="R389" i="5"/>
  <c r="S376" i="5"/>
  <c r="R376" i="5"/>
  <c r="S356" i="5"/>
  <c r="R356" i="5"/>
  <c r="R306" i="5"/>
  <c r="S306" i="5"/>
  <c r="R257" i="5"/>
  <c r="S257" i="5"/>
  <c r="S352" i="5"/>
  <c r="R352" i="5"/>
  <c r="S341" i="5"/>
  <c r="R341" i="5"/>
  <c r="S324" i="5"/>
  <c r="R324" i="5"/>
  <c r="R312" i="5"/>
  <c r="S312" i="5"/>
  <c r="S294" i="5"/>
  <c r="R294" i="5"/>
  <c r="R280" i="5"/>
  <c r="S280" i="5"/>
  <c r="S274" i="5"/>
  <c r="R274" i="5"/>
  <c r="S262" i="5"/>
  <c r="R262" i="5"/>
  <c r="R239" i="5"/>
  <c r="S239" i="5"/>
  <c r="R173" i="5"/>
  <c r="S173" i="5"/>
  <c r="S326" i="5"/>
  <c r="R326" i="5"/>
  <c r="R307" i="5"/>
  <c r="S307" i="5"/>
  <c r="R298" i="5"/>
  <c r="S298" i="5"/>
  <c r="R285" i="5"/>
  <c r="S285" i="5"/>
  <c r="S259" i="5"/>
  <c r="R259" i="5"/>
  <c r="R229" i="5"/>
  <c r="S229" i="5"/>
  <c r="R196" i="5"/>
  <c r="S196" i="5"/>
  <c r="S325" i="5"/>
  <c r="R325" i="5"/>
  <c r="S311" i="5"/>
  <c r="R311" i="5"/>
  <c r="R291" i="5"/>
  <c r="S291" i="5"/>
  <c r="R269" i="5"/>
  <c r="S269" i="5"/>
  <c r="R256" i="5"/>
  <c r="S256" i="5"/>
  <c r="R203" i="5"/>
  <c r="S203" i="5"/>
  <c r="S242" i="5"/>
  <c r="R242" i="5"/>
  <c r="R226" i="5"/>
  <c r="S226" i="5"/>
  <c r="S214" i="5"/>
  <c r="R214" i="5"/>
  <c r="R204" i="5"/>
  <c r="S204" i="5"/>
  <c r="R97" i="5"/>
  <c r="S97" i="5"/>
  <c r="S228" i="5"/>
  <c r="R228" i="5"/>
  <c r="R210" i="5"/>
  <c r="S210" i="5"/>
  <c r="R189" i="5"/>
  <c r="S189" i="5"/>
  <c r="S251" i="5"/>
  <c r="R251" i="5"/>
  <c r="S236" i="5"/>
  <c r="R236" i="5"/>
  <c r="R201" i="5"/>
  <c r="S201" i="5"/>
  <c r="R190" i="5"/>
  <c r="S190" i="5"/>
  <c r="R202" i="5"/>
  <c r="S202" i="5"/>
  <c r="R176" i="5"/>
  <c r="S176" i="5"/>
  <c r="R132" i="5"/>
  <c r="S132" i="5"/>
  <c r="R179" i="5"/>
  <c r="S179" i="5"/>
  <c r="R162" i="5"/>
  <c r="S162" i="5"/>
  <c r="S188" i="5"/>
  <c r="R188" i="5"/>
  <c r="S163" i="5"/>
  <c r="R163" i="5"/>
  <c r="S92" i="5"/>
  <c r="R92" i="5"/>
  <c r="S148" i="5"/>
  <c r="R148" i="5"/>
  <c r="R134" i="5"/>
  <c r="S134" i="5"/>
  <c r="S124" i="5"/>
  <c r="R124" i="5"/>
  <c r="S112" i="5"/>
  <c r="R112" i="5"/>
  <c r="R83" i="5"/>
  <c r="S83" i="5"/>
  <c r="S146" i="5"/>
  <c r="R146" i="5"/>
  <c r="S128" i="5"/>
  <c r="R128" i="5"/>
  <c r="R100" i="5"/>
  <c r="S100" i="5"/>
  <c r="R158" i="5"/>
  <c r="S158" i="5"/>
  <c r="R144" i="5"/>
  <c r="S144" i="5"/>
  <c r="R133" i="5"/>
  <c r="S133" i="5"/>
  <c r="R117" i="5"/>
  <c r="S117" i="5"/>
  <c r="S89" i="5"/>
  <c r="R89" i="5"/>
  <c r="S94" i="5"/>
  <c r="R94" i="5"/>
  <c r="S110" i="5"/>
  <c r="R110" i="5"/>
  <c r="R88" i="5"/>
  <c r="S88" i="5"/>
  <c r="R86" i="5"/>
  <c r="S86" i="5"/>
  <c r="R84" i="5"/>
  <c r="S84" i="5"/>
  <c r="R71" i="5"/>
  <c r="S71" i="5"/>
  <c r="S81" i="5"/>
  <c r="R81" i="5"/>
  <c r="R65" i="5"/>
  <c r="S65" i="5"/>
  <c r="R57" i="5"/>
  <c r="S57" i="5"/>
  <c r="R58" i="5"/>
  <c r="S58" i="5"/>
  <c r="R72" i="5"/>
  <c r="S72" i="5"/>
  <c r="R56" i="5"/>
  <c r="S56" i="5"/>
  <c r="S24" i="5"/>
  <c r="R24" i="5"/>
  <c r="S46" i="5"/>
  <c r="R46" i="5"/>
  <c r="S33" i="5"/>
  <c r="R33" i="5"/>
  <c r="S43" i="5"/>
  <c r="R43" i="5"/>
  <c r="S23" i="5"/>
  <c r="R23" i="5"/>
  <c r="S47" i="5"/>
  <c r="R47" i="5"/>
  <c r="S32" i="5"/>
  <c r="R32" i="5"/>
  <c r="R505" i="5"/>
  <c r="S505" i="5"/>
  <c r="S513" i="5"/>
  <c r="R513" i="5"/>
  <c r="S364" i="5"/>
  <c r="R364" i="5"/>
  <c r="S478" i="5"/>
  <c r="R478" i="5"/>
  <c r="S529" i="5"/>
  <c r="R529" i="5"/>
  <c r="S426" i="5"/>
  <c r="R426" i="5"/>
  <c r="S490" i="5"/>
  <c r="R490" i="5"/>
  <c r="S425" i="5"/>
  <c r="R425" i="5"/>
  <c r="S524" i="5"/>
  <c r="R524" i="5"/>
  <c r="S474" i="5"/>
  <c r="R474" i="5"/>
  <c r="S433" i="5"/>
  <c r="R433" i="5"/>
  <c r="S398" i="5"/>
  <c r="R398" i="5"/>
  <c r="S347" i="5"/>
  <c r="R347" i="5"/>
  <c r="S383" i="5"/>
  <c r="R383" i="5"/>
  <c r="R314" i="5"/>
  <c r="S314" i="5"/>
  <c r="S411" i="5"/>
  <c r="R411" i="5"/>
  <c r="S332" i="5"/>
  <c r="R332" i="5"/>
  <c r="R297" i="5"/>
  <c r="S297" i="5"/>
  <c r="S19" i="5"/>
  <c r="R19" i="5"/>
  <c r="S531" i="5"/>
  <c r="R531" i="5"/>
  <c r="S472" i="5"/>
  <c r="R472" i="5"/>
  <c r="S427" i="5"/>
  <c r="R427" i="5"/>
  <c r="S533" i="5"/>
  <c r="R533" i="5"/>
  <c r="S459" i="5"/>
  <c r="R459" i="5"/>
  <c r="R558" i="5"/>
  <c r="S558" i="5"/>
  <c r="R507" i="5"/>
  <c r="S507" i="5"/>
  <c r="S430" i="5"/>
  <c r="R430" i="5"/>
  <c r="R555" i="5"/>
  <c r="S555" i="5"/>
  <c r="S532" i="5"/>
  <c r="R532" i="5"/>
  <c r="S491" i="5"/>
  <c r="R491" i="5"/>
  <c r="S447" i="5"/>
  <c r="R447" i="5"/>
  <c r="R548" i="5"/>
  <c r="S548" i="5"/>
  <c r="R542" i="5"/>
  <c r="S542" i="5"/>
  <c r="S535" i="5"/>
  <c r="R535" i="5"/>
  <c r="S518" i="5"/>
  <c r="R518" i="5"/>
  <c r="S494" i="5"/>
  <c r="R494" i="5"/>
  <c r="S465" i="5"/>
  <c r="R465" i="5"/>
  <c r="S444" i="5"/>
  <c r="R444" i="5"/>
  <c r="S362" i="5"/>
  <c r="R362" i="5"/>
  <c r="S514" i="5"/>
  <c r="R514" i="5"/>
  <c r="S493" i="5"/>
  <c r="R493" i="5"/>
  <c r="S488" i="5"/>
  <c r="R488" i="5"/>
  <c r="S477" i="5"/>
  <c r="R477" i="5"/>
  <c r="S457" i="5"/>
  <c r="R457" i="5"/>
  <c r="S435" i="5"/>
  <c r="R435" i="5"/>
  <c r="S420" i="5"/>
  <c r="R420" i="5"/>
  <c r="R337" i="5"/>
  <c r="S337" i="5"/>
  <c r="S527" i="5"/>
  <c r="R527" i="5"/>
  <c r="S521" i="5"/>
  <c r="R521" i="5"/>
  <c r="S511" i="5"/>
  <c r="R511" i="5"/>
  <c r="S500" i="5"/>
  <c r="R500" i="5"/>
  <c r="S480" i="5"/>
  <c r="R480" i="5"/>
  <c r="S471" i="5"/>
  <c r="R471" i="5"/>
  <c r="S462" i="5"/>
  <c r="R462" i="5"/>
  <c r="S454" i="5"/>
  <c r="R454" i="5"/>
  <c r="S390" i="5"/>
  <c r="R390" i="5"/>
  <c r="R366" i="5"/>
  <c r="S366" i="5"/>
  <c r="S416" i="5"/>
  <c r="R416" i="5"/>
  <c r="S405" i="5"/>
  <c r="R405" i="5"/>
  <c r="S395" i="5"/>
  <c r="R395" i="5"/>
  <c r="S374" i="5"/>
  <c r="R374" i="5"/>
  <c r="R358" i="5"/>
  <c r="S358" i="5"/>
  <c r="S338" i="5"/>
  <c r="R338" i="5"/>
  <c r="S419" i="5"/>
  <c r="R419" i="5"/>
  <c r="S408" i="5"/>
  <c r="R408" i="5"/>
  <c r="S392" i="5"/>
  <c r="R392" i="5"/>
  <c r="S379" i="5"/>
  <c r="R379" i="5"/>
  <c r="S361" i="5"/>
  <c r="R361" i="5"/>
  <c r="S343" i="5"/>
  <c r="R343" i="5"/>
  <c r="R282" i="5"/>
  <c r="S282" i="5"/>
  <c r="R245" i="5"/>
  <c r="S245" i="5"/>
  <c r="S439" i="5"/>
  <c r="R439" i="5"/>
  <c r="S423" i="5"/>
  <c r="R423" i="5"/>
  <c r="S407" i="5"/>
  <c r="R407" i="5"/>
  <c r="S386" i="5"/>
  <c r="R386" i="5"/>
  <c r="S375" i="5"/>
  <c r="R375" i="5"/>
  <c r="S355" i="5"/>
  <c r="R355" i="5"/>
  <c r="S295" i="5"/>
  <c r="R295" i="5"/>
  <c r="R254" i="5"/>
  <c r="S254" i="5"/>
  <c r="S350" i="5"/>
  <c r="R350" i="5"/>
  <c r="S339" i="5"/>
  <c r="R339" i="5"/>
  <c r="R319" i="5"/>
  <c r="S319" i="5"/>
  <c r="S309" i="5"/>
  <c r="R309" i="5"/>
  <c r="R287" i="5"/>
  <c r="S287" i="5"/>
  <c r="R278" i="5"/>
  <c r="S278" i="5"/>
  <c r="R272" i="5"/>
  <c r="S272" i="5"/>
  <c r="S260" i="5"/>
  <c r="R260" i="5"/>
  <c r="R223" i="5"/>
  <c r="S223" i="5"/>
  <c r="R167" i="5"/>
  <c r="S167" i="5"/>
  <c r="R321" i="5"/>
  <c r="S321" i="5"/>
  <c r="R305" i="5"/>
  <c r="S305" i="5"/>
  <c r="R296" i="5"/>
  <c r="S296" i="5"/>
  <c r="R281" i="5"/>
  <c r="S281" i="5"/>
  <c r="R255" i="5"/>
  <c r="S255" i="5"/>
  <c r="S218" i="5"/>
  <c r="R218" i="5"/>
  <c r="S333" i="5"/>
  <c r="R333" i="5"/>
  <c r="S323" i="5"/>
  <c r="R323" i="5"/>
  <c r="S302" i="5"/>
  <c r="R302" i="5"/>
  <c r="S288" i="5"/>
  <c r="R288" i="5"/>
  <c r="S266" i="5"/>
  <c r="R266" i="5"/>
  <c r="R246" i="5"/>
  <c r="S246" i="5"/>
  <c r="R187" i="5"/>
  <c r="S187" i="5"/>
  <c r="S237" i="5"/>
  <c r="R237" i="5"/>
  <c r="R224" i="5"/>
  <c r="S224" i="5"/>
  <c r="R209" i="5"/>
  <c r="S209" i="5"/>
  <c r="S195" i="5"/>
  <c r="R195" i="5"/>
  <c r="S240" i="5"/>
  <c r="R240" i="5"/>
  <c r="R225" i="5"/>
  <c r="S225" i="5"/>
  <c r="R194" i="5"/>
  <c r="S194" i="5"/>
  <c r="R186" i="5"/>
  <c r="S186" i="5"/>
  <c r="R250" i="5"/>
  <c r="S250" i="5"/>
  <c r="R235" i="5"/>
  <c r="S235" i="5"/>
  <c r="R199" i="5"/>
  <c r="S199" i="5"/>
  <c r="R181" i="5"/>
  <c r="S181" i="5"/>
  <c r="S200" i="5"/>
  <c r="R200" i="5"/>
  <c r="S170" i="5"/>
  <c r="R170" i="5"/>
  <c r="R185" i="5"/>
  <c r="S185" i="5"/>
  <c r="R175" i="5"/>
  <c r="S175" i="5"/>
  <c r="R161" i="5"/>
  <c r="S161" i="5"/>
  <c r="S184" i="5"/>
  <c r="R184" i="5"/>
  <c r="R152" i="5"/>
  <c r="S152" i="5"/>
  <c r="S156" i="5"/>
  <c r="R156" i="5"/>
  <c r="R147" i="5"/>
  <c r="S147" i="5"/>
  <c r="R129" i="5"/>
  <c r="S129" i="5"/>
  <c r="R121" i="5"/>
  <c r="S121" i="5"/>
  <c r="S105" i="5"/>
  <c r="R105" i="5"/>
  <c r="R159" i="5"/>
  <c r="S159" i="5"/>
  <c r="R143" i="5"/>
  <c r="S143" i="5"/>
  <c r="R125" i="5"/>
  <c r="S125" i="5"/>
  <c r="S98" i="5"/>
  <c r="R98" i="5"/>
  <c r="S154" i="5"/>
  <c r="R154" i="5"/>
  <c r="R142" i="5"/>
  <c r="S142" i="5"/>
  <c r="R131" i="5"/>
  <c r="S131" i="5"/>
  <c r="R116" i="5"/>
  <c r="S116" i="5"/>
  <c r="R109" i="5"/>
  <c r="S109" i="5"/>
  <c r="R82" i="5"/>
  <c r="S82" i="5"/>
  <c r="S104" i="5"/>
  <c r="R104" i="5"/>
  <c r="R87" i="5"/>
  <c r="S87" i="5"/>
  <c r="R80" i="5"/>
  <c r="S80" i="5"/>
  <c r="R79" i="5"/>
  <c r="S79" i="5"/>
  <c r="R73" i="5"/>
  <c r="S73" i="5"/>
  <c r="R78" i="5"/>
  <c r="S78" i="5"/>
  <c r="R69" i="5"/>
  <c r="S69" i="5"/>
  <c r="S66" i="5"/>
  <c r="R66" i="5"/>
  <c r="R55" i="5"/>
  <c r="S55" i="5"/>
  <c r="R67" i="5"/>
  <c r="S67" i="5"/>
  <c r="S51" i="5"/>
  <c r="R51" i="5"/>
  <c r="R41" i="5"/>
  <c r="S41" i="5"/>
  <c r="R30" i="5"/>
  <c r="S30" i="5"/>
  <c r="S40" i="5"/>
  <c r="R40" i="5"/>
  <c r="R22" i="5"/>
  <c r="S22" i="5"/>
  <c r="R45" i="5"/>
  <c r="S45" i="5"/>
  <c r="S31" i="5"/>
  <c r="R31" i="5"/>
  <c r="S448" i="5"/>
  <c r="R448" i="5"/>
  <c r="R538" i="5"/>
  <c r="S538" i="5"/>
  <c r="R551" i="5"/>
  <c r="S551" i="5"/>
  <c r="R545" i="5"/>
  <c r="S545" i="5"/>
  <c r="S502" i="5"/>
  <c r="R502" i="5"/>
  <c r="S197" i="5"/>
  <c r="R197" i="5"/>
  <c r="S486" i="5"/>
  <c r="R486" i="5"/>
  <c r="S369" i="5"/>
  <c r="R369" i="5"/>
  <c r="S517" i="5"/>
  <c r="R517" i="5"/>
  <c r="S464" i="5"/>
  <c r="R464" i="5"/>
  <c r="S381" i="5"/>
  <c r="R381" i="5"/>
  <c r="S384" i="5"/>
  <c r="R384" i="5"/>
  <c r="R322" i="5"/>
  <c r="S322" i="5"/>
  <c r="S365" i="5"/>
  <c r="R365" i="5"/>
  <c r="R270" i="5"/>
  <c r="S270" i="5"/>
  <c r="S391" i="5"/>
  <c r="R391" i="5"/>
  <c r="R273" i="5"/>
  <c r="S273" i="5"/>
  <c r="R275" i="5"/>
  <c r="S275" i="5"/>
  <c r="R540" i="5"/>
  <c r="S540" i="5"/>
  <c r="S516" i="5"/>
  <c r="R516" i="5"/>
  <c r="S458" i="5"/>
  <c r="R458" i="5"/>
  <c r="R403" i="5"/>
  <c r="S403" i="5"/>
  <c r="S525" i="5"/>
  <c r="R525" i="5"/>
  <c r="R557" i="5"/>
  <c r="S557" i="5"/>
  <c r="R549" i="5"/>
  <c r="S549" i="5"/>
  <c r="S460" i="5"/>
  <c r="R460" i="5"/>
  <c r="S400" i="5"/>
  <c r="R400" i="5"/>
  <c r="R552" i="5"/>
  <c r="S552" i="5"/>
  <c r="S515" i="5"/>
  <c r="R515" i="5"/>
  <c r="S481" i="5"/>
  <c r="R481" i="5"/>
  <c r="R268" i="5"/>
  <c r="S268" i="5"/>
  <c r="R546" i="5"/>
  <c r="S546" i="5"/>
  <c r="R541" i="5"/>
  <c r="S541" i="5"/>
  <c r="S530" i="5"/>
  <c r="R530" i="5"/>
  <c r="S509" i="5"/>
  <c r="R509" i="5"/>
  <c r="S484" i="5"/>
  <c r="R484" i="5"/>
  <c r="S450" i="5"/>
  <c r="R450" i="5"/>
  <c r="S437" i="5"/>
  <c r="R437" i="5"/>
  <c r="R342" i="5"/>
  <c r="S342" i="5"/>
  <c r="S510" i="5"/>
  <c r="R510" i="5"/>
  <c r="S492" i="5"/>
  <c r="R492" i="5"/>
  <c r="S487" i="5"/>
  <c r="R487" i="5"/>
  <c r="S470" i="5"/>
  <c r="R470" i="5"/>
  <c r="S452" i="5"/>
  <c r="R452" i="5"/>
  <c r="S434" i="5"/>
  <c r="R434" i="5"/>
  <c r="S410" i="5"/>
  <c r="R410" i="5"/>
  <c r="S335" i="5"/>
  <c r="R335" i="5"/>
  <c r="S526" i="5"/>
  <c r="R526" i="5"/>
  <c r="S519" i="5"/>
  <c r="R519" i="5"/>
  <c r="S504" i="5"/>
  <c r="R504" i="5"/>
  <c r="S496" i="5"/>
  <c r="R496" i="5"/>
  <c r="S475" i="5"/>
  <c r="R475" i="5"/>
  <c r="S468" i="5"/>
  <c r="R468" i="5"/>
  <c r="S461" i="5"/>
  <c r="R461" i="5"/>
  <c r="R453" i="5"/>
  <c r="S453" i="5"/>
  <c r="S387" i="5"/>
  <c r="R387" i="5"/>
  <c r="S359" i="5"/>
  <c r="R359" i="5"/>
  <c r="S415" i="5"/>
  <c r="R415" i="5"/>
  <c r="S401" i="5"/>
  <c r="R401" i="5"/>
  <c r="S394" i="5"/>
  <c r="R394" i="5"/>
  <c r="R370" i="5"/>
  <c r="S370" i="5"/>
  <c r="S351" i="5"/>
  <c r="R351" i="5"/>
  <c r="S327" i="5"/>
  <c r="R327" i="5"/>
  <c r="S417" i="5"/>
  <c r="R417" i="5"/>
  <c r="S404" i="5"/>
  <c r="R404" i="5"/>
  <c r="S388" i="5"/>
  <c r="R388" i="5"/>
  <c r="R373" i="5"/>
  <c r="S373" i="5"/>
  <c r="S354" i="5"/>
  <c r="R354" i="5"/>
  <c r="S340" i="5"/>
  <c r="R340" i="5"/>
  <c r="R279" i="5"/>
  <c r="S279" i="5"/>
  <c r="S442" i="5"/>
  <c r="R442" i="5"/>
  <c r="S438" i="5"/>
  <c r="R438" i="5"/>
  <c r="S418" i="5"/>
  <c r="R418" i="5"/>
  <c r="S396" i="5"/>
  <c r="R396" i="5"/>
  <c r="S385" i="5"/>
  <c r="R385" i="5"/>
  <c r="S372" i="5"/>
  <c r="R372" i="5"/>
  <c r="S334" i="5"/>
  <c r="R334" i="5"/>
  <c r="S289" i="5"/>
  <c r="R289" i="5"/>
  <c r="R360" i="5"/>
  <c r="S360" i="5"/>
  <c r="S348" i="5"/>
  <c r="R348" i="5"/>
  <c r="S336" i="5"/>
  <c r="R336" i="5"/>
  <c r="R317" i="5"/>
  <c r="S317" i="5"/>
  <c r="S304" i="5"/>
  <c r="R304" i="5"/>
  <c r="S286" i="5"/>
  <c r="R286" i="5"/>
  <c r="S277" i="5"/>
  <c r="R277" i="5"/>
  <c r="R267" i="5"/>
  <c r="S267" i="5"/>
  <c r="R248" i="5"/>
  <c r="S248" i="5"/>
  <c r="R220" i="5"/>
  <c r="S220" i="5"/>
  <c r="S141" i="5"/>
  <c r="R141" i="5"/>
  <c r="S320" i="5"/>
  <c r="R320" i="5"/>
  <c r="R303" i="5"/>
  <c r="S303" i="5"/>
  <c r="S293" i="5"/>
  <c r="R293" i="5"/>
  <c r="R271" i="5"/>
  <c r="S271" i="5"/>
  <c r="R253" i="5"/>
  <c r="S253" i="5"/>
  <c r="S215" i="5"/>
  <c r="R215" i="5"/>
  <c r="R331" i="5"/>
  <c r="S331" i="5"/>
  <c r="R316" i="5"/>
  <c r="S316" i="5"/>
  <c r="R299" i="5"/>
  <c r="S299" i="5"/>
  <c r="R284" i="5"/>
  <c r="S284" i="5"/>
  <c r="S264" i="5"/>
  <c r="R264" i="5"/>
  <c r="S227" i="5"/>
  <c r="R227" i="5"/>
  <c r="R101" i="5"/>
  <c r="S101" i="5"/>
  <c r="S234" i="5"/>
  <c r="R234" i="5"/>
  <c r="S222" i="5"/>
  <c r="R222" i="5"/>
  <c r="S206" i="5"/>
  <c r="R206" i="5"/>
  <c r="R171" i="5"/>
  <c r="S171" i="5"/>
  <c r="S233" i="5"/>
  <c r="R233" i="5"/>
  <c r="R221" i="5"/>
  <c r="S221" i="5"/>
  <c r="S192" i="5"/>
  <c r="R192" i="5"/>
  <c r="R177" i="5"/>
  <c r="S177" i="5"/>
  <c r="R241" i="5"/>
  <c r="S241" i="5"/>
  <c r="S232" i="5"/>
  <c r="R232" i="5"/>
  <c r="R198" i="5"/>
  <c r="S198" i="5"/>
  <c r="R208" i="5"/>
  <c r="S208" i="5"/>
  <c r="S182" i="5"/>
  <c r="R182" i="5"/>
  <c r="S168" i="5"/>
  <c r="R168" i="5"/>
  <c r="R183" i="5"/>
  <c r="S183" i="5"/>
  <c r="S172" i="5"/>
  <c r="R172" i="5"/>
  <c r="R145" i="5"/>
  <c r="S145" i="5"/>
  <c r="R174" i="5"/>
  <c r="S174" i="5"/>
  <c r="S122" i="5"/>
  <c r="R122" i="5"/>
  <c r="R155" i="5"/>
  <c r="S155" i="5"/>
  <c r="R139" i="5"/>
  <c r="S139" i="5"/>
  <c r="S127" i="5"/>
  <c r="R127" i="5"/>
  <c r="R118" i="5"/>
  <c r="S118" i="5"/>
  <c r="R102" i="5"/>
  <c r="S102" i="5"/>
  <c r="R157" i="5"/>
  <c r="S157" i="5"/>
  <c r="R140" i="5"/>
  <c r="S140" i="5"/>
  <c r="R120" i="5"/>
  <c r="S120" i="5"/>
  <c r="R53" i="5"/>
  <c r="S53" i="5"/>
  <c r="R153" i="5"/>
  <c r="S153" i="5"/>
  <c r="R137" i="5"/>
  <c r="S137" i="5"/>
  <c r="S123" i="5"/>
  <c r="R123" i="5"/>
  <c r="R108" i="5"/>
  <c r="S108" i="5"/>
  <c r="R106" i="5"/>
  <c r="S106" i="5"/>
  <c r="S44" i="5"/>
  <c r="R44" i="5"/>
  <c r="S93" i="5"/>
  <c r="R93" i="5"/>
  <c r="S85" i="5"/>
  <c r="R85" i="5"/>
  <c r="S76" i="5"/>
  <c r="R76" i="5"/>
  <c r="S77" i="5"/>
  <c r="R77" i="5"/>
  <c r="R64" i="5"/>
  <c r="S64" i="5"/>
  <c r="S74" i="5"/>
  <c r="R74" i="5"/>
  <c r="S68" i="5"/>
  <c r="R68" i="5"/>
  <c r="S63" i="5"/>
  <c r="R63" i="5"/>
  <c r="R54" i="5"/>
  <c r="S54" i="5"/>
  <c r="R62" i="5"/>
  <c r="S62" i="5"/>
  <c r="R48" i="5"/>
  <c r="S48" i="5"/>
  <c r="R52" i="5"/>
  <c r="S52" i="5"/>
  <c r="R37" i="5"/>
  <c r="S37" i="5"/>
  <c r="S29" i="5"/>
  <c r="R29" i="5"/>
  <c r="R36" i="5"/>
  <c r="S36" i="5"/>
  <c r="S20" i="5"/>
  <c r="R20" i="5"/>
  <c r="R42" i="5"/>
  <c r="S42" i="5"/>
  <c r="S26" i="5"/>
  <c r="R26" i="5"/>
  <c r="H24" i="1"/>
  <c r="H27" i="1" s="1"/>
  <c r="B40" i="2"/>
  <c r="AI275" i="4" l="1"/>
  <c r="X183" i="4"/>
  <c r="Z183" i="4" s="1"/>
  <c r="AN183" i="4"/>
  <c r="AO183" i="4" s="1"/>
  <c r="BT169" i="4"/>
  <c r="BU169" i="4" s="1"/>
  <c r="BD169" i="4"/>
  <c r="AI265" i="4"/>
  <c r="AI225" i="4"/>
  <c r="BT213" i="4"/>
  <c r="BU213" i="4" s="1"/>
  <c r="BD213" i="4"/>
  <c r="BF213" i="4" s="1"/>
  <c r="BG213" i="4" s="1"/>
  <c r="BM213" i="4" s="1"/>
  <c r="BV213" i="4" s="1"/>
  <c r="BD194" i="4"/>
  <c r="BT194" i="4"/>
  <c r="BU194" i="4" s="1"/>
  <c r="X245" i="4"/>
  <c r="AF245" i="4" s="1"/>
  <c r="AN245" i="4"/>
  <c r="AO245" i="4" s="1"/>
  <c r="BT244" i="4"/>
  <c r="BU244" i="4" s="1"/>
  <c r="BD244" i="4"/>
  <c r="AN159" i="4"/>
  <c r="AO159" i="4" s="1"/>
  <c r="X159" i="4"/>
  <c r="Z159" i="4" s="1"/>
  <c r="BD267" i="4"/>
  <c r="BL267" i="4" s="1"/>
  <c r="BT267" i="4"/>
  <c r="BU267" i="4" s="1"/>
  <c r="X278" i="4"/>
  <c r="AF278" i="4" s="1"/>
  <c r="AN278" i="4"/>
  <c r="AO278" i="4" s="1"/>
  <c r="AN325" i="4"/>
  <c r="AO325" i="4" s="1"/>
  <c r="X325" i="4"/>
  <c r="Z325" i="4" s="1"/>
  <c r="AN260" i="4"/>
  <c r="AO260" i="4" s="1"/>
  <c r="X260" i="4"/>
  <c r="Z260" i="4" s="1"/>
  <c r="BT290" i="4"/>
  <c r="BU290" i="4" s="1"/>
  <c r="BD290" i="4"/>
  <c r="BF290" i="4" s="1"/>
  <c r="BO189" i="4"/>
  <c r="BD271" i="4"/>
  <c r="BF271" i="4" s="1"/>
  <c r="BG271" i="4" s="1"/>
  <c r="BM271" i="4" s="1"/>
  <c r="BV271" i="4" s="1"/>
  <c r="BT271" i="4"/>
  <c r="BU271" i="4" s="1"/>
  <c r="AI201" i="4"/>
  <c r="BO218" i="4"/>
  <c r="BO202" i="4"/>
  <c r="AI302" i="4"/>
  <c r="BD315" i="4"/>
  <c r="BF315" i="4" s="1"/>
  <c r="BT315" i="4"/>
  <c r="BU315" i="4" s="1"/>
  <c r="AN203" i="4"/>
  <c r="AO203" i="4" s="1"/>
  <c r="X203" i="4"/>
  <c r="AI165" i="4"/>
  <c r="AN310" i="4"/>
  <c r="AO310" i="4" s="1"/>
  <c r="X310" i="4"/>
  <c r="AI217" i="4"/>
  <c r="AN264" i="4"/>
  <c r="X264" i="4"/>
  <c r="AI313" i="4"/>
  <c r="BT249" i="4"/>
  <c r="BU249" i="4" s="1"/>
  <c r="BD249" i="4"/>
  <c r="BF249" i="4" s="1"/>
  <c r="AI235" i="4"/>
  <c r="AI295" i="4"/>
  <c r="X275" i="4"/>
  <c r="Z275" i="4" s="1"/>
  <c r="AN275" i="4"/>
  <c r="AO275" i="4" s="1"/>
  <c r="BO321" i="4"/>
  <c r="AI183" i="4"/>
  <c r="AI287" i="4"/>
  <c r="AI231" i="4"/>
  <c r="AN259" i="4"/>
  <c r="AO259" i="4" s="1"/>
  <c r="X259" i="4"/>
  <c r="Z259" i="4" s="1"/>
  <c r="AN294" i="4"/>
  <c r="AO294" i="4" s="1"/>
  <c r="X294" i="4"/>
  <c r="BO169" i="4"/>
  <c r="BO224" i="4"/>
  <c r="AI189" i="4"/>
  <c r="BT285" i="4"/>
  <c r="BU285" i="4" s="1"/>
  <c r="BD285" i="4"/>
  <c r="BO301" i="4"/>
  <c r="BO261" i="4"/>
  <c r="AN298" i="4"/>
  <c r="AO298" i="4" s="1"/>
  <c r="X298" i="4"/>
  <c r="AF298" i="4" s="1"/>
  <c r="BD316" i="4"/>
  <c r="BF316" i="4" s="1"/>
  <c r="BT316" i="4"/>
  <c r="BU316" i="4" s="1"/>
  <c r="AI247" i="4"/>
  <c r="BO274" i="4"/>
  <c r="BT175" i="4"/>
  <c r="BU175" i="4" s="1"/>
  <c r="BD175" i="4"/>
  <c r="BF175" i="4" s="1"/>
  <c r="BG175" i="4" s="1"/>
  <c r="BM175" i="4" s="1"/>
  <c r="BV175" i="4" s="1"/>
  <c r="AI233" i="4"/>
  <c r="AI301" i="4"/>
  <c r="BO282" i="4"/>
  <c r="AN238" i="4"/>
  <c r="AO238" i="4" s="1"/>
  <c r="X238" i="4"/>
  <c r="Z238" i="4" s="1"/>
  <c r="BD173" i="4"/>
  <c r="BF173" i="4" s="1"/>
  <c r="BT173" i="4"/>
  <c r="BU173" i="4" s="1"/>
  <c r="BO317" i="4"/>
  <c r="BO325" i="4"/>
  <c r="AI186" i="4"/>
  <c r="BO194" i="4"/>
  <c r="AI246" i="4"/>
  <c r="AN191" i="4"/>
  <c r="AO191" i="4" s="1"/>
  <c r="X191" i="4"/>
  <c r="Z191" i="4" s="1"/>
  <c r="AA191" i="4" s="1"/>
  <c r="AG191" i="4" s="1"/>
  <c r="X290" i="4"/>
  <c r="AN290" i="4"/>
  <c r="AO290" i="4" s="1"/>
  <c r="AI160" i="4"/>
  <c r="AI195" i="4"/>
  <c r="BD200" i="4"/>
  <c r="BT200" i="4"/>
  <c r="BU200" i="4" s="1"/>
  <c r="BO174" i="4"/>
  <c r="BO160" i="4"/>
  <c r="AI193" i="4"/>
  <c r="AI239" i="4"/>
  <c r="AI256" i="4"/>
  <c r="AN267" i="4"/>
  <c r="AO267" i="4" s="1"/>
  <c r="X267" i="4"/>
  <c r="Z267" i="4" s="1"/>
  <c r="X314" i="4"/>
  <c r="Z314" i="4" s="1"/>
  <c r="AN314" i="4"/>
  <c r="AO314" i="4" s="1"/>
  <c r="AN167" i="4"/>
  <c r="AO167" i="4" s="1"/>
  <c r="X167" i="4"/>
  <c r="Z167" i="4" s="1"/>
  <c r="AA167" i="4" s="1"/>
  <c r="BO303" i="4"/>
  <c r="AI166" i="4"/>
  <c r="BO235" i="4"/>
  <c r="BO219" i="4"/>
  <c r="BO320" i="4"/>
  <c r="BO279" i="4"/>
  <c r="BO278" i="4"/>
  <c r="AI159" i="4"/>
  <c r="BO170" i="4"/>
  <c r="AI283" i="4"/>
  <c r="BO212" i="4"/>
  <c r="BO267" i="4"/>
  <c r="AI219" i="4"/>
  <c r="AN270" i="4"/>
  <c r="AO270" i="4" s="1"/>
  <c r="X270" i="4"/>
  <c r="Z270" i="4" s="1"/>
  <c r="BD295" i="4"/>
  <c r="BF295" i="4" s="1"/>
  <c r="BT295" i="4"/>
  <c r="BU295" i="4" s="1"/>
  <c r="BO195" i="4"/>
  <c r="BO305" i="4"/>
  <c r="AN208" i="4"/>
  <c r="AO208" i="4" s="1"/>
  <c r="X208" i="4"/>
  <c r="AI317" i="4"/>
  <c r="X249" i="4"/>
  <c r="Z249" i="4" s="1"/>
  <c r="AA249" i="4" s="1"/>
  <c r="AN249" i="4"/>
  <c r="AO249" i="4" s="1"/>
  <c r="BO158" i="4"/>
  <c r="BD209" i="4"/>
  <c r="BF209" i="4" s="1"/>
  <c r="BT209" i="4"/>
  <c r="BU209" i="4" s="1"/>
  <c r="BT252" i="4"/>
  <c r="BU252" i="4" s="1"/>
  <c r="BD252" i="4"/>
  <c r="AI215" i="4"/>
  <c r="X207" i="4"/>
  <c r="AN207" i="4"/>
  <c r="AO207" i="4" s="1"/>
  <c r="BO164" i="4"/>
  <c r="AI280" i="4"/>
  <c r="AI234" i="4"/>
  <c r="AI310" i="4"/>
  <c r="AI236" i="4"/>
  <c r="AI296" i="4"/>
  <c r="BO308" i="4"/>
  <c r="AN241" i="4"/>
  <c r="AO241" i="4" s="1"/>
  <c r="X241" i="4"/>
  <c r="AF241" i="4" s="1"/>
  <c r="AI167" i="4"/>
  <c r="AI175" i="4"/>
  <c r="AI325" i="4"/>
  <c r="BO290" i="4"/>
  <c r="BO234" i="4"/>
  <c r="AN201" i="4"/>
  <c r="AO201" i="4" s="1"/>
  <c r="X201" i="4"/>
  <c r="BO264" i="4"/>
  <c r="AI306" i="4"/>
  <c r="AI184" i="4"/>
  <c r="X234" i="4"/>
  <c r="Z234" i="4" s="1"/>
  <c r="AN234" i="4"/>
  <c r="AO234" i="4" s="1"/>
  <c r="AN302" i="4"/>
  <c r="AO302" i="4" s="1"/>
  <c r="X302" i="4"/>
  <c r="AF302" i="4" s="1"/>
  <c r="BO269" i="4"/>
  <c r="BO315" i="4"/>
  <c r="X165" i="4"/>
  <c r="Z165" i="4" s="1"/>
  <c r="AA165" i="4" s="1"/>
  <c r="AN165" i="4"/>
  <c r="AO165" i="4" s="1"/>
  <c r="BT306" i="4"/>
  <c r="BU306" i="4" s="1"/>
  <c r="BD306" i="4"/>
  <c r="BF306" i="4" s="1"/>
  <c r="BG306" i="4" s="1"/>
  <c r="AI264" i="4"/>
  <c r="AN313" i="4"/>
  <c r="AO313" i="4" s="1"/>
  <c r="X313" i="4"/>
  <c r="Z313" i="4" s="1"/>
  <c r="AA313" i="4" s="1"/>
  <c r="AN285" i="4"/>
  <c r="AO285" i="4" s="1"/>
  <c r="X285" i="4"/>
  <c r="Z285" i="4" s="1"/>
  <c r="AI180" i="4"/>
  <c r="BD256" i="4"/>
  <c r="BF256" i="4" s="1"/>
  <c r="BT256" i="4"/>
  <c r="BU256" i="4" s="1"/>
  <c r="X295" i="4"/>
  <c r="Z295" i="4" s="1"/>
  <c r="AN295" i="4"/>
  <c r="AO295" i="4" s="1"/>
  <c r="BT161" i="4"/>
  <c r="BU161" i="4" s="1"/>
  <c r="BD161" i="4"/>
  <c r="BF161" i="4" s="1"/>
  <c r="BG161" i="4" s="1"/>
  <c r="BM161" i="4" s="1"/>
  <c r="BV161" i="4" s="1"/>
  <c r="AN296" i="4"/>
  <c r="AO296" i="4" s="1"/>
  <c r="X296" i="4"/>
  <c r="BT287" i="4"/>
  <c r="BU287" i="4" s="1"/>
  <c r="BD287" i="4"/>
  <c r="BF287" i="4" s="1"/>
  <c r="BG287" i="4" s="1"/>
  <c r="AI323" i="4"/>
  <c r="BT159" i="4"/>
  <c r="BD159" i="4"/>
  <c r="BL159" i="4" s="1"/>
  <c r="AI248" i="4"/>
  <c r="X231" i="4"/>
  <c r="AN231" i="4"/>
  <c r="AO231" i="4" s="1"/>
  <c r="AN263" i="4"/>
  <c r="AO263" i="4" s="1"/>
  <c r="X263" i="4"/>
  <c r="Z263" i="4" s="1"/>
  <c r="AN197" i="4"/>
  <c r="AO197" i="4" s="1"/>
  <c r="X197" i="4"/>
  <c r="BO289" i="4"/>
  <c r="AI259" i="4"/>
  <c r="AN199" i="4"/>
  <c r="AO199" i="4" s="1"/>
  <c r="X199" i="4"/>
  <c r="AI171" i="4"/>
  <c r="X189" i="4"/>
  <c r="Z189" i="4" s="1"/>
  <c r="AA189" i="4" s="1"/>
  <c r="AN189" i="4"/>
  <c r="AO189" i="4" s="1"/>
  <c r="BO196" i="4"/>
  <c r="BO208" i="4"/>
  <c r="AN247" i="4"/>
  <c r="AO247" i="4" s="1"/>
  <c r="X247" i="4"/>
  <c r="Z247" i="4" s="1"/>
  <c r="AA247" i="4" s="1"/>
  <c r="BD274" i="4"/>
  <c r="BF274" i="4" s="1"/>
  <c r="BG274" i="4" s="1"/>
  <c r="BM274" i="4" s="1"/>
  <c r="BV274" i="4" s="1"/>
  <c r="BT274" i="4"/>
  <c r="BU274" i="4" s="1"/>
  <c r="BO227" i="4"/>
  <c r="BO175" i="4"/>
  <c r="BT282" i="4"/>
  <c r="BU282" i="4" s="1"/>
  <c r="BD282" i="4"/>
  <c r="BO213" i="4"/>
  <c r="AI254" i="4"/>
  <c r="AI241" i="4"/>
  <c r="BO173" i="4"/>
  <c r="AI244" i="4"/>
  <c r="BO280" i="4"/>
  <c r="BO220" i="4"/>
  <c r="BD325" i="4"/>
  <c r="BF325" i="4" s="1"/>
  <c r="BG325" i="4" s="1"/>
  <c r="BM325" i="4" s="1"/>
  <c r="BV325" i="4" s="1"/>
  <c r="BT325" i="4"/>
  <c r="BU325" i="4" s="1"/>
  <c r="BO254" i="4"/>
  <c r="BO200" i="4"/>
  <c r="BO304" i="4"/>
  <c r="AI245" i="4"/>
  <c r="AI228" i="4"/>
  <c r="AN193" i="4"/>
  <c r="AO193" i="4" s="1"/>
  <c r="X193" i="4"/>
  <c r="Z193" i="4" s="1"/>
  <c r="AA193" i="4" s="1"/>
  <c r="AG193" i="4" s="1"/>
  <c r="BT177" i="4"/>
  <c r="BU177" i="4" s="1"/>
  <c r="BD177" i="4"/>
  <c r="BL177" i="4" s="1"/>
  <c r="AN256" i="4"/>
  <c r="AO256" i="4" s="1"/>
  <c r="X256" i="4"/>
  <c r="AI316" i="4"/>
  <c r="BO276" i="4"/>
  <c r="BD219" i="4"/>
  <c r="BF219" i="4" s="1"/>
  <c r="BG219" i="4" s="1"/>
  <c r="BT219" i="4"/>
  <c r="BU219" i="4" s="1"/>
  <c r="BO244" i="4"/>
  <c r="BT279" i="4"/>
  <c r="BU279" i="4" s="1"/>
  <c r="BD279" i="4"/>
  <c r="BF279" i="4" s="1"/>
  <c r="X190" i="4"/>
  <c r="Z190" i="4" s="1"/>
  <c r="AN190" i="4"/>
  <c r="AO190" i="4" s="1"/>
  <c r="X161" i="4"/>
  <c r="Z161" i="4" s="1"/>
  <c r="AN161" i="4"/>
  <c r="AO161" i="4" s="1"/>
  <c r="BD288" i="4"/>
  <c r="BF288" i="4" s="1"/>
  <c r="BT288" i="4"/>
  <c r="BU288" i="4" s="1"/>
  <c r="BO181" i="4"/>
  <c r="BT241" i="4"/>
  <c r="BU241" i="4" s="1"/>
  <c r="BD241" i="4"/>
  <c r="BF241" i="4" s="1"/>
  <c r="BG241" i="4" s="1"/>
  <c r="BT195" i="4"/>
  <c r="BU195" i="4" s="1"/>
  <c r="BD195" i="4"/>
  <c r="BF195" i="4" s="1"/>
  <c r="AI278" i="4"/>
  <c r="AI222" i="4"/>
  <c r="X317" i="4"/>
  <c r="Z317" i="4" s="1"/>
  <c r="AA317" i="4" s="1"/>
  <c r="AN317" i="4"/>
  <c r="AO317" i="4" s="1"/>
  <c r="BD215" i="4"/>
  <c r="BF215" i="4" s="1"/>
  <c r="BG215" i="4" s="1"/>
  <c r="BT215" i="4"/>
  <c r="BU215" i="4" s="1"/>
  <c r="BO186" i="4"/>
  <c r="BO252" i="4"/>
  <c r="AI297" i="4"/>
  <c r="AI213" i="4"/>
  <c r="AN323" i="4"/>
  <c r="AO323" i="4" s="1"/>
  <c r="X323" i="4"/>
  <c r="BD321" i="4"/>
  <c r="BF321" i="4" s="1"/>
  <c r="BT321" i="4"/>
  <c r="BU321" i="4" s="1"/>
  <c r="BT289" i="4"/>
  <c r="BU289" i="4" s="1"/>
  <c r="BD289" i="4"/>
  <c r="BL289" i="4" s="1"/>
  <c r="AI294" i="4"/>
  <c r="BT301" i="4"/>
  <c r="BU301" i="4" s="1"/>
  <c r="BD301" i="4"/>
  <c r="BF301" i="4" s="1"/>
  <c r="BO316" i="4"/>
  <c r="AN254" i="4"/>
  <c r="AO254" i="4" s="1"/>
  <c r="X254" i="4"/>
  <c r="Z254" i="4" s="1"/>
  <c r="X246" i="4"/>
  <c r="Z246" i="4" s="1"/>
  <c r="AA246" i="4" s="1"/>
  <c r="AN246" i="4"/>
  <c r="AO246" i="4" s="1"/>
  <c r="BO318" i="4"/>
  <c r="BT320" i="4"/>
  <c r="BU320" i="4" s="1"/>
  <c r="BD320" i="4"/>
  <c r="BF320" i="4" s="1"/>
  <c r="BO243" i="4"/>
  <c r="X283" i="4"/>
  <c r="Z283" i="4" s="1"/>
  <c r="AA283" i="4" s="1"/>
  <c r="AN283" i="4"/>
  <c r="AO283" i="4" s="1"/>
  <c r="BD204" i="4"/>
  <c r="BF204" i="4" s="1"/>
  <c r="BG204" i="4" s="1"/>
  <c r="BT204" i="4"/>
  <c r="BU204" i="4" s="1"/>
  <c r="AI209" i="4"/>
  <c r="AI211" i="4"/>
  <c r="AI260" i="4"/>
  <c r="BT190" i="4"/>
  <c r="BU190" i="4" s="1"/>
  <c r="BD190" i="4"/>
  <c r="BL190" i="4" s="1"/>
  <c r="BD189" i="4"/>
  <c r="BF189" i="4" s="1"/>
  <c r="BG189" i="4" s="1"/>
  <c r="BM189" i="4" s="1"/>
  <c r="BV189" i="4" s="1"/>
  <c r="BT189" i="4"/>
  <c r="BU189" i="4" s="1"/>
  <c r="BO271" i="4"/>
  <c r="BL271" i="4"/>
  <c r="BO300" i="4"/>
  <c r="BD218" i="4"/>
  <c r="BT218" i="4"/>
  <c r="BU218" i="4" s="1"/>
  <c r="BD264" i="4"/>
  <c r="BF264" i="4" s="1"/>
  <c r="BG264" i="4" s="1"/>
  <c r="BM264" i="4" s="1"/>
  <c r="BV264" i="4" s="1"/>
  <c r="BT264" i="4"/>
  <c r="BU264" i="4" s="1"/>
  <c r="X184" i="4"/>
  <c r="Z184" i="4" s="1"/>
  <c r="AN184" i="4"/>
  <c r="AO184" i="4" s="1"/>
  <c r="X174" i="4"/>
  <c r="AN174" i="4"/>
  <c r="AO174" i="4" s="1"/>
  <c r="BD291" i="4"/>
  <c r="BF291" i="4" s="1"/>
  <c r="BT291" i="4"/>
  <c r="BU291" i="4" s="1"/>
  <c r="X217" i="4"/>
  <c r="Z217" i="4" s="1"/>
  <c r="AN217" i="4"/>
  <c r="AO217" i="4" s="1"/>
  <c r="X213" i="4"/>
  <c r="Z213" i="4" s="1"/>
  <c r="AN213" i="4"/>
  <c r="AO213" i="4" s="1"/>
  <c r="AN236" i="4"/>
  <c r="AO236" i="4" s="1"/>
  <c r="X236" i="4"/>
  <c r="Z236" i="4" s="1"/>
  <c r="BD322" i="4"/>
  <c r="BT322" i="4"/>
  <c r="BU322" i="4" s="1"/>
  <c r="AI285" i="4"/>
  <c r="X180" i="4"/>
  <c r="AN180" i="4"/>
  <c r="AO180" i="4" s="1"/>
  <c r="BO256" i="4"/>
  <c r="BO287" i="4"/>
  <c r="BO159" i="4"/>
  <c r="BD214" i="4"/>
  <c r="BF214" i="4" s="1"/>
  <c r="BT214" i="4"/>
  <c r="BU214" i="4" s="1"/>
  <c r="BT178" i="4"/>
  <c r="BU178" i="4" s="1"/>
  <c r="BD178" i="4"/>
  <c r="AI263" i="4"/>
  <c r="BD205" i="4"/>
  <c r="BF205" i="4" s="1"/>
  <c r="BT205" i="4"/>
  <c r="BU205" i="4" s="1"/>
  <c r="AI196" i="4"/>
  <c r="BD224" i="4"/>
  <c r="BF224" i="4" s="1"/>
  <c r="BT224" i="4"/>
  <c r="BU224" i="4" s="1"/>
  <c r="X177" i="4"/>
  <c r="AF177" i="4" s="1"/>
  <c r="AN177" i="4"/>
  <c r="AO177" i="4" s="1"/>
  <c r="AN171" i="4"/>
  <c r="AO171" i="4" s="1"/>
  <c r="X171" i="4"/>
  <c r="BD308" i="4"/>
  <c r="BF308" i="4" s="1"/>
  <c r="BT308" i="4"/>
  <c r="BU308" i="4" s="1"/>
  <c r="AN265" i="4"/>
  <c r="AO265" i="4" s="1"/>
  <c r="X265" i="4"/>
  <c r="Z265" i="4" s="1"/>
  <c r="AA265" i="4" s="1"/>
  <c r="BD208" i="4"/>
  <c r="BF208" i="4" s="1"/>
  <c r="BT208" i="4"/>
  <c r="BU208" i="4" s="1"/>
  <c r="BT261" i="4"/>
  <c r="BU261" i="4" s="1"/>
  <c r="BD261" i="4"/>
  <c r="BL261" i="4" s="1"/>
  <c r="BD203" i="4"/>
  <c r="BL203" i="4" s="1"/>
  <c r="BT203" i="4"/>
  <c r="BU203" i="4" s="1"/>
  <c r="X225" i="4"/>
  <c r="Z225" i="4" s="1"/>
  <c r="AN225" i="4"/>
  <c r="AO225" i="4" s="1"/>
  <c r="BD227" i="4"/>
  <c r="BF227" i="4" s="1"/>
  <c r="BT227" i="4"/>
  <c r="BU227" i="4" s="1"/>
  <c r="X233" i="4"/>
  <c r="AN233" i="4"/>
  <c r="AO233" i="4" s="1"/>
  <c r="X272" i="4"/>
  <c r="AF272" i="4" s="1"/>
  <c r="AN272" i="4"/>
  <c r="AO272" i="4" s="1"/>
  <c r="BT317" i="4"/>
  <c r="BU317" i="4" s="1"/>
  <c r="BD317" i="4"/>
  <c r="BF317" i="4" s="1"/>
  <c r="BG317" i="4" s="1"/>
  <c r="BM317" i="4" s="1"/>
  <c r="BV317" i="4" s="1"/>
  <c r="X176" i="4"/>
  <c r="Z176" i="4" s="1"/>
  <c r="AN176" i="4"/>
  <c r="AO176" i="4" s="1"/>
  <c r="BT280" i="4"/>
  <c r="BU280" i="4" s="1"/>
  <c r="BD280" i="4"/>
  <c r="BD220" i="4"/>
  <c r="BF220" i="4" s="1"/>
  <c r="BG220" i="4" s="1"/>
  <c r="BM220" i="4" s="1"/>
  <c r="BV220" i="4" s="1"/>
  <c r="BT220" i="4"/>
  <c r="BU220" i="4" s="1"/>
  <c r="BT254" i="4"/>
  <c r="BU254" i="4" s="1"/>
  <c r="BD254" i="4"/>
  <c r="X186" i="4"/>
  <c r="Z186" i="4" s="1"/>
  <c r="AN186" i="4"/>
  <c r="AO186" i="4" s="1"/>
  <c r="AI282" i="4"/>
  <c r="AN160" i="4"/>
  <c r="AO160" i="4" s="1"/>
  <c r="X160" i="4"/>
  <c r="Z160" i="4" s="1"/>
  <c r="X195" i="4"/>
  <c r="Z195" i="4" s="1"/>
  <c r="AA195" i="4" s="1"/>
  <c r="AG195" i="4" s="1"/>
  <c r="AN195" i="4"/>
  <c r="AO195" i="4" s="1"/>
  <c r="BD174" i="4"/>
  <c r="BF174" i="4" s="1"/>
  <c r="BT174" i="4"/>
  <c r="BU174" i="4" s="1"/>
  <c r="BD160" i="4"/>
  <c r="BT160" i="4"/>
  <c r="BU160" i="4" s="1"/>
  <c r="BT304" i="4"/>
  <c r="BU304" i="4" s="1"/>
  <c r="BD304" i="4"/>
  <c r="BD182" i="4"/>
  <c r="BT182" i="4"/>
  <c r="BU182" i="4" s="1"/>
  <c r="X228" i="4"/>
  <c r="AN228" i="4"/>
  <c r="AO228" i="4" s="1"/>
  <c r="BO177" i="4"/>
  <c r="AI267" i="4"/>
  <c r="BT318" i="4"/>
  <c r="BU318" i="4" s="1"/>
  <c r="BD318" i="4"/>
  <c r="X166" i="4"/>
  <c r="AN166" i="4"/>
  <c r="AO166" i="4" s="1"/>
  <c r="BD235" i="4"/>
  <c r="BF235" i="4" s="1"/>
  <c r="BG235" i="4" s="1"/>
  <c r="BM235" i="4" s="1"/>
  <c r="BV235" i="4" s="1"/>
  <c r="BT235" i="4"/>
  <c r="BU235" i="4" s="1"/>
  <c r="X175" i="4"/>
  <c r="Z175" i="4" s="1"/>
  <c r="AA175" i="4" s="1"/>
  <c r="AG175" i="4" s="1"/>
  <c r="AN175" i="4"/>
  <c r="AO175" i="4" s="1"/>
  <c r="BD184" i="4"/>
  <c r="BL184" i="4" s="1"/>
  <c r="BT184" i="4"/>
  <c r="BU184" i="4" s="1"/>
  <c r="AN307" i="4"/>
  <c r="AO307" i="4" s="1"/>
  <c r="X307" i="4"/>
  <c r="AF307" i="4" s="1"/>
  <c r="BD243" i="4"/>
  <c r="BF243" i="4" s="1"/>
  <c r="BG243" i="4" s="1"/>
  <c r="BT243" i="4"/>
  <c r="BU243" i="4" s="1"/>
  <c r="AI190" i="4"/>
  <c r="X194" i="4"/>
  <c r="Z194" i="4" s="1"/>
  <c r="AN194" i="4"/>
  <c r="AO194" i="4" s="1"/>
  <c r="BD181" i="4"/>
  <c r="BT181" i="4"/>
  <c r="BU181" i="4" s="1"/>
  <c r="BT212" i="4"/>
  <c r="BU212" i="4" s="1"/>
  <c r="BD212" i="4"/>
  <c r="X219" i="4"/>
  <c r="Z219" i="4" s="1"/>
  <c r="AA219" i="4" s="1"/>
  <c r="AG219" i="4" s="1"/>
  <c r="AN219" i="4"/>
  <c r="AO219" i="4" s="1"/>
  <c r="AI270" i="4"/>
  <c r="BO204" i="4"/>
  <c r="AN209" i="4"/>
  <c r="AO209" i="4" s="1"/>
  <c r="X209" i="4"/>
  <c r="X222" i="4"/>
  <c r="AN222" i="4"/>
  <c r="AO222" i="4" s="1"/>
  <c r="X268" i="4"/>
  <c r="AN268" i="4"/>
  <c r="AO268" i="4" s="1"/>
  <c r="AI208" i="4"/>
  <c r="BO215" i="4"/>
  <c r="BT158" i="4"/>
  <c r="BU158" i="4" s="1"/>
  <c r="BD158" i="4"/>
  <c r="BD168" i="4"/>
  <c r="BF168" i="4" s="1"/>
  <c r="BT168" i="4"/>
  <c r="BU168" i="4" s="1"/>
  <c r="BO209" i="4"/>
  <c r="BD166" i="4"/>
  <c r="BF166" i="4" s="1"/>
  <c r="BT166" i="4"/>
  <c r="BU166" i="4" s="1"/>
  <c r="BT221" i="4"/>
  <c r="BU221" i="4" s="1"/>
  <c r="BD221" i="4"/>
  <c r="BF221" i="4" s="1"/>
  <c r="BD186" i="4"/>
  <c r="BT186" i="4"/>
  <c r="BU186" i="4" s="1"/>
  <c r="X215" i="4"/>
  <c r="Z215" i="4" s="1"/>
  <c r="AA215" i="4" s="1"/>
  <c r="AG215" i="4" s="1"/>
  <c r="AN215" i="4"/>
  <c r="AO215" i="4" s="1"/>
  <c r="X211" i="4"/>
  <c r="AN211" i="4"/>
  <c r="AO211" i="4" s="1"/>
  <c r="BD164" i="4"/>
  <c r="BF164" i="4" s="1"/>
  <c r="BT164" i="4"/>
  <c r="BU164" i="4" s="1"/>
  <c r="X280" i="4"/>
  <c r="AN280" i="4"/>
  <c r="AO280" i="4" s="1"/>
  <c r="BT234" i="4"/>
  <c r="BU234" i="4" s="1"/>
  <c r="BD234" i="4"/>
  <c r="AN306" i="4"/>
  <c r="AO306" i="4" s="1"/>
  <c r="X306" i="4"/>
  <c r="AF306" i="4" s="1"/>
  <c r="AI203" i="4"/>
  <c r="BO306" i="4"/>
  <c r="BO249" i="4"/>
  <c r="BO214" i="4"/>
  <c r="BT196" i="4"/>
  <c r="BU196" i="4" s="1"/>
  <c r="BD196" i="4"/>
  <c r="BO203" i="4"/>
  <c r="X301" i="4"/>
  <c r="AN301" i="4"/>
  <c r="AO301" i="4" s="1"/>
  <c r="AI176" i="4"/>
  <c r="AN282" i="4"/>
  <c r="AO282" i="4" s="1"/>
  <c r="X282" i="4"/>
  <c r="AI290" i="4"/>
  <c r="AN316" i="4"/>
  <c r="AO316" i="4" s="1"/>
  <c r="X316" i="4"/>
  <c r="BO184" i="4"/>
  <c r="BD278" i="4"/>
  <c r="BF278" i="4" s="1"/>
  <c r="BG278" i="4" s="1"/>
  <c r="BT278" i="4"/>
  <c r="BU278" i="4" s="1"/>
  <c r="AI161" i="4"/>
  <c r="BO288" i="4"/>
  <c r="BO295" i="4"/>
  <c r="AI249" i="4"/>
  <c r="BO221" i="4"/>
  <c r="AI207" i="4"/>
  <c r="AN300" i="4"/>
  <c r="AO300" i="4" s="1"/>
  <c r="X300" i="4"/>
  <c r="Z300" i="4" s="1"/>
  <c r="AN227" i="4"/>
  <c r="AO227" i="4" s="1"/>
  <c r="X227" i="4"/>
  <c r="Z227" i="4" s="1"/>
  <c r="BT266" i="4"/>
  <c r="BU266" i="4" s="1"/>
  <c r="BD266" i="4"/>
  <c r="BL266" i="4" s="1"/>
  <c r="BO237" i="4"/>
  <c r="AI324" i="4"/>
  <c r="BO293" i="4"/>
  <c r="BO236" i="4"/>
  <c r="AI185" i="4"/>
  <c r="AI320" i="4"/>
  <c r="AN311" i="4"/>
  <c r="AO311" i="4" s="1"/>
  <c r="X311" i="4"/>
  <c r="Z311" i="4" s="1"/>
  <c r="AA311" i="4" s="1"/>
  <c r="AG311" i="4" s="1"/>
  <c r="BO292" i="4"/>
  <c r="AI276" i="4"/>
  <c r="X288" i="4"/>
  <c r="Z288" i="4" s="1"/>
  <c r="AA288" i="4" s="1"/>
  <c r="AG288" i="4" s="1"/>
  <c r="AN288" i="4"/>
  <c r="AO288" i="4" s="1"/>
  <c r="AI232" i="4"/>
  <c r="AI187" i="4"/>
  <c r="BD265" i="4"/>
  <c r="BL265" i="4" s="1"/>
  <c r="BT265" i="4"/>
  <c r="BU265" i="4" s="1"/>
  <c r="AI292" i="4"/>
  <c r="BO217" i="4"/>
  <c r="BD260" i="4"/>
  <c r="BF260" i="4" s="1"/>
  <c r="BT260" i="4"/>
  <c r="BU260" i="4" s="1"/>
  <c r="BO298" i="4"/>
  <c r="AN179" i="4"/>
  <c r="AO179" i="4" s="1"/>
  <c r="X179" i="4"/>
  <c r="Z179" i="4" s="1"/>
  <c r="BO251" i="4"/>
  <c r="BD314" i="4"/>
  <c r="BF314" i="4" s="1"/>
  <c r="BT314" i="4"/>
  <c r="BU314" i="4" s="1"/>
  <c r="BO163" i="4"/>
  <c r="X305" i="4"/>
  <c r="Z305" i="4" s="1"/>
  <c r="AA305" i="4" s="1"/>
  <c r="AG305" i="4" s="1"/>
  <c r="AN305" i="4"/>
  <c r="AO305" i="4" s="1"/>
  <c r="AN304" i="4"/>
  <c r="AO304" i="4" s="1"/>
  <c r="X304" i="4"/>
  <c r="Z304" i="4" s="1"/>
  <c r="AA304" i="4" s="1"/>
  <c r="BD319" i="4"/>
  <c r="BF319" i="4" s="1"/>
  <c r="BT319" i="4"/>
  <c r="BU319" i="4" s="1"/>
  <c r="BO248" i="4"/>
  <c r="BT232" i="4"/>
  <c r="BU232" i="4" s="1"/>
  <c r="BD232" i="4"/>
  <c r="BL232" i="4" s="1"/>
  <c r="BO239" i="4"/>
  <c r="BO281" i="4"/>
  <c r="BT286" i="4"/>
  <c r="BU286" i="4" s="1"/>
  <c r="BD286" i="4"/>
  <c r="BL286" i="4" s="1"/>
  <c r="AI255" i="4"/>
  <c r="BD273" i="4"/>
  <c r="BF273" i="4" s="1"/>
  <c r="BT273" i="4"/>
  <c r="BU273" i="4" s="1"/>
  <c r="AI319" i="4"/>
  <c r="BT284" i="4"/>
  <c r="BU284" i="4" s="1"/>
  <c r="BD284" i="4"/>
  <c r="BO172" i="4"/>
  <c r="AI291" i="4"/>
  <c r="BO165" i="4"/>
  <c r="AN198" i="4"/>
  <c r="AO198" i="4" s="1"/>
  <c r="X198" i="4"/>
  <c r="Z198" i="4" s="1"/>
  <c r="AI178" i="4"/>
  <c r="BO183" i="4"/>
  <c r="BO250" i="4"/>
  <c r="X293" i="4"/>
  <c r="Z293" i="4" s="1"/>
  <c r="AA293" i="4" s="1"/>
  <c r="AG293" i="4" s="1"/>
  <c r="AN293" i="4"/>
  <c r="AO293" i="4" s="1"/>
  <c r="AN279" i="4"/>
  <c r="AO279" i="4" s="1"/>
  <c r="X279" i="4"/>
  <c r="Z279" i="4" s="1"/>
  <c r="BO207" i="4"/>
  <c r="AI299" i="4"/>
  <c r="AN202" i="4"/>
  <c r="AO202" i="4" s="1"/>
  <c r="X202" i="4"/>
  <c r="Z202" i="4" s="1"/>
  <c r="AA202" i="4" s="1"/>
  <c r="AG202" i="4" s="1"/>
  <c r="BD294" i="4"/>
  <c r="BT294" i="4"/>
  <c r="BU294" i="4" s="1"/>
  <c r="X212" i="4"/>
  <c r="AN212" i="4"/>
  <c r="AO212" i="4" s="1"/>
  <c r="X173" i="4"/>
  <c r="Z173" i="4" s="1"/>
  <c r="AN173" i="4"/>
  <c r="AO173" i="4" s="1"/>
  <c r="AI271" i="4"/>
  <c r="X261" i="4"/>
  <c r="AF261" i="4" s="1"/>
  <c r="AN261" i="4"/>
  <c r="AO261" i="4" s="1"/>
  <c r="BT231" i="4"/>
  <c r="BU231" i="4" s="1"/>
  <c r="BD231" i="4"/>
  <c r="BO255" i="4"/>
  <c r="BD247" i="4"/>
  <c r="BT247" i="4"/>
  <c r="BU247" i="4" s="1"/>
  <c r="AI266" i="4"/>
  <c r="AI240" i="4"/>
  <c r="AI205" i="4"/>
  <c r="X303" i="4"/>
  <c r="Z303" i="4" s="1"/>
  <c r="AA303" i="4" s="1"/>
  <c r="AN303" i="4"/>
  <c r="AO303" i="4" s="1"/>
  <c r="AI221" i="4"/>
  <c r="AI321" i="4"/>
  <c r="BO191" i="4"/>
  <c r="AI206" i="4"/>
  <c r="AI229" i="4"/>
  <c r="BT206" i="4"/>
  <c r="BU206" i="4" s="1"/>
  <c r="BD206" i="4"/>
  <c r="BF206" i="4" s="1"/>
  <c r="BG206" i="4" s="1"/>
  <c r="BM206" i="4" s="1"/>
  <c r="BO296" i="4"/>
  <c r="AI252" i="4"/>
  <c r="AI223" i="4"/>
  <c r="AI308" i="4"/>
  <c r="BT228" i="4"/>
  <c r="BU228" i="4" s="1"/>
  <c r="BD228" i="4"/>
  <c r="BL228" i="4" s="1"/>
  <c r="BO270" i="4"/>
  <c r="BO210" i="4"/>
  <c r="BO324" i="4"/>
  <c r="BD246" i="4"/>
  <c r="BF246" i="4" s="1"/>
  <c r="BT246" i="4"/>
  <c r="BU246" i="4" s="1"/>
  <c r="BD222" i="4"/>
  <c r="BF222" i="4" s="1"/>
  <c r="BT222" i="4"/>
  <c r="BU222" i="4" s="1"/>
  <c r="BT297" i="4"/>
  <c r="BU297" i="4" s="1"/>
  <c r="BD297" i="4"/>
  <c r="BF297" i="4" s="1"/>
  <c r="BG297" i="4" s="1"/>
  <c r="BO311" i="4"/>
  <c r="BD229" i="4"/>
  <c r="BF229" i="4" s="1"/>
  <c r="BT229" i="4"/>
  <c r="BU229" i="4" s="1"/>
  <c r="AI216" i="4"/>
  <c r="AI243" i="4"/>
  <c r="BO275" i="4"/>
  <c r="BD299" i="4"/>
  <c r="BT299" i="4"/>
  <c r="BU299" i="4" s="1"/>
  <c r="AI242" i="4"/>
  <c r="BT188" i="4"/>
  <c r="BU188" i="4" s="1"/>
  <c r="BD188" i="4"/>
  <c r="BF188" i="4" s="1"/>
  <c r="AI158" i="4"/>
  <c r="AI181" i="4"/>
  <c r="AI168" i="4"/>
  <c r="BO268" i="4"/>
  <c r="X284" i="4"/>
  <c r="AN284" i="4"/>
  <c r="AO284" i="4" s="1"/>
  <c r="BT167" i="4"/>
  <c r="BU167" i="4" s="1"/>
  <c r="BD167" i="4"/>
  <c r="BO238" i="4"/>
  <c r="BO302" i="4"/>
  <c r="X277" i="4"/>
  <c r="AN277" i="4"/>
  <c r="AO277" i="4" s="1"/>
  <c r="AI262" i="4"/>
  <c r="AN169" i="4"/>
  <c r="AO169" i="4" s="1"/>
  <c r="X169" i="4"/>
  <c r="Z169" i="4" s="1"/>
  <c r="BD300" i="4"/>
  <c r="BT300" i="4"/>
  <c r="BU300" i="4" s="1"/>
  <c r="BO291" i="4"/>
  <c r="X248" i="4"/>
  <c r="AN248" i="4"/>
  <c r="AO248" i="4" s="1"/>
  <c r="BO205" i="4"/>
  <c r="AI177" i="4"/>
  <c r="AN244" i="4"/>
  <c r="AO244" i="4" s="1"/>
  <c r="X244" i="4"/>
  <c r="AI314" i="4"/>
  <c r="AI194" i="4"/>
  <c r="AI300" i="4"/>
  <c r="AI227" i="4"/>
  <c r="AI309" i="4"/>
  <c r="AI214" i="4"/>
  <c r="BO313" i="4"/>
  <c r="AN324" i="4"/>
  <c r="AO324" i="4" s="1"/>
  <c r="X324" i="4"/>
  <c r="Z324" i="4" s="1"/>
  <c r="AA324" i="4" s="1"/>
  <c r="X185" i="4"/>
  <c r="Z185" i="4" s="1"/>
  <c r="AN185" i="4"/>
  <c r="AO185" i="4" s="1"/>
  <c r="BO257" i="4"/>
  <c r="AN320" i="4"/>
  <c r="AO320" i="4" s="1"/>
  <c r="X320" i="4"/>
  <c r="Z320" i="4" s="1"/>
  <c r="AA320" i="4" s="1"/>
  <c r="AN163" i="4"/>
  <c r="AO163" i="4" s="1"/>
  <c r="X163" i="4"/>
  <c r="Z163" i="4" s="1"/>
  <c r="AA163" i="4" s="1"/>
  <c r="AG163" i="4" s="1"/>
  <c r="BO185" i="4"/>
  <c r="BD225" i="4"/>
  <c r="BF225" i="4" s="1"/>
  <c r="BG225" i="4" s="1"/>
  <c r="BT225" i="4"/>
  <c r="BU225" i="4" s="1"/>
  <c r="BO323" i="4"/>
  <c r="AN253" i="4"/>
  <c r="AO253" i="4" s="1"/>
  <c r="X253" i="4"/>
  <c r="Z253" i="4" s="1"/>
  <c r="X232" i="4"/>
  <c r="Z232" i="4" s="1"/>
  <c r="AN232" i="4"/>
  <c r="AO232" i="4" s="1"/>
  <c r="BO265" i="4"/>
  <c r="BO198" i="4"/>
  <c r="AN292" i="4"/>
  <c r="AO292" i="4" s="1"/>
  <c r="X292" i="4"/>
  <c r="Z292" i="4" s="1"/>
  <c r="AI200" i="4"/>
  <c r="BT298" i="4"/>
  <c r="BU298" i="4" s="1"/>
  <c r="BD298" i="4"/>
  <c r="BF298" i="4" s="1"/>
  <c r="AI179" i="4"/>
  <c r="BD216" i="4"/>
  <c r="BF216" i="4" s="1"/>
  <c r="BT216" i="4"/>
  <c r="BU216" i="4" s="1"/>
  <c r="AI204" i="4"/>
  <c r="BO314" i="4"/>
  <c r="BO192" i="4"/>
  <c r="AI269" i="4"/>
  <c r="AI289" i="4"/>
  <c r="BD211" i="4"/>
  <c r="BT211" i="4"/>
  <c r="BU211" i="4" s="1"/>
  <c r="BD262" i="4"/>
  <c r="BF262" i="4" s="1"/>
  <c r="BT262" i="4"/>
  <c r="BU262" i="4" s="1"/>
  <c r="BO319" i="4"/>
  <c r="BT248" i="4"/>
  <c r="BU248" i="4" s="1"/>
  <c r="BD248" i="4"/>
  <c r="BF248" i="4" s="1"/>
  <c r="BG248" i="4" s="1"/>
  <c r="BM248" i="4" s="1"/>
  <c r="BV248" i="4" s="1"/>
  <c r="AN281" i="4"/>
  <c r="AO281" i="4" s="1"/>
  <c r="X281" i="4"/>
  <c r="Z281" i="4" s="1"/>
  <c r="AA281" i="4" s="1"/>
  <c r="AG281" i="4" s="1"/>
  <c r="BO176" i="4"/>
  <c r="BT312" i="4"/>
  <c r="BU312" i="4" s="1"/>
  <c r="BD312" i="4"/>
  <c r="BL312" i="4" s="1"/>
  <c r="BT309" i="4"/>
  <c r="BU309" i="4" s="1"/>
  <c r="BD309" i="4"/>
  <c r="BO179" i="4"/>
  <c r="BO258" i="4"/>
  <c r="AI192" i="4"/>
  <c r="AI286" i="4"/>
  <c r="BO253" i="4"/>
  <c r="X170" i="4"/>
  <c r="AN170" i="4"/>
  <c r="AO170" i="4" s="1"/>
  <c r="BD307" i="4"/>
  <c r="BF307" i="4" s="1"/>
  <c r="BT307" i="4"/>
  <c r="BU307" i="4" s="1"/>
  <c r="AI293" i="4"/>
  <c r="AI279" i="4"/>
  <c r="BD207" i="4"/>
  <c r="BT207" i="4"/>
  <c r="BU207" i="4" s="1"/>
  <c r="AI202" i="4"/>
  <c r="BO294" i="4"/>
  <c r="AI312" i="4"/>
  <c r="AI230" i="4"/>
  <c r="BO226" i="4"/>
  <c r="AI250" i="4"/>
  <c r="BT223" i="4"/>
  <c r="BU223" i="4" s="1"/>
  <c r="BD223" i="4"/>
  <c r="BF223" i="4" s="1"/>
  <c r="BG223" i="4" s="1"/>
  <c r="AI315" i="4"/>
  <c r="BO187" i="4"/>
  <c r="AN321" i="4"/>
  <c r="AO321" i="4" s="1"/>
  <c r="X321" i="4"/>
  <c r="Z321" i="4" s="1"/>
  <c r="AA321" i="4" s="1"/>
  <c r="BO162" i="4"/>
  <c r="X206" i="4"/>
  <c r="AN206" i="4"/>
  <c r="AO206" i="4" s="1"/>
  <c r="BD199" i="4"/>
  <c r="BF199" i="4" s="1"/>
  <c r="BG199" i="4" s="1"/>
  <c r="BM199" i="4" s="1"/>
  <c r="BV199" i="4" s="1"/>
  <c r="BT199" i="4"/>
  <c r="BU199" i="4" s="1"/>
  <c r="BO283" i="4"/>
  <c r="BO228" i="4"/>
  <c r="BO263" i="4"/>
  <c r="BO180" i="4"/>
  <c r="AN237" i="4"/>
  <c r="AO237" i="4" s="1"/>
  <c r="X237" i="4"/>
  <c r="Z237" i="4" s="1"/>
  <c r="AA237" i="4" s="1"/>
  <c r="BO310" i="4"/>
  <c r="AI322" i="4"/>
  <c r="BD272" i="4"/>
  <c r="BF272" i="4" s="1"/>
  <c r="BT272" i="4"/>
  <c r="BU272" i="4" s="1"/>
  <c r="AI318" i="4"/>
  <c r="AI182" i="4"/>
  <c r="BD275" i="4"/>
  <c r="BT275" i="4"/>
  <c r="BU275" i="4" s="1"/>
  <c r="BO299" i="4"/>
  <c r="AN242" i="4"/>
  <c r="AO242" i="4" s="1"/>
  <c r="X242" i="4"/>
  <c r="BO188" i="4"/>
  <c r="BT277" i="4"/>
  <c r="BU277" i="4" s="1"/>
  <c r="BD277" i="4"/>
  <c r="AN181" i="4"/>
  <c r="AO181" i="4" s="1"/>
  <c r="X181" i="4"/>
  <c r="Z181" i="4" s="1"/>
  <c r="BO167" i="4"/>
  <c r="BT238" i="4"/>
  <c r="BU238" i="4" s="1"/>
  <c r="BD238" i="4"/>
  <c r="BO240" i="4"/>
  <c r="BO242" i="4"/>
  <c r="AN262" i="4"/>
  <c r="AO262" i="4" s="1"/>
  <c r="X262" i="4"/>
  <c r="AF262" i="4" s="1"/>
  <c r="AI169" i="4"/>
  <c r="BO190" i="4"/>
  <c r="BT202" i="4"/>
  <c r="BU202" i="4" s="1"/>
  <c r="BD202" i="4"/>
  <c r="BT269" i="4"/>
  <c r="BU269" i="4" s="1"/>
  <c r="BD269" i="4"/>
  <c r="AO264" i="4"/>
  <c r="AN235" i="4"/>
  <c r="AO235" i="4" s="1"/>
  <c r="X235" i="4"/>
  <c r="BO161" i="4"/>
  <c r="BU159" i="4"/>
  <c r="AN287" i="4"/>
  <c r="AO287" i="4" s="1"/>
  <c r="X287" i="4"/>
  <c r="X196" i="4"/>
  <c r="Z196" i="4" s="1"/>
  <c r="AN196" i="4"/>
  <c r="AO196" i="4" s="1"/>
  <c r="BO285" i="4"/>
  <c r="BL285" i="4"/>
  <c r="AI298" i="4"/>
  <c r="AI272" i="4"/>
  <c r="AI238" i="4"/>
  <c r="AI191" i="4"/>
  <c r="X239" i="4"/>
  <c r="AN239" i="4"/>
  <c r="AO239" i="4" s="1"/>
  <c r="BD303" i="4"/>
  <c r="BT303" i="4"/>
  <c r="BU303" i="4" s="1"/>
  <c r="BD276" i="4"/>
  <c r="BT276" i="4"/>
  <c r="BU276" i="4" s="1"/>
  <c r="AI307" i="4"/>
  <c r="BT170" i="4"/>
  <c r="BU170" i="4" s="1"/>
  <c r="BD170" i="4"/>
  <c r="BO241" i="4"/>
  <c r="BD305" i="4"/>
  <c r="BT305" i="4"/>
  <c r="BU305" i="4" s="1"/>
  <c r="BO168" i="4"/>
  <c r="BO166" i="4"/>
  <c r="AN297" i="4"/>
  <c r="AO297" i="4" s="1"/>
  <c r="X297" i="4"/>
  <c r="X309" i="4"/>
  <c r="Z309" i="4" s="1"/>
  <c r="AA309" i="4" s="1"/>
  <c r="AG309" i="4" s="1"/>
  <c r="AN309" i="4"/>
  <c r="AO309" i="4" s="1"/>
  <c r="BO266" i="4"/>
  <c r="BD237" i="4"/>
  <c r="BF237" i="4" s="1"/>
  <c r="BG237" i="4" s="1"/>
  <c r="BT237" i="4"/>
  <c r="BU237" i="4" s="1"/>
  <c r="AI251" i="4"/>
  <c r="BD293" i="4"/>
  <c r="BT293" i="4"/>
  <c r="BU293" i="4" s="1"/>
  <c r="BT236" i="4"/>
  <c r="BU236" i="4" s="1"/>
  <c r="BD236" i="4"/>
  <c r="BF236" i="4" s="1"/>
  <c r="BD257" i="4"/>
  <c r="BF257" i="4" s="1"/>
  <c r="BT257" i="4"/>
  <c r="BU257" i="4" s="1"/>
  <c r="AI163" i="4"/>
  <c r="AI311" i="4"/>
  <c r="BT292" i="4"/>
  <c r="BU292" i="4" s="1"/>
  <c r="BD292" i="4"/>
  <c r="BF292" i="4" s="1"/>
  <c r="BG292" i="4" s="1"/>
  <c r="AI162" i="4"/>
  <c r="AI253" i="4"/>
  <c r="X188" i="4"/>
  <c r="AN188" i="4"/>
  <c r="AO188" i="4" s="1"/>
  <c r="X187" i="4"/>
  <c r="Z187" i="4" s="1"/>
  <c r="AA187" i="4" s="1"/>
  <c r="AN187" i="4"/>
  <c r="AO187" i="4" s="1"/>
  <c r="BD217" i="4"/>
  <c r="BF217" i="4" s="1"/>
  <c r="BG217" i="4" s="1"/>
  <c r="BM217" i="4" s="1"/>
  <c r="BV217" i="4" s="1"/>
  <c r="BT217" i="4"/>
  <c r="BU217" i="4" s="1"/>
  <c r="BO260" i="4"/>
  <c r="AN200" i="4"/>
  <c r="AO200" i="4" s="1"/>
  <c r="X200" i="4"/>
  <c r="Z200" i="4" s="1"/>
  <c r="BO216" i="4"/>
  <c r="BD192" i="4"/>
  <c r="BT192" i="4"/>
  <c r="BU192" i="4" s="1"/>
  <c r="BT163" i="4"/>
  <c r="BU163" i="4" s="1"/>
  <c r="BD163" i="4"/>
  <c r="BF163" i="4" s="1"/>
  <c r="BG163" i="4" s="1"/>
  <c r="BM163" i="4" s="1"/>
  <c r="BV163" i="4" s="1"/>
  <c r="AN269" i="4"/>
  <c r="AO269" i="4" s="1"/>
  <c r="X269" i="4"/>
  <c r="Z269" i="4" s="1"/>
  <c r="AI305" i="4"/>
  <c r="BO262" i="4"/>
  <c r="AI210" i="4"/>
  <c r="AI304" i="4"/>
  <c r="BD233" i="4"/>
  <c r="BT233" i="4"/>
  <c r="BU233" i="4" s="1"/>
  <c r="AI281" i="4"/>
  <c r="BT239" i="4"/>
  <c r="BU239" i="4" s="1"/>
  <c r="BD239" i="4"/>
  <c r="BL239" i="4" s="1"/>
  <c r="BO312" i="4"/>
  <c r="BO286" i="4"/>
  <c r="BO273" i="4"/>
  <c r="AN258" i="4"/>
  <c r="AO258" i="4" s="1"/>
  <c r="X258" i="4"/>
  <c r="Z258" i="4" s="1"/>
  <c r="AA258" i="4" s="1"/>
  <c r="AG258" i="4" s="1"/>
  <c r="X319" i="4"/>
  <c r="Z319" i="4" s="1"/>
  <c r="AN319" i="4"/>
  <c r="AO319" i="4" s="1"/>
  <c r="BO245" i="4"/>
  <c r="BO284" i="4"/>
  <c r="X192" i="4"/>
  <c r="Z192" i="4" s="1"/>
  <c r="AA192" i="4" s="1"/>
  <c r="AN192" i="4"/>
  <c r="AO192" i="4" s="1"/>
  <c r="X286" i="4"/>
  <c r="Z286" i="4" s="1"/>
  <c r="AA286" i="4" s="1"/>
  <c r="AG286" i="4" s="1"/>
  <c r="AN286" i="4"/>
  <c r="AO286" i="4" s="1"/>
  <c r="BO197" i="4"/>
  <c r="BD253" i="4"/>
  <c r="BF253" i="4" s="1"/>
  <c r="BT253" i="4"/>
  <c r="BU253" i="4" s="1"/>
  <c r="BO193" i="4"/>
  <c r="AN291" i="4"/>
  <c r="AO291" i="4" s="1"/>
  <c r="X291" i="4"/>
  <c r="Z291" i="4" s="1"/>
  <c r="BT165" i="4"/>
  <c r="BU165" i="4" s="1"/>
  <c r="BD165" i="4"/>
  <c r="AI198" i="4"/>
  <c r="AI218" i="4"/>
  <c r="X299" i="4"/>
  <c r="Z299" i="4" s="1"/>
  <c r="AN299" i="4"/>
  <c r="AO299" i="4" s="1"/>
  <c r="AI257" i="4"/>
  <c r="AI224" i="4"/>
  <c r="X312" i="4"/>
  <c r="AN312" i="4"/>
  <c r="AO312" i="4" s="1"/>
  <c r="X230" i="4"/>
  <c r="Z230" i="4" s="1"/>
  <c r="AN230" i="4"/>
  <c r="AO230" i="4" s="1"/>
  <c r="AN273" i="4"/>
  <c r="AO273" i="4" s="1"/>
  <c r="X273" i="4"/>
  <c r="AI212" i="4"/>
  <c r="AI173" i="4"/>
  <c r="X250" i="4"/>
  <c r="Z250" i="4" s="1"/>
  <c r="AN250" i="4"/>
  <c r="AO250" i="4" s="1"/>
  <c r="BO231" i="4"/>
  <c r="BD255" i="4"/>
  <c r="BF255" i="4" s="1"/>
  <c r="BG255" i="4" s="1"/>
  <c r="BT255" i="4"/>
  <c r="BU255" i="4" s="1"/>
  <c r="BO247" i="4"/>
  <c r="BO223" i="4"/>
  <c r="AN240" i="4"/>
  <c r="AO240" i="4" s="1"/>
  <c r="X240" i="4"/>
  <c r="AN315" i="4"/>
  <c r="AO315" i="4" s="1"/>
  <c r="X315" i="4"/>
  <c r="AN205" i="4"/>
  <c r="AO205" i="4" s="1"/>
  <c r="X205" i="4"/>
  <c r="Z205" i="4" s="1"/>
  <c r="AA205" i="4" s="1"/>
  <c r="AG205" i="4" s="1"/>
  <c r="AI303" i="4"/>
  <c r="X221" i="4"/>
  <c r="Z221" i="4" s="1"/>
  <c r="AA221" i="4" s="1"/>
  <c r="AN221" i="4"/>
  <c r="AO221" i="4" s="1"/>
  <c r="BD187" i="4"/>
  <c r="BF187" i="4" s="1"/>
  <c r="BG187" i="4" s="1"/>
  <c r="BM187" i="4" s="1"/>
  <c r="BV187" i="4" s="1"/>
  <c r="BT187" i="4"/>
  <c r="BU187" i="4" s="1"/>
  <c r="AN274" i="4"/>
  <c r="AO274" i="4" s="1"/>
  <c r="X274" i="4"/>
  <c r="Z274" i="4" s="1"/>
  <c r="AA274" i="4" s="1"/>
  <c r="BD296" i="4"/>
  <c r="BF296" i="4" s="1"/>
  <c r="BG296" i="4" s="1"/>
  <c r="BM296" i="4" s="1"/>
  <c r="BV296" i="4" s="1"/>
  <c r="BT296" i="4"/>
  <c r="BU296" i="4" s="1"/>
  <c r="X252" i="4"/>
  <c r="Z252" i="4" s="1"/>
  <c r="AA252" i="4" s="1"/>
  <c r="AG252" i="4" s="1"/>
  <c r="AN252" i="4"/>
  <c r="AO252" i="4" s="1"/>
  <c r="BO199" i="4"/>
  <c r="BD283" i="4"/>
  <c r="BF283" i="4" s="1"/>
  <c r="BT283" i="4"/>
  <c r="BU283" i="4" s="1"/>
  <c r="AN308" i="4"/>
  <c r="AO308" i="4" s="1"/>
  <c r="X308" i="4"/>
  <c r="Z308" i="4" s="1"/>
  <c r="AA308" i="4" s="1"/>
  <c r="AG308" i="4" s="1"/>
  <c r="AI220" i="4"/>
  <c r="AI237" i="4"/>
  <c r="BT230" i="4"/>
  <c r="BU230" i="4" s="1"/>
  <c r="BD230" i="4"/>
  <c r="BD171" i="4"/>
  <c r="BF171" i="4" s="1"/>
  <c r="BG171" i="4" s="1"/>
  <c r="BM171" i="4" s="1"/>
  <c r="BV171" i="4" s="1"/>
  <c r="BT171" i="4"/>
  <c r="BU171" i="4" s="1"/>
  <c r="BO246" i="4"/>
  <c r="BO222" i="4"/>
  <c r="BO297" i="4"/>
  <c r="BT310" i="4"/>
  <c r="BU310" i="4" s="1"/>
  <c r="BD310" i="4"/>
  <c r="BF310" i="4" s="1"/>
  <c r="BT311" i="4"/>
  <c r="BU311" i="4" s="1"/>
  <c r="BD311" i="4"/>
  <c r="BF311" i="4" s="1"/>
  <c r="BG311" i="4" s="1"/>
  <c r="BO229" i="4"/>
  <c r="AN322" i="4"/>
  <c r="AO322" i="4" s="1"/>
  <c r="X322" i="4"/>
  <c r="BO272" i="4"/>
  <c r="X318" i="4"/>
  <c r="Z318" i="4" s="1"/>
  <c r="AA318" i="4" s="1"/>
  <c r="AN318" i="4"/>
  <c r="AO318" i="4" s="1"/>
  <c r="AI164" i="4"/>
  <c r="BD268" i="4"/>
  <c r="BF268" i="4" s="1"/>
  <c r="BT268" i="4"/>
  <c r="BU268" i="4" s="1"/>
  <c r="AI284" i="4"/>
  <c r="AI277" i="4"/>
  <c r="BT259" i="4"/>
  <c r="BU259" i="4" s="1"/>
  <c r="BD259" i="4"/>
  <c r="X214" i="4"/>
  <c r="AF214" i="4" s="1"/>
  <c r="AN214" i="4"/>
  <c r="AO214" i="4" s="1"/>
  <c r="BD313" i="4"/>
  <c r="BF313" i="4" s="1"/>
  <c r="BG313" i="4" s="1"/>
  <c r="BM313" i="4" s="1"/>
  <c r="BT313" i="4"/>
  <c r="BU313" i="4" s="1"/>
  <c r="AN251" i="4"/>
  <c r="AO251" i="4" s="1"/>
  <c r="X251" i="4"/>
  <c r="AF251" i="4" s="1"/>
  <c r="BT185" i="4"/>
  <c r="BU185" i="4" s="1"/>
  <c r="BD185" i="4"/>
  <c r="BF185" i="4" s="1"/>
  <c r="X276" i="4"/>
  <c r="AN276" i="4"/>
  <c r="AO276" i="4" s="1"/>
  <c r="X162" i="4"/>
  <c r="Z162" i="4" s="1"/>
  <c r="AA162" i="4" s="1"/>
  <c r="AG162" i="4" s="1"/>
  <c r="AN162" i="4"/>
  <c r="AO162" i="4" s="1"/>
  <c r="BO225" i="4"/>
  <c r="BD323" i="4"/>
  <c r="BF323" i="4" s="1"/>
  <c r="BT323" i="4"/>
  <c r="BU323" i="4" s="1"/>
  <c r="AI188" i="4"/>
  <c r="AI288" i="4"/>
  <c r="BT198" i="4"/>
  <c r="BU198" i="4" s="1"/>
  <c r="BD198" i="4"/>
  <c r="BF198" i="4" s="1"/>
  <c r="BT251" i="4"/>
  <c r="BU251" i="4" s="1"/>
  <c r="BD251" i="4"/>
  <c r="X204" i="4"/>
  <c r="Z204" i="4" s="1"/>
  <c r="AA204" i="4" s="1"/>
  <c r="AG204" i="4" s="1"/>
  <c r="AN204" i="4"/>
  <c r="AO204" i="4" s="1"/>
  <c r="X172" i="4"/>
  <c r="AN172" i="4"/>
  <c r="AO172" i="4" s="1"/>
  <c r="X289" i="4"/>
  <c r="AN289" i="4"/>
  <c r="AO289" i="4" s="1"/>
  <c r="BO211" i="4"/>
  <c r="AN210" i="4"/>
  <c r="AO210" i="4" s="1"/>
  <c r="X210" i="4"/>
  <c r="Z210" i="4" s="1"/>
  <c r="BO232" i="4"/>
  <c r="BD176" i="4"/>
  <c r="BF176" i="4" s="1"/>
  <c r="BG176" i="4" s="1"/>
  <c r="BT176" i="4"/>
  <c r="BU176" i="4" s="1"/>
  <c r="BT281" i="4"/>
  <c r="BU281" i="4" s="1"/>
  <c r="BD281" i="4"/>
  <c r="AN255" i="4"/>
  <c r="AO255" i="4" s="1"/>
  <c r="X255" i="4"/>
  <c r="Z255" i="4" s="1"/>
  <c r="AI258" i="4"/>
  <c r="BT201" i="4"/>
  <c r="BU201" i="4" s="1"/>
  <c r="BD201" i="4"/>
  <c r="BT245" i="4"/>
  <c r="BU245" i="4" s="1"/>
  <c r="BD245" i="4"/>
  <c r="BF245" i="4" s="1"/>
  <c r="BD179" i="4"/>
  <c r="BF179" i="4" s="1"/>
  <c r="BT179" i="4"/>
  <c r="BU179" i="4" s="1"/>
  <c r="AN226" i="4"/>
  <c r="AO226" i="4" s="1"/>
  <c r="X226" i="4"/>
  <c r="BT172" i="4"/>
  <c r="BU172" i="4" s="1"/>
  <c r="BD172" i="4"/>
  <c r="BD258" i="4"/>
  <c r="BF258" i="4" s="1"/>
  <c r="BT258" i="4"/>
  <c r="BU258" i="4" s="1"/>
  <c r="BD197" i="4"/>
  <c r="BF197" i="4" s="1"/>
  <c r="BG197" i="4" s="1"/>
  <c r="BT197" i="4"/>
  <c r="BU197" i="4" s="1"/>
  <c r="BT193" i="4"/>
  <c r="BU193" i="4" s="1"/>
  <c r="BD193" i="4"/>
  <c r="BF193" i="4" s="1"/>
  <c r="BG193" i="4" s="1"/>
  <c r="BM193" i="4" s="1"/>
  <c r="BV193" i="4" s="1"/>
  <c r="AN218" i="4"/>
  <c r="AO218" i="4" s="1"/>
  <c r="X218" i="4"/>
  <c r="Z218" i="4" s="1"/>
  <c r="AA218" i="4" s="1"/>
  <c r="AG218" i="4" s="1"/>
  <c r="X178" i="4"/>
  <c r="AN178" i="4"/>
  <c r="AO178" i="4" s="1"/>
  <c r="BO307" i="4"/>
  <c r="BD183" i="4"/>
  <c r="BF183" i="4" s="1"/>
  <c r="BG183" i="4" s="1"/>
  <c r="BT183" i="4"/>
  <c r="BU183" i="4" s="1"/>
  <c r="BD250" i="4"/>
  <c r="BF250" i="4" s="1"/>
  <c r="BT250" i="4"/>
  <c r="BU250" i="4" s="1"/>
  <c r="X257" i="4"/>
  <c r="Z257" i="4" s="1"/>
  <c r="AN257" i="4"/>
  <c r="AO257" i="4" s="1"/>
  <c r="X224" i="4"/>
  <c r="AN224" i="4"/>
  <c r="AO224" i="4" s="1"/>
  <c r="BD226" i="4"/>
  <c r="BF226" i="4" s="1"/>
  <c r="BG226" i="4" s="1"/>
  <c r="BM226" i="4" s="1"/>
  <c r="BV226" i="4" s="1"/>
  <c r="BT226" i="4"/>
  <c r="BU226" i="4" s="1"/>
  <c r="AN271" i="4"/>
  <c r="AO271" i="4" s="1"/>
  <c r="X271" i="4"/>
  <c r="AF271" i="4" s="1"/>
  <c r="AI261" i="4"/>
  <c r="X266" i="4"/>
  <c r="Z266" i="4" s="1"/>
  <c r="AA266" i="4" s="1"/>
  <c r="AG266" i="4" s="1"/>
  <c r="AN266" i="4"/>
  <c r="AO266" i="4" s="1"/>
  <c r="BD162" i="4"/>
  <c r="BF162" i="4" s="1"/>
  <c r="BT162" i="4"/>
  <c r="BU162" i="4" s="1"/>
  <c r="BD191" i="4"/>
  <c r="BT191" i="4"/>
  <c r="BU191" i="4" s="1"/>
  <c r="AN229" i="4"/>
  <c r="AO229" i="4" s="1"/>
  <c r="X229" i="4"/>
  <c r="Z229" i="4" s="1"/>
  <c r="AA229" i="4" s="1"/>
  <c r="AG229" i="4" s="1"/>
  <c r="AI274" i="4"/>
  <c r="BO206" i="4"/>
  <c r="AN223" i="4"/>
  <c r="AO223" i="4" s="1"/>
  <c r="X223" i="4"/>
  <c r="Z223" i="4" s="1"/>
  <c r="AA223" i="4" s="1"/>
  <c r="AG223" i="4" s="1"/>
  <c r="BD270" i="4"/>
  <c r="BF270" i="4" s="1"/>
  <c r="BG270" i="4" s="1"/>
  <c r="BT270" i="4"/>
  <c r="BU270" i="4" s="1"/>
  <c r="BD210" i="4"/>
  <c r="BF210" i="4" s="1"/>
  <c r="BG210" i="4" s="1"/>
  <c r="BM210" i="4" s="1"/>
  <c r="BV210" i="4" s="1"/>
  <c r="BT210" i="4"/>
  <c r="BU210" i="4" s="1"/>
  <c r="BD324" i="4"/>
  <c r="BT324" i="4"/>
  <c r="BU324" i="4" s="1"/>
  <c r="X220" i="4"/>
  <c r="Z220" i="4" s="1"/>
  <c r="AA220" i="4" s="1"/>
  <c r="AN220" i="4"/>
  <c r="AO220" i="4" s="1"/>
  <c r="BD263" i="4"/>
  <c r="BF263" i="4" s="1"/>
  <c r="BT263" i="4"/>
  <c r="BU263" i="4" s="1"/>
  <c r="BD180" i="4"/>
  <c r="BF180" i="4" s="1"/>
  <c r="BG180" i="4" s="1"/>
  <c r="BM180" i="4" s="1"/>
  <c r="BV180" i="4" s="1"/>
  <c r="BT180" i="4"/>
  <c r="BU180" i="4" s="1"/>
  <c r="BO171" i="4"/>
  <c r="X216" i="4"/>
  <c r="Z216" i="4" s="1"/>
  <c r="AN216" i="4"/>
  <c r="AO216" i="4" s="1"/>
  <c r="X243" i="4"/>
  <c r="AN243" i="4"/>
  <c r="AO243" i="4" s="1"/>
  <c r="X182" i="4"/>
  <c r="AN182" i="4"/>
  <c r="AO182" i="4" s="1"/>
  <c r="X158" i="4"/>
  <c r="AN158" i="4"/>
  <c r="AO158" i="4" s="1"/>
  <c r="X168" i="4"/>
  <c r="Z168" i="4" s="1"/>
  <c r="AA168" i="4" s="1"/>
  <c r="AN168" i="4"/>
  <c r="AO168" i="4" s="1"/>
  <c r="X164" i="4"/>
  <c r="Z164" i="4" s="1"/>
  <c r="AN164" i="4"/>
  <c r="AO164" i="4" s="1"/>
  <c r="BT302" i="4"/>
  <c r="BU302" i="4" s="1"/>
  <c r="BD302" i="4"/>
  <c r="BF302" i="4" s="1"/>
  <c r="BG302" i="4" s="1"/>
  <c r="BM302" i="4" s="1"/>
  <c r="BV302" i="4" s="1"/>
  <c r="BT240" i="4"/>
  <c r="BU240" i="4" s="1"/>
  <c r="BD240" i="4"/>
  <c r="BF240" i="4" s="1"/>
  <c r="BG240" i="4" s="1"/>
  <c r="BO259" i="4"/>
  <c r="BT242" i="4"/>
  <c r="BU242" i="4" s="1"/>
  <c r="BD242" i="4"/>
  <c r="BF242" i="4" s="1"/>
  <c r="B91" i="2"/>
  <c r="AI117" i="4"/>
  <c r="AI61" i="4"/>
  <c r="AI71" i="4"/>
  <c r="X85" i="4"/>
  <c r="Z85" i="4" s="1"/>
  <c r="AA85" i="4" s="1"/>
  <c r="AN85" i="4"/>
  <c r="AO85" i="4" s="1"/>
  <c r="X50" i="4"/>
  <c r="AN50" i="4"/>
  <c r="AO50" i="4" s="1"/>
  <c r="AI47" i="4"/>
  <c r="AI36" i="4"/>
  <c r="AI137" i="4"/>
  <c r="AI88" i="4"/>
  <c r="AI30" i="4"/>
  <c r="AI142" i="4"/>
  <c r="X46" i="4"/>
  <c r="Z46" i="4" s="1"/>
  <c r="AA46" i="4" s="1"/>
  <c r="AN46" i="4"/>
  <c r="AO46" i="4" s="1"/>
  <c r="AI43" i="4"/>
  <c r="AI95" i="4"/>
  <c r="AI84" i="4"/>
  <c r="AI63" i="4"/>
  <c r="AI26" i="4"/>
  <c r="AI14" i="4"/>
  <c r="X42" i="4"/>
  <c r="AN42" i="4"/>
  <c r="AO42" i="4" s="1"/>
  <c r="X39" i="4"/>
  <c r="Z39" i="4" s="1"/>
  <c r="AN39" i="4"/>
  <c r="AO39" i="4" s="1"/>
  <c r="AI9" i="4"/>
  <c r="AI152" i="4"/>
  <c r="AI121" i="4"/>
  <c r="X91" i="4"/>
  <c r="Z91" i="4" s="1"/>
  <c r="AN91" i="4"/>
  <c r="AO91" i="4" s="1"/>
  <c r="AI80" i="4"/>
  <c r="X56" i="4"/>
  <c r="Z56" i="4" s="1"/>
  <c r="AA56" i="4" s="1"/>
  <c r="AN56" i="4"/>
  <c r="AO56" i="4" s="1"/>
  <c r="AI22" i="4"/>
  <c r="AI10" i="4"/>
  <c r="AI118" i="4"/>
  <c r="AI106" i="4"/>
  <c r="X73" i="4"/>
  <c r="AN73" i="4"/>
  <c r="AO73" i="4" s="1"/>
  <c r="AI35" i="4"/>
  <c r="AI141" i="4"/>
  <c r="AI133" i="4"/>
  <c r="AI104" i="4"/>
  <c r="AI92" i="4"/>
  <c r="AI60" i="4"/>
  <c r="X71" i="4"/>
  <c r="Z71" i="4" s="1"/>
  <c r="AN71" i="4"/>
  <c r="AO71" i="4" s="1"/>
  <c r="AI23" i="4"/>
  <c r="X155" i="4"/>
  <c r="AN155" i="4"/>
  <c r="AO155" i="4" s="1"/>
  <c r="AI146" i="4"/>
  <c r="AI130" i="4"/>
  <c r="AI99" i="4"/>
  <c r="AI74" i="4"/>
  <c r="AI17" i="4"/>
  <c r="X137" i="4"/>
  <c r="Z137" i="4" s="1"/>
  <c r="AA137" i="4" s="1"/>
  <c r="AN137" i="4"/>
  <c r="AO137" i="4" s="1"/>
  <c r="AI129" i="4"/>
  <c r="AI113" i="4"/>
  <c r="AI100" i="4"/>
  <c r="AI67" i="4"/>
  <c r="X77" i="4"/>
  <c r="AN77" i="4"/>
  <c r="AO77" i="4" s="1"/>
  <c r="AI18" i="4"/>
  <c r="X151" i="4"/>
  <c r="Z151" i="4" s="1"/>
  <c r="AA151" i="4" s="1"/>
  <c r="AN151" i="4"/>
  <c r="AO151" i="4" s="1"/>
  <c r="AI126" i="4"/>
  <c r="AI114" i="4"/>
  <c r="AI70" i="4"/>
  <c r="AI33" i="4"/>
  <c r="AI13" i="4"/>
  <c r="AI156" i="4"/>
  <c r="AI125" i="4"/>
  <c r="AI109" i="4"/>
  <c r="X95" i="4"/>
  <c r="Z95" i="4" s="1"/>
  <c r="AN95" i="4"/>
  <c r="AO95" i="4" s="1"/>
  <c r="X63" i="4"/>
  <c r="Z63" i="4" s="1"/>
  <c r="AN63" i="4"/>
  <c r="AO63" i="4" s="1"/>
  <c r="AI57" i="4"/>
  <c r="X26" i="4"/>
  <c r="Z26" i="4" s="1"/>
  <c r="AA26" i="4" s="1"/>
  <c r="AN26" i="4"/>
  <c r="AO26" i="4" s="1"/>
  <c r="AI147" i="4"/>
  <c r="AI138" i="4"/>
  <c r="AI110" i="4"/>
  <c r="AI98" i="4"/>
  <c r="AI66" i="4"/>
  <c r="AI29" i="4"/>
  <c r="AI105" i="4"/>
  <c r="AI53" i="4"/>
  <c r="AI143" i="4"/>
  <c r="AI134" i="4"/>
  <c r="AI94" i="4"/>
  <c r="AI25" i="4"/>
  <c r="X117" i="4"/>
  <c r="Z117" i="4" s="1"/>
  <c r="AA117" i="4" s="1"/>
  <c r="AN117" i="4"/>
  <c r="AO117" i="4" s="1"/>
  <c r="AI155" i="4"/>
  <c r="X99" i="4"/>
  <c r="Z99" i="4" s="1"/>
  <c r="AN99" i="4"/>
  <c r="AO99" i="4" s="1"/>
  <c r="AI85" i="4"/>
  <c r="AI50" i="4"/>
  <c r="X36" i="4"/>
  <c r="Z36" i="4" s="1"/>
  <c r="AA36" i="4" s="1"/>
  <c r="AN36" i="4"/>
  <c r="AO36" i="4" s="1"/>
  <c r="X30" i="4"/>
  <c r="AN30" i="4"/>
  <c r="AO30" i="4" s="1"/>
  <c r="AI151" i="4"/>
  <c r="X142" i="4"/>
  <c r="Z142" i="4" s="1"/>
  <c r="AA142" i="4" s="1"/>
  <c r="AN142" i="4"/>
  <c r="AO142" i="4" s="1"/>
  <c r="AI81" i="4"/>
  <c r="AI46" i="4"/>
  <c r="X147" i="4"/>
  <c r="Z147" i="4" s="1"/>
  <c r="AA147" i="4" s="1"/>
  <c r="AN147" i="4"/>
  <c r="AO147" i="4" s="1"/>
  <c r="AI122" i="4"/>
  <c r="AN66" i="4"/>
  <c r="AO66" i="4" s="1"/>
  <c r="X66" i="4"/>
  <c r="Z66" i="4" s="1"/>
  <c r="AA66" i="4" s="1"/>
  <c r="AI39" i="4"/>
  <c r="AI91" i="4"/>
  <c r="AI56" i="4"/>
  <c r="X22" i="4"/>
  <c r="Z22" i="4" s="1"/>
  <c r="AA22" i="4" s="1"/>
  <c r="AN22" i="4"/>
  <c r="AO22" i="4" s="1"/>
  <c r="X10" i="4"/>
  <c r="Z10" i="4" s="1"/>
  <c r="AA10" i="4" s="1"/>
  <c r="AN10" i="4"/>
  <c r="AO10" i="4" s="1"/>
  <c r="X143" i="4"/>
  <c r="Z143" i="4" s="1"/>
  <c r="AA143" i="4" s="1"/>
  <c r="AN143" i="4"/>
  <c r="AO143" i="4" s="1"/>
  <c r="X134" i="4"/>
  <c r="AN134" i="4"/>
  <c r="AO134" i="4" s="1"/>
  <c r="X118" i="4"/>
  <c r="Z118" i="4" s="1"/>
  <c r="AA118" i="4" s="1"/>
  <c r="AN118" i="4"/>
  <c r="AO118" i="4" s="1"/>
  <c r="AI62" i="4"/>
  <c r="AI73" i="4"/>
  <c r="X141" i="4"/>
  <c r="AN141" i="4"/>
  <c r="AO141" i="4" s="1"/>
  <c r="X133" i="4"/>
  <c r="Z133" i="4" s="1"/>
  <c r="AA133" i="4" s="1"/>
  <c r="AN133" i="4"/>
  <c r="AO133" i="4" s="1"/>
  <c r="X104" i="4"/>
  <c r="Z104" i="4" s="1"/>
  <c r="AA104" i="4" s="1"/>
  <c r="AN104" i="4"/>
  <c r="AO104" i="4" s="1"/>
  <c r="X92" i="4"/>
  <c r="Z92" i="4" s="1"/>
  <c r="AA92" i="4" s="1"/>
  <c r="AN92" i="4"/>
  <c r="AO92" i="4" s="1"/>
  <c r="X60" i="4"/>
  <c r="Z60" i="4" s="1"/>
  <c r="AA60" i="4" s="1"/>
  <c r="AN60" i="4"/>
  <c r="AO60" i="4" s="1"/>
  <c r="X61" i="4"/>
  <c r="Z61" i="4" s="1"/>
  <c r="AA61" i="4" s="1"/>
  <c r="AN61" i="4"/>
  <c r="AO61" i="4" s="1"/>
  <c r="X23" i="4"/>
  <c r="Z23" i="4" s="1"/>
  <c r="AN23" i="4"/>
  <c r="AO23" i="4" s="1"/>
  <c r="X146" i="4"/>
  <c r="Z146" i="4" s="1"/>
  <c r="AA146" i="4" s="1"/>
  <c r="AN146" i="4"/>
  <c r="AO146" i="4" s="1"/>
  <c r="X130" i="4"/>
  <c r="AN130" i="4"/>
  <c r="AO130" i="4" s="1"/>
  <c r="AN74" i="4"/>
  <c r="AO74" i="4" s="1"/>
  <c r="X74" i="4"/>
  <c r="Z74" i="4" s="1"/>
  <c r="AA74" i="4" s="1"/>
  <c r="X47" i="4"/>
  <c r="Z47" i="4" s="1"/>
  <c r="AN47" i="4"/>
  <c r="AO47" i="4" s="1"/>
  <c r="X17" i="4"/>
  <c r="Z17" i="4" s="1"/>
  <c r="AA17" i="4" s="1"/>
  <c r="AN17" i="4"/>
  <c r="AO17" i="4" s="1"/>
  <c r="X129" i="4"/>
  <c r="Z129" i="4" s="1"/>
  <c r="AA129" i="4" s="1"/>
  <c r="AN129" i="4"/>
  <c r="AO129" i="4" s="1"/>
  <c r="X113" i="4"/>
  <c r="Z113" i="4" s="1"/>
  <c r="AA113" i="4" s="1"/>
  <c r="AN113" i="4"/>
  <c r="AO113" i="4" s="1"/>
  <c r="X100" i="4"/>
  <c r="AN100" i="4"/>
  <c r="AO100" i="4" s="1"/>
  <c r="X88" i="4"/>
  <c r="AN88" i="4"/>
  <c r="AO88" i="4" s="1"/>
  <c r="X67" i="4"/>
  <c r="Z67" i="4" s="1"/>
  <c r="AN67" i="4"/>
  <c r="AO67" i="4" s="1"/>
  <c r="AI77" i="4"/>
  <c r="X18" i="4"/>
  <c r="Z18" i="4" s="1"/>
  <c r="AA18" i="4" s="1"/>
  <c r="AN18" i="4"/>
  <c r="AO18" i="4" s="1"/>
  <c r="X126" i="4"/>
  <c r="Z126" i="4" s="1"/>
  <c r="AA126" i="4" s="1"/>
  <c r="AN126" i="4"/>
  <c r="AO126" i="4" s="1"/>
  <c r="X114" i="4"/>
  <c r="Z114" i="4" s="1"/>
  <c r="AN114" i="4"/>
  <c r="AO114" i="4" s="1"/>
  <c r="X81" i="4"/>
  <c r="Z81" i="4" s="1"/>
  <c r="AA81" i="4" s="1"/>
  <c r="AN81" i="4"/>
  <c r="AO81" i="4" s="1"/>
  <c r="AN70" i="4"/>
  <c r="AO70" i="4" s="1"/>
  <c r="X70" i="4"/>
  <c r="Z70" i="4" s="1"/>
  <c r="AA70" i="4" s="1"/>
  <c r="X43" i="4"/>
  <c r="Z43" i="4" s="1"/>
  <c r="AN43" i="4"/>
  <c r="AO43" i="4" s="1"/>
  <c r="X33" i="4"/>
  <c r="Z33" i="4" s="1"/>
  <c r="AN33" i="4"/>
  <c r="AO33" i="4" s="1"/>
  <c r="X13" i="4"/>
  <c r="Z13" i="4" s="1"/>
  <c r="AA13" i="4" s="1"/>
  <c r="AN13" i="4"/>
  <c r="AO13" i="4" s="1"/>
  <c r="X156" i="4"/>
  <c r="AN156" i="4"/>
  <c r="AO156" i="4" s="1"/>
  <c r="X125" i="4"/>
  <c r="Z125" i="4" s="1"/>
  <c r="AA125" i="4" s="1"/>
  <c r="AN125" i="4"/>
  <c r="AO125" i="4" s="1"/>
  <c r="X109" i="4"/>
  <c r="Z109" i="4" s="1"/>
  <c r="AA109" i="4" s="1"/>
  <c r="AN109" i="4"/>
  <c r="AO109" i="4" s="1"/>
  <c r="X84" i="4"/>
  <c r="AN84" i="4"/>
  <c r="AO84" i="4" s="1"/>
  <c r="X57" i="4"/>
  <c r="Z57" i="4" s="1"/>
  <c r="AA57" i="4" s="1"/>
  <c r="AN57" i="4"/>
  <c r="AO57" i="4" s="1"/>
  <c r="X14" i="4"/>
  <c r="Z14" i="4" s="1"/>
  <c r="AA14" i="4" s="1"/>
  <c r="AN14" i="4"/>
  <c r="AO14" i="4" s="1"/>
  <c r="X138" i="4"/>
  <c r="Z138" i="4" s="1"/>
  <c r="AA138" i="4" s="1"/>
  <c r="AN138" i="4"/>
  <c r="AO138" i="4" s="1"/>
  <c r="X122" i="4"/>
  <c r="Z122" i="4" s="1"/>
  <c r="AA122" i="4" s="1"/>
  <c r="AN122" i="4"/>
  <c r="AO122" i="4" s="1"/>
  <c r="X110" i="4"/>
  <c r="Z110" i="4" s="1"/>
  <c r="AA110" i="4" s="1"/>
  <c r="AN110" i="4"/>
  <c r="AO110" i="4" s="1"/>
  <c r="X98" i="4"/>
  <c r="Z98" i="4" s="1"/>
  <c r="AA98" i="4" s="1"/>
  <c r="AN98" i="4"/>
  <c r="AO98" i="4" s="1"/>
  <c r="AI42" i="4"/>
  <c r="X29" i="4"/>
  <c r="Z29" i="4" s="1"/>
  <c r="AA29" i="4" s="1"/>
  <c r="AN29" i="4"/>
  <c r="AO29" i="4" s="1"/>
  <c r="AN9" i="4"/>
  <c r="AO9" i="4" s="1"/>
  <c r="X9" i="4"/>
  <c r="Z9" i="4" s="1"/>
  <c r="AA9" i="4" s="1"/>
  <c r="X152" i="4"/>
  <c r="Z152" i="4" s="1"/>
  <c r="AN152" i="4"/>
  <c r="AO152" i="4" s="1"/>
  <c r="X121" i="4"/>
  <c r="Z121" i="4" s="1"/>
  <c r="AA121" i="4" s="1"/>
  <c r="AN121" i="4"/>
  <c r="AO121" i="4" s="1"/>
  <c r="X105" i="4"/>
  <c r="Z105" i="4" s="1"/>
  <c r="AA105" i="4" s="1"/>
  <c r="AN105" i="4"/>
  <c r="AO105" i="4" s="1"/>
  <c r="X80" i="4"/>
  <c r="AN80" i="4"/>
  <c r="AO80" i="4" s="1"/>
  <c r="X53" i="4"/>
  <c r="Z53" i="4" s="1"/>
  <c r="AA53" i="4" s="1"/>
  <c r="AN53" i="4"/>
  <c r="AO53" i="4" s="1"/>
  <c r="X106" i="4"/>
  <c r="Z106" i="4" s="1"/>
  <c r="AA106" i="4" s="1"/>
  <c r="AN106" i="4"/>
  <c r="AO106" i="4" s="1"/>
  <c r="X94" i="4"/>
  <c r="Z94" i="4" s="1"/>
  <c r="AA94" i="4" s="1"/>
  <c r="AN94" i="4"/>
  <c r="AO94" i="4" s="1"/>
  <c r="AN62" i="4"/>
  <c r="AO62" i="4" s="1"/>
  <c r="X62" i="4"/>
  <c r="Z62" i="4" s="1"/>
  <c r="AA62" i="4" s="1"/>
  <c r="AN35" i="4"/>
  <c r="AO35" i="4" s="1"/>
  <c r="X35" i="4"/>
  <c r="Z35" i="4" s="1"/>
  <c r="X25" i="4"/>
  <c r="Z25" i="4" s="1"/>
  <c r="AA25" i="4" s="1"/>
  <c r="AG25" i="4" s="1"/>
  <c r="AN25" i="4"/>
  <c r="AO25" i="4" s="1"/>
  <c r="AI132" i="4"/>
  <c r="X87" i="4"/>
  <c r="AN87" i="4"/>
  <c r="AO87" i="4" s="1"/>
  <c r="X52" i="4"/>
  <c r="AN52" i="4"/>
  <c r="AO52" i="4" s="1"/>
  <c r="AI49" i="4"/>
  <c r="AI102" i="4"/>
  <c r="X75" i="4"/>
  <c r="AN75" i="4"/>
  <c r="AO75" i="4" s="1"/>
  <c r="AI32" i="4"/>
  <c r="AI116" i="4"/>
  <c r="X83" i="4"/>
  <c r="Z83" i="4" s="1"/>
  <c r="AN83" i="4"/>
  <c r="AO83" i="4" s="1"/>
  <c r="X48" i="4"/>
  <c r="Z48" i="4" s="1"/>
  <c r="AA48" i="4" s="1"/>
  <c r="AN48" i="4"/>
  <c r="AO48" i="4" s="1"/>
  <c r="AI34" i="4"/>
  <c r="AI135" i="4"/>
  <c r="AI97" i="4"/>
  <c r="AI86" i="4"/>
  <c r="AI28" i="4"/>
  <c r="AI16" i="4"/>
  <c r="AI140" i="4"/>
  <c r="AI68" i="4"/>
  <c r="X44" i="4"/>
  <c r="AN44" i="4"/>
  <c r="AO44" i="4" s="1"/>
  <c r="AI11" i="4"/>
  <c r="X93" i="4"/>
  <c r="AN93" i="4"/>
  <c r="AO93" i="4" s="1"/>
  <c r="X58" i="4"/>
  <c r="AF58" i="4" s="1"/>
  <c r="AN58" i="4"/>
  <c r="AO58" i="4" s="1"/>
  <c r="AI55" i="4"/>
  <c r="AI24" i="4"/>
  <c r="AI96" i="4"/>
  <c r="AI119" i="4"/>
  <c r="X89" i="4"/>
  <c r="Z89" i="4" s="1"/>
  <c r="AA89" i="4" s="1"/>
  <c r="AN89" i="4"/>
  <c r="AO89" i="4" s="1"/>
  <c r="X54" i="4"/>
  <c r="AN54" i="4"/>
  <c r="AO54" i="4" s="1"/>
  <c r="AI51" i="4"/>
  <c r="AI20" i="4"/>
  <c r="AI157" i="4"/>
  <c r="AI148" i="4"/>
  <c r="AI101" i="4"/>
  <c r="AI76" i="4"/>
  <c r="AI38" i="4"/>
  <c r="AI19" i="4"/>
  <c r="AI139" i="4"/>
  <c r="AI131" i="4"/>
  <c r="AI115" i="4"/>
  <c r="AI90" i="4"/>
  <c r="AI65" i="4"/>
  <c r="AI21" i="4"/>
  <c r="X153" i="4"/>
  <c r="Z153" i="4" s="1"/>
  <c r="AA153" i="4" s="1"/>
  <c r="AN153" i="4"/>
  <c r="AO153" i="4" s="1"/>
  <c r="AI144" i="4"/>
  <c r="AI128" i="4"/>
  <c r="AI72" i="4"/>
  <c r="AI45" i="4"/>
  <c r="AI15" i="4"/>
  <c r="X135" i="4"/>
  <c r="AN135" i="4"/>
  <c r="AO135" i="4" s="1"/>
  <c r="AI127" i="4"/>
  <c r="AI111" i="4"/>
  <c r="X97" i="4"/>
  <c r="Z97" i="4" s="1"/>
  <c r="AA97" i="4" s="1"/>
  <c r="AN97" i="4"/>
  <c r="AO97" i="4" s="1"/>
  <c r="X69" i="4"/>
  <c r="Z69" i="4" s="1"/>
  <c r="AA69" i="4" s="1"/>
  <c r="AN69" i="4"/>
  <c r="AO69" i="4" s="1"/>
  <c r="AI59" i="4"/>
  <c r="X149" i="4"/>
  <c r="AN149" i="4"/>
  <c r="AO149" i="4" s="1"/>
  <c r="X140" i="4"/>
  <c r="AF140" i="4" s="1"/>
  <c r="AN140" i="4"/>
  <c r="AO140" i="4" s="1"/>
  <c r="AI124" i="4"/>
  <c r="AI112" i="4"/>
  <c r="AI79" i="4"/>
  <c r="AI41" i="4"/>
  <c r="AI31" i="4"/>
  <c r="AI154" i="4"/>
  <c r="AI123" i="4"/>
  <c r="AI107" i="4"/>
  <c r="AI82" i="4"/>
  <c r="AI12" i="4"/>
  <c r="AI145" i="4"/>
  <c r="AI136" i="4"/>
  <c r="X120" i="4"/>
  <c r="Z120" i="4" s="1"/>
  <c r="AA120" i="4" s="1"/>
  <c r="AN120" i="4"/>
  <c r="AO120" i="4" s="1"/>
  <c r="AI108" i="4"/>
  <c r="AI64" i="4"/>
  <c r="AI40" i="4"/>
  <c r="AN37" i="4"/>
  <c r="AO37" i="4" s="1"/>
  <c r="X37" i="4"/>
  <c r="Z37" i="4" s="1"/>
  <c r="AA37" i="4" s="1"/>
  <c r="AI27" i="4"/>
  <c r="AI7" i="4"/>
  <c r="AI150" i="4"/>
  <c r="AI103" i="4"/>
  <c r="AI78" i="4"/>
  <c r="AI8" i="4"/>
  <c r="X157" i="4"/>
  <c r="Z157" i="4" s="1"/>
  <c r="AA157" i="4" s="1"/>
  <c r="AN157" i="4"/>
  <c r="AO157" i="4" s="1"/>
  <c r="AI87" i="4"/>
  <c r="AI52" i="4"/>
  <c r="X38" i="4"/>
  <c r="AN38" i="4"/>
  <c r="AO38" i="4" s="1"/>
  <c r="X139" i="4"/>
  <c r="AN139" i="4"/>
  <c r="AO139" i="4" s="1"/>
  <c r="AI75" i="4"/>
  <c r="X32" i="4"/>
  <c r="Z32" i="4" s="1"/>
  <c r="AA32" i="4" s="1"/>
  <c r="AN32" i="4"/>
  <c r="AO32" i="4" s="1"/>
  <c r="AI153" i="4"/>
  <c r="AI83" i="4"/>
  <c r="AI48" i="4"/>
  <c r="AI69" i="4"/>
  <c r="X28" i="4"/>
  <c r="Z28" i="4" s="1"/>
  <c r="AA28" i="4" s="1"/>
  <c r="AN28" i="4"/>
  <c r="AO28" i="4" s="1"/>
  <c r="AI149" i="4"/>
  <c r="X79" i="4"/>
  <c r="AN79" i="4"/>
  <c r="AO79" i="4" s="1"/>
  <c r="AI44" i="4"/>
  <c r="X11" i="4"/>
  <c r="Z11" i="4" s="1"/>
  <c r="AA11" i="4" s="1"/>
  <c r="AN11" i="4"/>
  <c r="AO11" i="4" s="1"/>
  <c r="AI93" i="4"/>
  <c r="AI58" i="4"/>
  <c r="X24" i="4"/>
  <c r="Z24" i="4" s="1"/>
  <c r="AA24" i="4" s="1"/>
  <c r="AN24" i="4"/>
  <c r="AO24" i="4" s="1"/>
  <c r="X145" i="4"/>
  <c r="Z145" i="4" s="1"/>
  <c r="AA145" i="4" s="1"/>
  <c r="AN145" i="4"/>
  <c r="AO145" i="4" s="1"/>
  <c r="AN64" i="4"/>
  <c r="AO64" i="4" s="1"/>
  <c r="X64" i="4"/>
  <c r="Z64" i="4" s="1"/>
  <c r="AA64" i="4" s="1"/>
  <c r="X40" i="4"/>
  <c r="AN40" i="4"/>
  <c r="AO40" i="4" s="1"/>
  <c r="X119" i="4"/>
  <c r="Z119" i="4" s="1"/>
  <c r="AN119" i="4"/>
  <c r="AO119" i="4" s="1"/>
  <c r="AI89" i="4"/>
  <c r="X78" i="4"/>
  <c r="AN78" i="4"/>
  <c r="AO78" i="4" s="1"/>
  <c r="AI54" i="4"/>
  <c r="X20" i="4"/>
  <c r="Z20" i="4" s="1"/>
  <c r="AA20" i="4" s="1"/>
  <c r="AN20" i="4"/>
  <c r="AO20" i="4" s="1"/>
  <c r="X148" i="4"/>
  <c r="AN148" i="4"/>
  <c r="AO148" i="4" s="1"/>
  <c r="X132" i="4"/>
  <c r="AN132" i="4"/>
  <c r="AO132" i="4" s="1"/>
  <c r="X101" i="4"/>
  <c r="Z101" i="4" s="1"/>
  <c r="AA101" i="4" s="1"/>
  <c r="AN101" i="4"/>
  <c r="AO101" i="4" s="1"/>
  <c r="AN76" i="4"/>
  <c r="AO76" i="4" s="1"/>
  <c r="X76" i="4"/>
  <c r="Z76" i="4" s="1"/>
  <c r="AA76" i="4" s="1"/>
  <c r="X49" i="4"/>
  <c r="AN49" i="4"/>
  <c r="AO49" i="4" s="1"/>
  <c r="AN19" i="4"/>
  <c r="AO19" i="4" s="1"/>
  <c r="X19" i="4"/>
  <c r="Z19" i="4" s="1"/>
  <c r="X131" i="4"/>
  <c r="AN131" i="4"/>
  <c r="AO131" i="4" s="1"/>
  <c r="X115" i="4"/>
  <c r="Z115" i="4" s="1"/>
  <c r="AN115" i="4"/>
  <c r="AO115" i="4" s="1"/>
  <c r="X102" i="4"/>
  <c r="AN102" i="4"/>
  <c r="AO102" i="4" s="1"/>
  <c r="X90" i="4"/>
  <c r="AN90" i="4"/>
  <c r="AO90" i="4" s="1"/>
  <c r="X65" i="4"/>
  <c r="Z65" i="4" s="1"/>
  <c r="AA65" i="4" s="1"/>
  <c r="AN65" i="4"/>
  <c r="AO65" i="4" s="1"/>
  <c r="X21" i="4"/>
  <c r="Z21" i="4" s="1"/>
  <c r="AA21" i="4" s="1"/>
  <c r="AN21" i="4"/>
  <c r="AO21" i="4" s="1"/>
  <c r="X144" i="4"/>
  <c r="Z144" i="4" s="1"/>
  <c r="AN144" i="4"/>
  <c r="AO144" i="4" s="1"/>
  <c r="X128" i="4"/>
  <c r="AN128" i="4"/>
  <c r="AO128" i="4" s="1"/>
  <c r="X116" i="4"/>
  <c r="AN116" i="4"/>
  <c r="AO116" i="4" s="1"/>
  <c r="AN72" i="4"/>
  <c r="AO72" i="4" s="1"/>
  <c r="X72" i="4"/>
  <c r="Z72" i="4" s="1"/>
  <c r="AA72" i="4" s="1"/>
  <c r="X45" i="4"/>
  <c r="Z45" i="4" s="1"/>
  <c r="AN45" i="4"/>
  <c r="AO45" i="4" s="1"/>
  <c r="X34" i="4"/>
  <c r="AN34" i="4"/>
  <c r="AO34" i="4" s="1"/>
  <c r="X15" i="4"/>
  <c r="Z15" i="4" s="1"/>
  <c r="AA15" i="4" s="1"/>
  <c r="AN15" i="4"/>
  <c r="AO15" i="4" s="1"/>
  <c r="X127" i="4"/>
  <c r="AN127" i="4"/>
  <c r="AO127" i="4" s="1"/>
  <c r="X111" i="4"/>
  <c r="Z111" i="4" s="1"/>
  <c r="AN111" i="4"/>
  <c r="AO111" i="4" s="1"/>
  <c r="X86" i="4"/>
  <c r="Z86" i="4" s="1"/>
  <c r="AN86" i="4"/>
  <c r="AO86" i="4" s="1"/>
  <c r="X59" i="4"/>
  <c r="Z59" i="4" s="1"/>
  <c r="AN59" i="4"/>
  <c r="AO59" i="4" s="1"/>
  <c r="X16" i="4"/>
  <c r="AN16" i="4"/>
  <c r="AO16" i="4" s="1"/>
  <c r="X124" i="4"/>
  <c r="Z124" i="4" s="1"/>
  <c r="AA124" i="4" s="1"/>
  <c r="AN124" i="4"/>
  <c r="AO124" i="4" s="1"/>
  <c r="X112" i="4"/>
  <c r="AN112" i="4"/>
  <c r="AO112" i="4" s="1"/>
  <c r="AN68" i="4"/>
  <c r="AO68" i="4" s="1"/>
  <c r="X68" i="4"/>
  <c r="X41" i="4"/>
  <c r="AN41" i="4"/>
  <c r="AO41" i="4" s="1"/>
  <c r="X31" i="4"/>
  <c r="Z31" i="4" s="1"/>
  <c r="AN31" i="4"/>
  <c r="AO31" i="4" s="1"/>
  <c r="X154" i="4"/>
  <c r="Z154" i="4" s="1"/>
  <c r="AA154" i="4" s="1"/>
  <c r="AN154" i="4"/>
  <c r="AO154" i="4" s="1"/>
  <c r="X123" i="4"/>
  <c r="Z123" i="4" s="1"/>
  <c r="AN123" i="4"/>
  <c r="AO123" i="4" s="1"/>
  <c r="X107" i="4"/>
  <c r="Z107" i="4" s="1"/>
  <c r="AN107" i="4"/>
  <c r="AO107" i="4" s="1"/>
  <c r="X82" i="4"/>
  <c r="Z82" i="4" s="1"/>
  <c r="AA82" i="4" s="1"/>
  <c r="AN82" i="4"/>
  <c r="AO82" i="4" s="1"/>
  <c r="X55" i="4"/>
  <c r="AN55" i="4"/>
  <c r="AO55" i="4" s="1"/>
  <c r="AN12" i="4"/>
  <c r="AO12" i="4" s="1"/>
  <c r="X12" i="4"/>
  <c r="Z12" i="4" s="1"/>
  <c r="AA12" i="4" s="1"/>
  <c r="X136" i="4"/>
  <c r="Z136" i="4" s="1"/>
  <c r="AA136" i="4" s="1"/>
  <c r="AN136" i="4"/>
  <c r="AO136" i="4" s="1"/>
  <c r="AI120" i="4"/>
  <c r="X108" i="4"/>
  <c r="Z108" i="4" s="1"/>
  <c r="AA108" i="4" s="1"/>
  <c r="AN108" i="4"/>
  <c r="AO108" i="4" s="1"/>
  <c r="X96" i="4"/>
  <c r="Z96" i="4" s="1"/>
  <c r="AA96" i="4" s="1"/>
  <c r="AN96" i="4"/>
  <c r="AO96" i="4" s="1"/>
  <c r="AI37" i="4"/>
  <c r="X27" i="4"/>
  <c r="Z27" i="4" s="1"/>
  <c r="AN27" i="4"/>
  <c r="AO27" i="4" s="1"/>
  <c r="AN7" i="4"/>
  <c r="AO7" i="4" s="1"/>
  <c r="X7" i="4"/>
  <c r="Z7" i="4" s="1"/>
  <c r="AA7" i="4" s="1"/>
  <c r="X150" i="4"/>
  <c r="AN150" i="4"/>
  <c r="AO150" i="4" s="1"/>
  <c r="X103" i="4"/>
  <c r="AN103" i="4"/>
  <c r="AO103" i="4" s="1"/>
  <c r="X51" i="4"/>
  <c r="Z51" i="4" s="1"/>
  <c r="AN51" i="4"/>
  <c r="AO51" i="4" s="1"/>
  <c r="X8" i="4"/>
  <c r="Z8" i="4" s="1"/>
  <c r="AA8" i="4" s="1"/>
  <c r="AN8" i="4"/>
  <c r="AO8" i="4" s="1"/>
  <c r="BT17" i="4"/>
  <c r="BT49" i="4"/>
  <c r="BT137" i="4"/>
  <c r="BT152" i="4"/>
  <c r="BT35" i="4"/>
  <c r="BT106" i="4"/>
  <c r="BT146" i="4"/>
  <c r="BT102" i="4"/>
  <c r="BT97" i="4"/>
  <c r="BT30" i="4"/>
  <c r="BT69" i="4"/>
  <c r="BT105" i="4"/>
  <c r="BT107" i="4"/>
  <c r="BT143" i="4"/>
  <c r="BT87" i="4"/>
  <c r="BT145" i="4"/>
  <c r="BT52" i="4"/>
  <c r="BT95" i="4"/>
  <c r="BT21" i="4"/>
  <c r="BT53" i="4"/>
  <c r="BT71" i="4"/>
  <c r="BT79" i="4"/>
  <c r="BT85" i="4"/>
  <c r="BT43" i="4"/>
  <c r="BT135" i="4"/>
  <c r="BT20" i="4"/>
  <c r="BT128" i="4"/>
  <c r="BT14" i="4"/>
  <c r="BT34" i="4"/>
  <c r="BT130" i="4"/>
  <c r="BT122" i="4"/>
  <c r="BT142" i="4"/>
  <c r="BT11" i="4"/>
  <c r="BT82" i="4"/>
  <c r="BT138" i="4"/>
  <c r="BT56" i="4"/>
  <c r="BT77" i="4"/>
  <c r="BT25" i="4"/>
  <c r="BT57" i="4"/>
  <c r="BT84" i="4"/>
  <c r="BT103" i="4"/>
  <c r="BT147" i="4"/>
  <c r="BT51" i="4"/>
  <c r="BT149" i="4"/>
  <c r="BT24" i="4"/>
  <c r="BT80" i="4"/>
  <c r="BT154" i="4"/>
  <c r="BT38" i="4"/>
  <c r="BT78" i="4"/>
  <c r="BT126" i="4"/>
  <c r="BT10" i="4"/>
  <c r="BT64" i="4"/>
  <c r="BT65" i="4"/>
  <c r="BT113" i="4"/>
  <c r="BT99" i="4"/>
  <c r="BT156" i="4"/>
  <c r="BT29" i="4"/>
  <c r="BT62" i="4"/>
  <c r="BT100" i="4"/>
  <c r="BT131" i="4"/>
  <c r="BT12" i="4"/>
  <c r="BT60" i="4"/>
  <c r="BT111" i="4"/>
  <c r="BT32" i="4"/>
  <c r="BT112" i="4"/>
  <c r="BT150" i="4"/>
  <c r="BT42" i="4"/>
  <c r="BT94" i="4"/>
  <c r="BT144" i="4"/>
  <c r="BT118" i="4"/>
  <c r="BT23" i="4"/>
  <c r="BT92" i="4"/>
  <c r="BT89" i="4"/>
  <c r="BT86" i="4"/>
  <c r="BT141" i="4"/>
  <c r="BT33" i="4"/>
  <c r="BT120" i="4"/>
  <c r="BT121" i="4"/>
  <c r="BT93" i="4"/>
  <c r="BT116" i="4"/>
  <c r="BT134" i="4"/>
  <c r="BT115" i="4"/>
  <c r="BT139" i="4"/>
  <c r="BT63" i="4"/>
  <c r="BT46" i="4"/>
  <c r="BT110" i="4"/>
  <c r="BT61" i="4"/>
  <c r="BT155" i="4"/>
  <c r="BT31" i="4"/>
  <c r="BT123" i="4"/>
  <c r="BT16" i="4"/>
  <c r="BT66" i="4"/>
  <c r="BT117" i="4"/>
  <c r="BT37" i="4"/>
  <c r="BT74" i="4"/>
  <c r="BT125" i="4"/>
  <c r="BT136" i="4"/>
  <c r="BT157" i="4"/>
  <c r="BT98" i="4"/>
  <c r="BT81" i="4"/>
  <c r="BT48" i="4"/>
  <c r="BT75" i="4"/>
  <c r="BT18" i="4"/>
  <c r="BT50" i="4"/>
  <c r="BT59" i="4"/>
  <c r="BT83" i="4"/>
  <c r="BT101" i="4"/>
  <c r="BT39" i="4"/>
  <c r="BT70" i="4"/>
  <c r="BT28" i="4"/>
  <c r="BT96" i="4"/>
  <c r="BT108" i="4"/>
  <c r="BT41" i="4"/>
  <c r="BT90" i="4"/>
  <c r="BT140" i="4"/>
  <c r="BT9" i="4"/>
  <c r="BT19" i="4"/>
  <c r="BT119" i="4"/>
  <c r="BT13" i="4"/>
  <c r="BT67" i="4"/>
  <c r="BT129" i="4"/>
  <c r="BT22" i="4"/>
  <c r="BT54" i="4"/>
  <c r="BT72" i="4"/>
  <c r="BT104" i="4"/>
  <c r="BT148" i="4"/>
  <c r="BT47" i="4"/>
  <c r="BT91" i="4"/>
  <c r="BT36" i="4"/>
  <c r="BT124" i="4"/>
  <c r="BT7" i="4"/>
  <c r="BT15" i="4"/>
  <c r="BT45" i="4"/>
  <c r="BT109" i="4"/>
  <c r="BT114" i="4"/>
  <c r="BT27" i="4"/>
  <c r="BT76" i="4"/>
  <c r="BT151" i="4"/>
  <c r="BT68" i="4"/>
  <c r="BT127" i="4"/>
  <c r="BT26" i="4"/>
  <c r="BT58" i="4"/>
  <c r="BT88" i="4"/>
  <c r="BT132" i="4"/>
  <c r="BT73" i="4"/>
  <c r="BT55" i="4"/>
  <c r="BT133" i="4"/>
  <c r="BT44" i="4"/>
  <c r="BT153" i="4"/>
  <c r="H21" i="1"/>
  <c r="AC536" i="5"/>
  <c r="AD536" i="5" s="1"/>
  <c r="Y59" i="5"/>
  <c r="AA10" i="5"/>
  <c r="AS7" i="5"/>
  <c r="AE7" i="5"/>
  <c r="AD7" i="5"/>
  <c r="X7" i="5"/>
  <c r="Y7" i="5"/>
  <c r="AB7" i="5"/>
  <c r="AA7" i="5"/>
  <c r="BD17" i="4"/>
  <c r="BD7" i="4"/>
  <c r="BD10" i="4"/>
  <c r="BL10" i="4" s="1"/>
  <c r="BD116" i="4"/>
  <c r="BL116" i="4" s="1"/>
  <c r="BD134" i="4"/>
  <c r="BF134" i="4" s="1"/>
  <c r="BG134" i="4" s="1"/>
  <c r="BM134" i="4" s="1"/>
  <c r="BD146" i="4"/>
  <c r="BF146" i="4" s="1"/>
  <c r="BG146" i="4" s="1"/>
  <c r="BM146" i="4" s="1"/>
  <c r="BD97" i="4"/>
  <c r="BF97" i="4" s="1"/>
  <c r="BG97" i="4" s="1"/>
  <c r="BM97" i="4" s="1"/>
  <c r="BD126" i="4"/>
  <c r="BF126" i="4" s="1"/>
  <c r="BG126" i="4" s="1"/>
  <c r="BM126" i="4" s="1"/>
  <c r="BD64" i="4"/>
  <c r="BF64" i="4" s="1"/>
  <c r="BD66" i="4"/>
  <c r="BF66" i="4" s="1"/>
  <c r="BG66" i="4" s="1"/>
  <c r="BM66" i="4" s="1"/>
  <c r="BD95" i="4"/>
  <c r="BL95" i="4" s="1"/>
  <c r="BD15" i="4"/>
  <c r="BF15" i="4" s="1"/>
  <c r="BG15" i="4" s="1"/>
  <c r="BM15" i="4" s="1"/>
  <c r="BD29" i="4"/>
  <c r="BD45" i="4"/>
  <c r="BL45" i="4" s="1"/>
  <c r="BD74" i="4"/>
  <c r="BF74" i="4" s="1"/>
  <c r="BD71" i="4"/>
  <c r="BF71" i="4" s="1"/>
  <c r="BG71" i="4" s="1"/>
  <c r="BM71" i="4" s="1"/>
  <c r="BD125" i="4"/>
  <c r="BF125" i="4" s="1"/>
  <c r="BG125" i="4" s="1"/>
  <c r="BM125" i="4" s="1"/>
  <c r="BD103" i="4"/>
  <c r="BF103" i="4" s="1"/>
  <c r="BD93" i="4"/>
  <c r="BF93" i="4" s="1"/>
  <c r="BG93" i="4" s="1"/>
  <c r="BM93" i="4" s="1"/>
  <c r="BD19" i="4"/>
  <c r="BF19" i="4" s="1"/>
  <c r="BG19" i="4" s="1"/>
  <c r="BM19" i="4" s="1"/>
  <c r="BD51" i="4"/>
  <c r="BF51" i="4" s="1"/>
  <c r="BG51" i="4" s="1"/>
  <c r="BM51" i="4" s="1"/>
  <c r="BD119" i="4"/>
  <c r="BF119" i="4" s="1"/>
  <c r="BD115" i="4"/>
  <c r="BF115" i="4" s="1"/>
  <c r="BG115" i="4" s="1"/>
  <c r="BM115" i="4" s="1"/>
  <c r="BD24" i="4"/>
  <c r="BF24" i="4" s="1"/>
  <c r="BD67" i="4"/>
  <c r="BF67" i="4" s="1"/>
  <c r="BG67" i="4" s="1"/>
  <c r="BM67" i="4" s="1"/>
  <c r="BD80" i="4"/>
  <c r="BF80" i="4" s="1"/>
  <c r="BG80" i="4" s="1"/>
  <c r="BM80" i="4" s="1"/>
  <c r="BD129" i="4"/>
  <c r="BF129" i="4" s="1"/>
  <c r="BG129" i="4" s="1"/>
  <c r="BM129" i="4" s="1"/>
  <c r="BD63" i="4"/>
  <c r="BF63" i="4" s="1"/>
  <c r="BG63" i="4" s="1"/>
  <c r="BM63" i="4" s="1"/>
  <c r="BD30" i="4"/>
  <c r="BF30" i="4" s="1"/>
  <c r="BG30" i="4" s="1"/>
  <c r="BM30" i="4" s="1"/>
  <c r="BD46" i="4"/>
  <c r="BL46" i="4" s="1"/>
  <c r="BD69" i="4"/>
  <c r="BL69" i="4" s="1"/>
  <c r="BD110" i="4"/>
  <c r="BF110" i="4" s="1"/>
  <c r="BG110" i="4" s="1"/>
  <c r="BM110" i="4" s="1"/>
  <c r="BD105" i="4"/>
  <c r="BD155" i="4"/>
  <c r="BL155" i="4" s="1"/>
  <c r="BD31" i="4"/>
  <c r="BL31" i="4" s="1"/>
  <c r="BD87" i="4"/>
  <c r="BL87" i="4" s="1"/>
  <c r="BD123" i="4"/>
  <c r="BF123" i="4" s="1"/>
  <c r="BG123" i="4" s="1"/>
  <c r="BM123" i="4" s="1"/>
  <c r="BD145" i="4"/>
  <c r="BF145" i="4" s="1"/>
  <c r="BD113" i="4"/>
  <c r="BF113" i="4" s="1"/>
  <c r="BD28" i="4"/>
  <c r="BF28" i="4" s="1"/>
  <c r="BG28" i="4" s="1"/>
  <c r="BM28" i="4" s="1"/>
  <c r="BD25" i="4"/>
  <c r="BL25" i="4" s="1"/>
  <c r="BD33" i="4"/>
  <c r="BL33" i="4" s="1"/>
  <c r="BD41" i="4"/>
  <c r="BL41" i="4" s="1"/>
  <c r="BD49" i="4"/>
  <c r="BD57" i="4"/>
  <c r="BL57" i="4" s="1"/>
  <c r="BD120" i="4"/>
  <c r="BL120" i="4" s="1"/>
  <c r="BD90" i="4"/>
  <c r="BF90" i="4" s="1"/>
  <c r="BD137" i="4"/>
  <c r="BF137" i="4" s="1"/>
  <c r="BD84" i="4"/>
  <c r="BF84" i="4" s="1"/>
  <c r="BD121" i="4"/>
  <c r="BF121" i="4" s="1"/>
  <c r="BG121" i="4" s="1"/>
  <c r="BM121" i="4" s="1"/>
  <c r="BD79" i="4"/>
  <c r="BL79" i="4" s="1"/>
  <c r="BD131" i="4"/>
  <c r="BF131" i="4" s="1"/>
  <c r="BD136" i="4"/>
  <c r="BF136" i="4" s="1"/>
  <c r="BD85" i="4"/>
  <c r="BF85" i="4" s="1"/>
  <c r="BD12" i="4"/>
  <c r="BF12" i="4" s="1"/>
  <c r="BG12" i="4" s="1"/>
  <c r="BM12" i="4" s="1"/>
  <c r="BD27" i="4"/>
  <c r="BF27" i="4" s="1"/>
  <c r="BG27" i="4" s="1"/>
  <c r="BM27" i="4" s="1"/>
  <c r="BD43" i="4"/>
  <c r="BF43" i="4" s="1"/>
  <c r="BG43" i="4" s="1"/>
  <c r="BM43" i="4" s="1"/>
  <c r="BD60" i="4"/>
  <c r="BF60" i="4" s="1"/>
  <c r="BG60" i="4" s="1"/>
  <c r="BM60" i="4" s="1"/>
  <c r="BD76" i="4"/>
  <c r="BL76" i="4" s="1"/>
  <c r="BD135" i="4"/>
  <c r="BD111" i="4"/>
  <c r="BF111" i="4" s="1"/>
  <c r="BD151" i="4"/>
  <c r="BF151" i="4" s="1"/>
  <c r="BG151" i="4" s="1"/>
  <c r="BM151" i="4" s="1"/>
  <c r="BD68" i="4"/>
  <c r="BL68" i="4" s="1"/>
  <c r="BD128" i="4"/>
  <c r="BF128" i="4" s="1"/>
  <c r="BD127" i="4"/>
  <c r="BF127" i="4" s="1"/>
  <c r="BG127" i="4" s="1"/>
  <c r="BM127" i="4" s="1"/>
  <c r="BD14" i="4"/>
  <c r="BF14" i="4" s="1"/>
  <c r="BG14" i="4" s="1"/>
  <c r="BM14" i="4" s="1"/>
  <c r="BD150" i="4"/>
  <c r="BL150" i="4" s="1"/>
  <c r="BD58" i="4"/>
  <c r="BL58" i="4" s="1"/>
  <c r="BD88" i="4"/>
  <c r="BF88" i="4" s="1"/>
  <c r="BD144" i="4"/>
  <c r="BF144" i="4" s="1"/>
  <c r="BD83" i="4"/>
  <c r="BL83" i="4" s="1"/>
  <c r="BD142" i="4"/>
  <c r="BD11" i="4"/>
  <c r="BF11" i="4" s="1"/>
  <c r="BG11" i="4" s="1"/>
  <c r="BM11" i="4" s="1"/>
  <c r="BD23" i="4"/>
  <c r="BF23" i="4" s="1"/>
  <c r="BD39" i="4"/>
  <c r="BL39" i="4" s="1"/>
  <c r="BD55" i="4"/>
  <c r="BL55" i="4" s="1"/>
  <c r="BD82" i="4"/>
  <c r="BF82" i="4" s="1"/>
  <c r="BG82" i="4" s="1"/>
  <c r="BM82" i="4" s="1"/>
  <c r="BD92" i="4"/>
  <c r="BF92" i="4" s="1"/>
  <c r="BD70" i="4"/>
  <c r="BF70" i="4" s="1"/>
  <c r="BD133" i="4"/>
  <c r="BL133" i="4" s="1"/>
  <c r="BD36" i="4"/>
  <c r="BF36" i="4" s="1"/>
  <c r="BG36" i="4" s="1"/>
  <c r="BM36" i="4" s="1"/>
  <c r="BD52" i="4"/>
  <c r="BF52" i="4" s="1"/>
  <c r="BG52" i="4" s="1"/>
  <c r="BM52" i="4" s="1"/>
  <c r="BD99" i="4"/>
  <c r="BL99" i="4" s="1"/>
  <c r="BD124" i="4"/>
  <c r="BF124" i="4" s="1"/>
  <c r="BD156" i="4"/>
  <c r="BF156" i="4" s="1"/>
  <c r="BD62" i="4"/>
  <c r="BL62" i="4" s="1"/>
  <c r="BD152" i="4"/>
  <c r="BL152" i="4" s="1"/>
  <c r="BD149" i="4"/>
  <c r="BF149" i="4" s="1"/>
  <c r="BD154" i="4"/>
  <c r="BD143" i="4"/>
  <c r="BF143" i="4" s="1"/>
  <c r="BD91" i="4"/>
  <c r="BL91" i="4" s="1"/>
  <c r="BD16" i="4"/>
  <c r="BL16" i="4" s="1"/>
  <c r="BD117" i="4"/>
  <c r="BF117" i="4" s="1"/>
  <c r="BG117" i="4" s="1"/>
  <c r="BM117" i="4" s="1"/>
  <c r="BD21" i="4"/>
  <c r="BF21" i="4" s="1"/>
  <c r="BD37" i="4"/>
  <c r="BL37" i="4" s="1"/>
  <c r="BD53" i="4"/>
  <c r="BF53" i="4" s="1"/>
  <c r="BD109" i="4"/>
  <c r="BD100" i="4"/>
  <c r="BF100" i="4" s="1"/>
  <c r="BD8" i="4"/>
  <c r="BF8" i="4" s="1"/>
  <c r="BG8" i="4" s="1"/>
  <c r="BM8" i="4" s="1"/>
  <c r="BD9" i="4"/>
  <c r="BF9" i="4" s="1"/>
  <c r="BG9" i="4" s="1"/>
  <c r="BM9" i="4" s="1"/>
  <c r="BD147" i="4"/>
  <c r="BF147" i="4" s="1"/>
  <c r="BG147" i="4" s="1"/>
  <c r="BM147" i="4" s="1"/>
  <c r="BD35" i="4"/>
  <c r="BF35" i="4" s="1"/>
  <c r="BD106" i="4"/>
  <c r="BF106" i="4" s="1"/>
  <c r="BD13" i="4"/>
  <c r="BF13" i="4" s="1"/>
  <c r="BG13" i="4" s="1"/>
  <c r="BM13" i="4" s="1"/>
  <c r="BD40" i="4"/>
  <c r="BF40" i="4" s="1"/>
  <c r="BG40" i="4" s="1"/>
  <c r="BM40" i="4" s="1"/>
  <c r="BD102" i="4"/>
  <c r="BF102" i="4" s="1"/>
  <c r="BD139" i="4"/>
  <c r="BL139" i="4" s="1"/>
  <c r="BD22" i="4"/>
  <c r="BF22" i="4" s="1"/>
  <c r="BG22" i="4" s="1"/>
  <c r="BM22" i="4" s="1"/>
  <c r="BD38" i="4"/>
  <c r="BF38" i="4" s="1"/>
  <c r="BG38" i="4" s="1"/>
  <c r="BM38" i="4" s="1"/>
  <c r="BD54" i="4"/>
  <c r="BL54" i="4" s="1"/>
  <c r="BD78" i="4"/>
  <c r="BF78" i="4" s="1"/>
  <c r="BG78" i="4" s="1"/>
  <c r="BM78" i="4" s="1"/>
  <c r="BD72" i="4"/>
  <c r="BL72" i="4" s="1"/>
  <c r="BD61" i="4"/>
  <c r="BF61" i="4" s="1"/>
  <c r="BG61" i="4" s="1"/>
  <c r="BM61" i="4" s="1"/>
  <c r="BD104" i="4"/>
  <c r="BL104" i="4" s="1"/>
  <c r="BD107" i="4"/>
  <c r="BL107" i="4" s="1"/>
  <c r="BD148" i="4"/>
  <c r="BF148" i="4" s="1"/>
  <c r="BD47" i="4"/>
  <c r="BF47" i="4" s="1"/>
  <c r="BD65" i="4"/>
  <c r="BF65" i="4" s="1"/>
  <c r="BD44" i="4"/>
  <c r="BF44" i="4" s="1"/>
  <c r="BG44" i="4" s="1"/>
  <c r="BM44" i="4" s="1"/>
  <c r="BD141" i="4"/>
  <c r="BF141" i="4" s="1"/>
  <c r="BD140" i="4"/>
  <c r="BF140" i="4" s="1"/>
  <c r="BD114" i="4"/>
  <c r="BF114" i="4" s="1"/>
  <c r="BG114" i="4" s="1"/>
  <c r="BM114" i="4" s="1"/>
  <c r="BD157" i="4"/>
  <c r="BF157" i="4" s="1"/>
  <c r="BG157" i="4" s="1"/>
  <c r="BM157" i="4" s="1"/>
  <c r="BD98" i="4"/>
  <c r="BF98" i="4" s="1"/>
  <c r="BD81" i="4"/>
  <c r="BF81" i="4" s="1"/>
  <c r="BD20" i="4"/>
  <c r="BF20" i="4" s="1"/>
  <c r="BG20" i="4" s="1"/>
  <c r="BM20" i="4" s="1"/>
  <c r="BD32" i="4"/>
  <c r="BF32" i="4" s="1"/>
  <c r="BD48" i="4"/>
  <c r="BF48" i="4" s="1"/>
  <c r="BG48" i="4" s="1"/>
  <c r="BM48" i="4" s="1"/>
  <c r="BD112" i="4"/>
  <c r="BF112" i="4" s="1"/>
  <c r="BG112" i="4" s="1"/>
  <c r="BM112" i="4" s="1"/>
  <c r="BD75" i="4"/>
  <c r="BL75" i="4" s="1"/>
  <c r="BD18" i="4"/>
  <c r="BF18" i="4" s="1"/>
  <c r="BG18" i="4" s="1"/>
  <c r="BM18" i="4" s="1"/>
  <c r="BD26" i="4"/>
  <c r="BF26" i="4" s="1"/>
  <c r="BG26" i="4" s="1"/>
  <c r="BM26" i="4" s="1"/>
  <c r="BD34" i="4"/>
  <c r="BL34" i="4" s="1"/>
  <c r="BD42" i="4"/>
  <c r="BF42" i="4" s="1"/>
  <c r="BG42" i="4" s="1"/>
  <c r="BM42" i="4" s="1"/>
  <c r="BD50" i="4"/>
  <c r="BF50" i="4" s="1"/>
  <c r="BG50" i="4" s="1"/>
  <c r="BM50" i="4" s="1"/>
  <c r="BD130" i="4"/>
  <c r="BL130" i="4" s="1"/>
  <c r="BD94" i="4"/>
  <c r="BF94" i="4" s="1"/>
  <c r="BD59" i="4"/>
  <c r="BF59" i="4" s="1"/>
  <c r="BG59" i="4" s="1"/>
  <c r="BM59" i="4" s="1"/>
  <c r="BD122" i="4"/>
  <c r="BF122" i="4" s="1"/>
  <c r="BD132" i="4"/>
  <c r="BF132" i="4" s="1"/>
  <c r="BG132" i="4" s="1"/>
  <c r="BM132" i="4" s="1"/>
  <c r="BD118" i="4"/>
  <c r="BF118" i="4" s="1"/>
  <c r="BD101" i="4"/>
  <c r="BF101" i="4" s="1"/>
  <c r="BD73" i="4"/>
  <c r="BF73" i="4" s="1"/>
  <c r="BD138" i="4"/>
  <c r="BF138" i="4" s="1"/>
  <c r="BG138" i="4" s="1"/>
  <c r="BM138" i="4" s="1"/>
  <c r="BD89" i="4"/>
  <c r="BD56" i="4"/>
  <c r="BL56" i="4" s="1"/>
  <c r="BD86" i="4"/>
  <c r="BF86" i="4" s="1"/>
  <c r="BD96" i="4"/>
  <c r="BF96" i="4" s="1"/>
  <c r="BG96" i="4" s="1"/>
  <c r="BM96" i="4" s="1"/>
  <c r="BD153" i="4"/>
  <c r="BF153" i="4" s="1"/>
  <c r="BG153" i="4" s="1"/>
  <c r="BM153" i="4" s="1"/>
  <c r="BD77" i="4"/>
  <c r="BF77" i="4" s="1"/>
  <c r="BG77" i="4" s="1"/>
  <c r="BM77" i="4" s="1"/>
  <c r="BD108" i="4"/>
  <c r="BF108" i="4" s="1"/>
  <c r="AC475" i="5"/>
  <c r="AS475" i="5" s="1"/>
  <c r="X434" i="5"/>
  <c r="X223" i="5"/>
  <c r="X64" i="5"/>
  <c r="X551" i="5"/>
  <c r="Y486" i="5"/>
  <c r="X525" i="5"/>
  <c r="AC447" i="5"/>
  <c r="AS447" i="5" s="1"/>
  <c r="AT447" i="5" s="1"/>
  <c r="Y154" i="5"/>
  <c r="AC238" i="5"/>
  <c r="AS238" i="5" s="1"/>
  <c r="AC376" i="5"/>
  <c r="AD376" i="5" s="1"/>
  <c r="AC537" i="5"/>
  <c r="AD537" i="5" s="1"/>
  <c r="AC468" i="5"/>
  <c r="AS468" i="5" s="1"/>
  <c r="AT468" i="5" s="1"/>
  <c r="X515" i="5"/>
  <c r="Y206" i="5"/>
  <c r="Y514" i="5"/>
  <c r="Y266" i="5"/>
  <c r="Y29" i="5"/>
  <c r="Y87" i="5"/>
  <c r="Y252" i="5"/>
  <c r="Y415" i="5"/>
  <c r="X427" i="5"/>
  <c r="Y373" i="5"/>
  <c r="Y216" i="5"/>
  <c r="Y281" i="5"/>
  <c r="X475" i="5"/>
  <c r="X448" i="5"/>
  <c r="Y380" i="5"/>
  <c r="Y396" i="5"/>
  <c r="X560" i="5"/>
  <c r="X557" i="5"/>
  <c r="Y555" i="5"/>
  <c r="Y45" i="5"/>
  <c r="X58" i="5"/>
  <c r="X310" i="5"/>
  <c r="Y337" i="5"/>
  <c r="AC515" i="5"/>
  <c r="AD515" i="5" s="1"/>
  <c r="Y200" i="5"/>
  <c r="X455" i="5"/>
  <c r="X552" i="5"/>
  <c r="Y235" i="5"/>
  <c r="X548" i="5"/>
  <c r="X152" i="5"/>
  <c r="X44" i="5"/>
  <c r="X202" i="5"/>
  <c r="Y410" i="5"/>
  <c r="X540" i="5"/>
  <c r="X125" i="5"/>
  <c r="X160" i="5"/>
  <c r="Y255" i="5"/>
  <c r="Y307" i="5"/>
  <c r="Y318" i="5"/>
  <c r="X528" i="5"/>
  <c r="X547" i="5"/>
  <c r="Y143" i="5"/>
  <c r="X315" i="5"/>
  <c r="Y268" i="5"/>
  <c r="Y343" i="5"/>
  <c r="Y376" i="5"/>
  <c r="Y353" i="5"/>
  <c r="Y365" i="5"/>
  <c r="Y72" i="5"/>
  <c r="Y134" i="5"/>
  <c r="X329" i="5"/>
  <c r="X335" i="5"/>
  <c r="Y186" i="5"/>
  <c r="X546" i="5"/>
  <c r="X27" i="5"/>
  <c r="X508" i="5"/>
  <c r="X472" i="5"/>
  <c r="Y379" i="5"/>
  <c r="AC290" i="5"/>
  <c r="AS290" i="5" s="1"/>
  <c r="AC547" i="5"/>
  <c r="AD547" i="5" s="1"/>
  <c r="AC281" i="5"/>
  <c r="AS281" i="5" s="1"/>
  <c r="AC427" i="5"/>
  <c r="AE427" i="5" s="1"/>
  <c r="AC514" i="5"/>
  <c r="AE514" i="5" s="1"/>
  <c r="AC44" i="5"/>
  <c r="AE44" i="5" s="1"/>
  <c r="Y239" i="5"/>
  <c r="Y467" i="5"/>
  <c r="Y253" i="5"/>
  <c r="Y444" i="5"/>
  <c r="X541" i="5"/>
  <c r="X488" i="5"/>
  <c r="Y440" i="5"/>
  <c r="Y531" i="5"/>
  <c r="AB257" i="5"/>
  <c r="X320" i="5"/>
  <c r="Y107" i="5"/>
  <c r="X498" i="5"/>
  <c r="X484" i="5"/>
  <c r="X115" i="5"/>
  <c r="X301" i="5"/>
  <c r="Y190" i="5"/>
  <c r="X214" i="5"/>
  <c r="X375" i="5"/>
  <c r="X559" i="5"/>
  <c r="AB536" i="5"/>
  <c r="X398" i="5"/>
  <c r="Y339" i="5"/>
  <c r="X536" i="5"/>
  <c r="Y524" i="5"/>
  <c r="Y554" i="5"/>
  <c r="Y99" i="5"/>
  <c r="Y332" i="5"/>
  <c r="Y446" i="5"/>
  <c r="AA241" i="5"/>
  <c r="AC554" i="5"/>
  <c r="AE554" i="5" s="1"/>
  <c r="X132" i="5"/>
  <c r="X243" i="5"/>
  <c r="Y346" i="5"/>
  <c r="Y236" i="5"/>
  <c r="X462" i="5"/>
  <c r="Y181" i="5"/>
  <c r="AA495" i="5"/>
  <c r="X378" i="5"/>
  <c r="Y402" i="5"/>
  <c r="X102" i="5"/>
  <c r="Y158" i="5"/>
  <c r="Y97" i="5"/>
  <c r="X194" i="5"/>
  <c r="X231" i="5"/>
  <c r="Y251" i="5"/>
  <c r="X259" i="5"/>
  <c r="Y361" i="5"/>
  <c r="Y411" i="5"/>
  <c r="X438" i="5"/>
  <c r="Y523" i="5"/>
  <c r="Y500" i="5"/>
  <c r="Y530" i="5"/>
  <c r="Y70" i="5"/>
  <c r="X305" i="5"/>
  <c r="Y407" i="5"/>
  <c r="Y430" i="5"/>
  <c r="X491" i="5"/>
  <c r="X453" i="5"/>
  <c r="Y544" i="5"/>
  <c r="X533" i="5"/>
  <c r="AC486" i="5"/>
  <c r="AD486" i="5" s="1"/>
  <c r="X128" i="5"/>
  <c r="X248" i="5"/>
  <c r="X238" i="5"/>
  <c r="Y308" i="5"/>
  <c r="X328" i="5"/>
  <c r="Y357" i="5"/>
  <c r="Y217" i="5"/>
  <c r="Y456" i="5"/>
  <c r="Y492" i="5"/>
  <c r="AB475" i="5"/>
  <c r="Y421" i="5"/>
  <c r="Y503" i="5"/>
  <c r="X451" i="5"/>
  <c r="X537" i="5"/>
  <c r="AC206" i="5"/>
  <c r="AS206" i="5" s="1"/>
  <c r="X273" i="5"/>
  <c r="X404" i="5"/>
  <c r="Y558" i="5"/>
  <c r="Y385" i="5"/>
  <c r="AB96" i="5"/>
  <c r="Y126" i="5"/>
  <c r="Y277" i="5"/>
  <c r="Y284" i="5"/>
  <c r="Y485" i="5"/>
  <c r="X35" i="5"/>
  <c r="X177" i="5"/>
  <c r="X351" i="5"/>
  <c r="X285" i="5"/>
  <c r="X535" i="5"/>
  <c r="Y502" i="5"/>
  <c r="X534" i="5"/>
  <c r="AA199" i="5"/>
  <c r="X136" i="5"/>
  <c r="Y369" i="5"/>
  <c r="Y545" i="5"/>
  <c r="X474" i="5"/>
  <c r="AB211" i="5"/>
  <c r="AB547" i="5"/>
  <c r="Y41" i="5"/>
  <c r="Y196" i="5"/>
  <c r="X370" i="5"/>
  <c r="Y371" i="5"/>
  <c r="Y487" i="5"/>
  <c r="X441" i="5"/>
  <c r="X468" i="5"/>
  <c r="X549" i="5"/>
  <c r="Y386" i="5"/>
  <c r="X481" i="5"/>
  <c r="AC310" i="5"/>
  <c r="AD310" i="5" s="1"/>
  <c r="AC411" i="5"/>
  <c r="AE411" i="5" s="1"/>
  <c r="AC455" i="5"/>
  <c r="AD455" i="5" s="1"/>
  <c r="AC462" i="5"/>
  <c r="AS462" i="5" s="1"/>
  <c r="AT462" i="5" s="1"/>
  <c r="AC345" i="5"/>
  <c r="AD345" i="5" s="1"/>
  <c r="AC395" i="5"/>
  <c r="AS395" i="5" s="1"/>
  <c r="AT395" i="5" s="1"/>
  <c r="AC493" i="5"/>
  <c r="AS493" i="5" s="1"/>
  <c r="AT493" i="5" s="1"/>
  <c r="AC35" i="5"/>
  <c r="AD35" i="5" s="1"/>
  <c r="AC560" i="5"/>
  <c r="AD560" i="5" s="1"/>
  <c r="AC186" i="5"/>
  <c r="AE186" i="5" s="1"/>
  <c r="X123" i="5"/>
  <c r="Y429" i="5"/>
  <c r="X275" i="5"/>
  <c r="X499" i="5"/>
  <c r="X43" i="5"/>
  <c r="X40" i="5"/>
  <c r="X86" i="5"/>
  <c r="X137" i="5"/>
  <c r="Y246" i="5"/>
  <c r="Y211" i="5"/>
  <c r="Y213" i="5"/>
  <c r="Y345" i="5"/>
  <c r="Y395" i="5"/>
  <c r="X364" i="5"/>
  <c r="Y490" i="5"/>
  <c r="X447" i="5"/>
  <c r="X296" i="5"/>
  <c r="AB26" i="5"/>
  <c r="AA168" i="5"/>
  <c r="AA540" i="5"/>
  <c r="X387" i="5"/>
  <c r="X470" i="5"/>
  <c r="X509" i="5"/>
  <c r="X414" i="5"/>
  <c r="Y464" i="5"/>
  <c r="Y425" i="5"/>
  <c r="AB34" i="5"/>
  <c r="AA547" i="5"/>
  <c r="AC490" i="5"/>
  <c r="AE490" i="5" s="1"/>
  <c r="X96" i="5"/>
  <c r="X227" i="5"/>
  <c r="Y265" i="5"/>
  <c r="X292" i="5"/>
  <c r="Y450" i="5"/>
  <c r="X471" i="5"/>
  <c r="X261" i="5"/>
  <c r="Y418" i="5"/>
  <c r="Y518" i="5"/>
  <c r="X428" i="5"/>
  <c r="Y389" i="5"/>
  <c r="Y454" i="5"/>
  <c r="Y556" i="5"/>
  <c r="AC57" i="5"/>
  <c r="AS57" i="5" s="1"/>
  <c r="AC556" i="5"/>
  <c r="AE556" i="5" s="1"/>
  <c r="AC58" i="5"/>
  <c r="AE58" i="5" s="1"/>
  <c r="AC226" i="5"/>
  <c r="AD226" i="5" s="1"/>
  <c r="X360" i="5"/>
  <c r="X479" i="5"/>
  <c r="Y391" i="5"/>
  <c r="X495" i="5"/>
  <c r="Y76" i="5"/>
  <c r="X31" i="5"/>
  <c r="Y119" i="5"/>
  <c r="Y229" i="5"/>
  <c r="Y354" i="5"/>
  <c r="Y460" i="5"/>
  <c r="Y439" i="5"/>
  <c r="AC414" i="5"/>
  <c r="AD414" i="5" s="1"/>
  <c r="X195" i="5"/>
  <c r="X422" i="5"/>
  <c r="AB35" i="5"/>
  <c r="AA427" i="5"/>
  <c r="X226" i="5"/>
  <c r="X313" i="5"/>
  <c r="Y416" i="5"/>
  <c r="X420" i="5"/>
  <c r="Y423" i="5"/>
  <c r="Y527" i="5"/>
  <c r="X538" i="5"/>
  <c r="X19" i="5"/>
  <c r="AA475" i="5"/>
  <c r="AC557" i="5"/>
  <c r="AS557" i="5" s="1"/>
  <c r="X349" i="5"/>
  <c r="X449" i="5"/>
  <c r="Y436" i="5"/>
  <c r="Y493" i="5"/>
  <c r="Y452" i="5"/>
  <c r="AC487" i="5"/>
  <c r="AD487" i="5" s="1"/>
  <c r="AC349" i="5"/>
  <c r="AD349" i="5" s="1"/>
  <c r="AC478" i="5"/>
  <c r="AE478" i="5" s="1"/>
  <c r="AC351" i="5"/>
  <c r="AD351" i="5" s="1"/>
  <c r="AC377" i="5"/>
  <c r="AD377" i="5" s="1"/>
  <c r="AC375" i="5"/>
  <c r="AD375" i="5" s="1"/>
  <c r="AC378" i="5"/>
  <c r="AD378" i="5" s="1"/>
  <c r="AC500" i="5"/>
  <c r="AE500" i="5" s="1"/>
  <c r="AC484" i="5"/>
  <c r="AS484" i="5" s="1"/>
  <c r="AT484" i="5" s="1"/>
  <c r="X103" i="5"/>
  <c r="X496" i="5"/>
  <c r="Y417" i="5"/>
  <c r="X507" i="5"/>
  <c r="AC320" i="5"/>
  <c r="AE320" i="5" s="1"/>
  <c r="Y176" i="5"/>
  <c r="Y169" i="5"/>
  <c r="Y180" i="5"/>
  <c r="Y366" i="5"/>
  <c r="Y469" i="5"/>
  <c r="Y480" i="5"/>
  <c r="Y150" i="5"/>
  <c r="X207" i="5"/>
  <c r="X340" i="5"/>
  <c r="Y394" i="5"/>
  <c r="X553" i="5"/>
  <c r="Y397" i="5"/>
  <c r="X465" i="5"/>
  <c r="Y443" i="5"/>
  <c r="Y513" i="5"/>
  <c r="X532" i="5"/>
  <c r="AC391" i="5"/>
  <c r="AD391" i="5" s="1"/>
  <c r="AC446" i="5"/>
  <c r="AS446" i="5" s="1"/>
  <c r="Y147" i="5"/>
  <c r="Y267" i="5"/>
  <c r="Y506" i="5"/>
  <c r="AB19" i="5"/>
  <c r="X431" i="5"/>
  <c r="X435" i="5"/>
  <c r="AC207" i="5"/>
  <c r="AS207" i="5" s="1"/>
  <c r="AU207" i="5" s="1"/>
  <c r="X85" i="5"/>
  <c r="Y297" i="5"/>
  <c r="X69" i="5"/>
  <c r="X184" i="5"/>
  <c r="Y288" i="5"/>
  <c r="X390" i="5"/>
  <c r="Y466" i="5"/>
  <c r="Y388" i="5"/>
  <c r="X23" i="5"/>
  <c r="Y218" i="5"/>
  <c r="Y287" i="5"/>
  <c r="X289" i="5"/>
  <c r="Y298" i="5"/>
  <c r="X504" i="5"/>
  <c r="Y437" i="5"/>
  <c r="AC440" i="5"/>
  <c r="AD440" i="5" s="1"/>
  <c r="AC553" i="5"/>
  <c r="AS553" i="5" s="1"/>
  <c r="AT553" i="5" s="1"/>
  <c r="AC479" i="5"/>
  <c r="AS479" i="5" s="1"/>
  <c r="AC498" i="5"/>
  <c r="AS498" i="5" s="1"/>
  <c r="AU498" i="5" s="1"/>
  <c r="AC360" i="5"/>
  <c r="AS360" i="5" s="1"/>
  <c r="AT360" i="5" s="1"/>
  <c r="AC509" i="5"/>
  <c r="AD509" i="5" s="1"/>
  <c r="Y458" i="5"/>
  <c r="X458" i="5"/>
  <c r="Y476" i="5"/>
  <c r="X476" i="5"/>
  <c r="Y300" i="5"/>
  <c r="X300" i="5"/>
  <c r="X463" i="5"/>
  <c r="Y463" i="5"/>
  <c r="Y110" i="5"/>
  <c r="X110" i="5"/>
  <c r="X34" i="5"/>
  <c r="AC34" i="5"/>
  <c r="AD34" i="5" s="1"/>
  <c r="X401" i="5"/>
  <c r="Y401" i="5"/>
  <c r="X73" i="5"/>
  <c r="Y66" i="5"/>
  <c r="Y148" i="5"/>
  <c r="Y209" i="5"/>
  <c r="Y323" i="5"/>
  <c r="Y381" i="5"/>
  <c r="X512" i="5"/>
  <c r="X400" i="5"/>
  <c r="X516" i="5"/>
  <c r="X324" i="5"/>
  <c r="AA359" i="5"/>
  <c r="AB359" i="5"/>
  <c r="X49" i="5"/>
  <c r="Y92" i="5"/>
  <c r="X164" i="5"/>
  <c r="Y279" i="5"/>
  <c r="X333" i="5"/>
  <c r="Y412" i="5"/>
  <c r="Y459" i="5"/>
  <c r="Y526" i="5"/>
  <c r="X482" i="5"/>
  <c r="X355" i="5"/>
  <c r="Y494" i="5"/>
  <c r="X442" i="5"/>
  <c r="AC288" i="5"/>
  <c r="AD288" i="5" s="1"/>
  <c r="AC49" i="5"/>
  <c r="AS49" i="5" s="1"/>
  <c r="AC300" i="5"/>
  <c r="AE300" i="5" s="1"/>
  <c r="AC66" i="5"/>
  <c r="AS66" i="5" s="1"/>
  <c r="AU66" i="5" s="1"/>
  <c r="AC128" i="5"/>
  <c r="AS128" i="5" s="1"/>
  <c r="AT128" i="5" s="1"/>
  <c r="AC409" i="5"/>
  <c r="AE409" i="5" s="1"/>
  <c r="AB295" i="5"/>
  <c r="AA295" i="5"/>
  <c r="X543" i="5"/>
  <c r="Y543" i="5"/>
  <c r="X290" i="5"/>
  <c r="Y290" i="5"/>
  <c r="Y426" i="5"/>
  <c r="X426" i="5"/>
  <c r="X356" i="5"/>
  <c r="Y356" i="5"/>
  <c r="Y240" i="5"/>
  <c r="X240" i="5"/>
  <c r="Y517" i="5"/>
  <c r="X517" i="5"/>
  <c r="Y473" i="5"/>
  <c r="AC473" i="5"/>
  <c r="AD473" i="5" s="1"/>
  <c r="Y403" i="5"/>
  <c r="X403" i="5"/>
  <c r="AC540" i="5"/>
  <c r="AE540" i="5" s="1"/>
  <c r="Y139" i="5"/>
  <c r="X139" i="5"/>
  <c r="X519" i="5"/>
  <c r="Y519" i="5"/>
  <c r="Y529" i="5"/>
  <c r="X529" i="5"/>
  <c r="Y406" i="5"/>
  <c r="X406" i="5"/>
  <c r="Y319" i="5"/>
  <c r="X319" i="5"/>
  <c r="Y167" i="5"/>
  <c r="X167" i="5"/>
  <c r="Y522" i="5"/>
  <c r="X522" i="5"/>
  <c r="Y511" i="5"/>
  <c r="X511" i="5"/>
  <c r="X510" i="5"/>
  <c r="Y510" i="5"/>
  <c r="X409" i="5"/>
  <c r="Y409" i="5"/>
  <c r="X10" i="5"/>
  <c r="Y10" i="5"/>
  <c r="X283" i="5"/>
  <c r="Y405" i="5"/>
  <c r="Y520" i="5"/>
  <c r="X94" i="5"/>
  <c r="X203" i="5"/>
  <c r="X309" i="5"/>
  <c r="X501" i="5"/>
  <c r="AC43" i="5"/>
  <c r="AS43" i="5" s="1"/>
  <c r="AT43" i="5" s="1"/>
  <c r="AA43" i="5"/>
  <c r="AB317" i="5"/>
  <c r="AA317" i="5"/>
  <c r="Y201" i="5"/>
  <c r="X201" i="5"/>
  <c r="X149" i="5"/>
  <c r="Y149" i="5"/>
  <c r="AC496" i="5"/>
  <c r="AD496" i="5" s="1"/>
  <c r="AB496" i="5"/>
  <c r="AA244" i="5"/>
  <c r="AB244" i="5"/>
  <c r="Y489" i="5"/>
  <c r="X457" i="5"/>
  <c r="X325" i="5"/>
  <c r="Y269" i="5"/>
  <c r="Y461" i="5"/>
  <c r="Y539" i="5"/>
  <c r="Y521" i="5"/>
  <c r="Y22" i="5"/>
  <c r="Y189" i="5"/>
  <c r="X341" i="5"/>
  <c r="Y433" i="5"/>
  <c r="X372" i="5"/>
  <c r="Y293" i="5"/>
  <c r="X505" i="5"/>
  <c r="X542" i="5"/>
  <c r="AC335" i="5"/>
  <c r="AE335" i="5" s="1"/>
  <c r="AB335" i="5"/>
  <c r="AA364" i="5"/>
  <c r="AC364" i="5"/>
  <c r="AS364" i="5" s="1"/>
  <c r="AA473" i="5"/>
  <c r="AB473" i="5"/>
  <c r="AC489" i="5"/>
  <c r="AS489" i="5" s="1"/>
  <c r="AU489" i="5" s="1"/>
  <c r="AA489" i="5"/>
  <c r="AB516" i="5"/>
  <c r="AA516" i="5"/>
  <c r="AA542" i="5"/>
  <c r="AB542" i="5"/>
  <c r="AA71" i="5"/>
  <c r="AB71" i="5"/>
  <c r="AC152" i="5"/>
  <c r="AS152" i="5" s="1"/>
  <c r="AU152" i="5" s="1"/>
  <c r="AC323" i="5"/>
  <c r="AD323" i="5" s="1"/>
  <c r="AC266" i="5"/>
  <c r="AE266" i="5" s="1"/>
  <c r="AA266" i="5"/>
  <c r="AC405" i="5"/>
  <c r="AE405" i="5" s="1"/>
  <c r="AA405" i="5"/>
  <c r="AA557" i="5"/>
  <c r="AB557" i="5"/>
  <c r="AC272" i="5"/>
  <c r="AD272" i="5" s="1"/>
  <c r="X257" i="5"/>
  <c r="Y257" i="5"/>
  <c r="X80" i="5"/>
  <c r="Y80" i="5"/>
  <c r="Y322" i="5"/>
  <c r="X322" i="5"/>
  <c r="Y57" i="5"/>
  <c r="X57" i="5"/>
  <c r="AC470" i="5"/>
  <c r="AD470" i="5" s="1"/>
  <c r="AA470" i="5"/>
  <c r="AC488" i="5"/>
  <c r="AE488" i="5" s="1"/>
  <c r="AC472" i="5"/>
  <c r="AD472" i="5" s="1"/>
  <c r="AC541" i="5"/>
  <c r="AS541" i="5" s="1"/>
  <c r="AT541" i="5" s="1"/>
  <c r="AC467" i="5"/>
  <c r="AS467" i="5" s="1"/>
  <c r="AU467" i="5" s="1"/>
  <c r="AC355" i="5"/>
  <c r="AD355" i="5" s="1"/>
  <c r="AC421" i="5"/>
  <c r="AE421" i="5" s="1"/>
  <c r="AC442" i="5"/>
  <c r="AS442" i="5" s="1"/>
  <c r="AU442" i="5" s="1"/>
  <c r="AC508" i="5"/>
  <c r="AS508" i="5" s="1"/>
  <c r="AC388" i="5"/>
  <c r="AD388" i="5" s="1"/>
  <c r="AC248" i="5"/>
  <c r="AS248" i="5" s="1"/>
  <c r="AC370" i="5"/>
  <c r="AD370" i="5" s="1"/>
  <c r="AC76" i="5"/>
  <c r="AD76" i="5" s="1"/>
  <c r="AC169" i="5"/>
  <c r="AS169" i="5" s="1"/>
  <c r="AT169" i="5" s="1"/>
  <c r="AC276" i="5"/>
  <c r="AE276" i="5" s="1"/>
  <c r="AC512" i="5"/>
  <c r="AS512" i="5" s="1"/>
  <c r="AT512" i="5" s="1"/>
  <c r="AC94" i="5"/>
  <c r="AE94" i="5" s="1"/>
  <c r="AC10" i="5"/>
  <c r="AD10" i="5" s="1"/>
  <c r="AC27" i="5"/>
  <c r="AS27" i="5" s="1"/>
  <c r="AC530" i="5"/>
  <c r="AD530" i="5" s="1"/>
  <c r="AC520" i="5"/>
  <c r="AS520" i="5" s="1"/>
  <c r="AT520" i="5" s="1"/>
  <c r="AC259" i="5"/>
  <c r="AE259" i="5" s="1"/>
  <c r="AC492" i="5"/>
  <c r="AE492" i="5" s="1"/>
  <c r="AC318" i="5"/>
  <c r="AD318" i="5" s="1"/>
  <c r="AC97" i="5"/>
  <c r="AD97" i="5" s="1"/>
  <c r="AC521" i="5"/>
  <c r="AE521" i="5" s="1"/>
  <c r="AC456" i="5"/>
  <c r="AD456" i="5" s="1"/>
  <c r="AA249" i="5"/>
  <c r="AB232" i="5"/>
  <c r="AB554" i="5"/>
  <c r="Y230" i="5"/>
  <c r="X311" i="5"/>
  <c r="AA482" i="5"/>
  <c r="AB555" i="5"/>
  <c r="Y98" i="5"/>
  <c r="AC491" i="5"/>
  <c r="AE491" i="5" s="1"/>
  <c r="AC412" i="5"/>
  <c r="AS412" i="5" s="1"/>
  <c r="AT412" i="5" s="1"/>
  <c r="AC505" i="5"/>
  <c r="AD505" i="5" s="1"/>
  <c r="AC279" i="5"/>
  <c r="AS279" i="5" s="1"/>
  <c r="AU279" i="5" s="1"/>
  <c r="AC501" i="5"/>
  <c r="AS501" i="5" s="1"/>
  <c r="AU501" i="5" s="1"/>
  <c r="AC270" i="5"/>
  <c r="AC13" i="5"/>
  <c r="AS13" i="5" s="1"/>
  <c r="AB334" i="5"/>
  <c r="AA374" i="5"/>
  <c r="Y233" i="5"/>
  <c r="AC148" i="5"/>
  <c r="AE148" i="5" s="1"/>
  <c r="AC189" i="5"/>
  <c r="AD189" i="5" s="1"/>
  <c r="AC406" i="5"/>
  <c r="AE406" i="5" s="1"/>
  <c r="AC308" i="5"/>
  <c r="AS308" i="5" s="1"/>
  <c r="AT308" i="5" s="1"/>
  <c r="AC12" i="5"/>
  <c r="AD12" i="5" s="1"/>
  <c r="AC384" i="5"/>
  <c r="AS384" i="5" s="1"/>
  <c r="AT384" i="5" s="1"/>
  <c r="Y175" i="5"/>
  <c r="X263" i="5"/>
  <c r="X271" i="5"/>
  <c r="AA58" i="5"/>
  <c r="X210" i="5"/>
  <c r="AA491" i="5"/>
  <c r="AC417" i="5"/>
  <c r="AE417" i="5" s="1"/>
  <c r="AC542" i="5"/>
  <c r="AE542" i="5" s="1"/>
  <c r="AC394" i="5"/>
  <c r="AD394" i="5" s="1"/>
  <c r="AC463" i="5"/>
  <c r="AE463" i="5" s="1"/>
  <c r="X11" i="5"/>
  <c r="Y11" i="5"/>
  <c r="X8" i="5"/>
  <c r="Y8" i="5"/>
  <c r="AB442" i="5"/>
  <c r="X306" i="5"/>
  <c r="Y347" i="5"/>
  <c r="AA42" i="5"/>
  <c r="AB160" i="5"/>
  <c r="AB378" i="5"/>
  <c r="X21" i="5"/>
  <c r="X256" i="5"/>
  <c r="X445" i="5"/>
  <c r="X363" i="5"/>
  <c r="Y383" i="5"/>
  <c r="X550" i="5"/>
  <c r="Y477" i="5"/>
  <c r="AC256" i="5"/>
  <c r="AS256" i="5" s="1"/>
  <c r="AC497" i="5"/>
  <c r="AD497" i="5" s="1"/>
  <c r="AB11" i="5"/>
  <c r="AA11" i="5"/>
  <c r="AB13" i="5"/>
  <c r="AA13" i="5"/>
  <c r="W9" i="5"/>
  <c r="T9" i="5"/>
  <c r="Q9" i="5"/>
  <c r="Z9" i="5"/>
  <c r="AM9" i="5"/>
  <c r="AJ9" i="5"/>
  <c r="X74" i="5"/>
  <c r="Y116" i="5"/>
  <c r="Y172" i="5"/>
  <c r="X225" i="5"/>
  <c r="X260" i="5"/>
  <c r="X302" i="5"/>
  <c r="X377" i="5"/>
  <c r="AB108" i="5"/>
  <c r="AA94" i="5"/>
  <c r="AA206" i="5"/>
  <c r="AB349" i="5"/>
  <c r="Y51" i="5"/>
  <c r="AB97" i="5"/>
  <c r="AA224" i="5"/>
  <c r="Y65" i="5"/>
  <c r="Y171" i="5"/>
  <c r="X367" i="5"/>
  <c r="X393" i="5"/>
  <c r="X497" i="5"/>
  <c r="X478" i="5"/>
  <c r="X483" i="5"/>
  <c r="Y424" i="5"/>
  <c r="AC160" i="5"/>
  <c r="AS160" i="5" s="1"/>
  <c r="X295" i="5"/>
  <c r="AC235" i="5"/>
  <c r="AD235" i="5" s="1"/>
  <c r="AC363" i="5"/>
  <c r="AD363" i="5" s="1"/>
  <c r="AC137" i="5"/>
  <c r="AS137" i="5" s="1"/>
  <c r="AU137" i="5" s="1"/>
  <c r="AC8" i="5"/>
  <c r="AS8" i="5" s="1"/>
  <c r="AK11" i="5"/>
  <c r="AL11" i="5"/>
  <c r="R11" i="5"/>
  <c r="S11" i="5"/>
  <c r="AB12" i="5"/>
  <c r="AA12" i="5"/>
  <c r="Y13" i="5"/>
  <c r="X13" i="5"/>
  <c r="AN11" i="5"/>
  <c r="AO11" i="5"/>
  <c r="AA161" i="5"/>
  <c r="AB279" i="5"/>
  <c r="AC367" i="5"/>
  <c r="AE367" i="5" s="1"/>
  <c r="AC69" i="5"/>
  <c r="AS69" i="5" s="1"/>
  <c r="AT69" i="5" s="1"/>
  <c r="AA472" i="5"/>
  <c r="AA69" i="5"/>
  <c r="AB105" i="5"/>
  <c r="AA169" i="5"/>
  <c r="AA406" i="5"/>
  <c r="AB258" i="5"/>
  <c r="AA521" i="5"/>
  <c r="Y384" i="5"/>
  <c r="AB308" i="5"/>
  <c r="AC402" i="5"/>
  <c r="AE402" i="5" s="1"/>
  <c r="AC396" i="5"/>
  <c r="AE396" i="5" s="1"/>
  <c r="AC251" i="5"/>
  <c r="AS251" i="5" s="1"/>
  <c r="AU251" i="5" s="1"/>
  <c r="AC450" i="5"/>
  <c r="AS450" i="5" s="1"/>
  <c r="AU450" i="5" s="1"/>
  <c r="AC397" i="5"/>
  <c r="AD397" i="5" s="1"/>
  <c r="AC550" i="5"/>
  <c r="AS550" i="5" s="1"/>
  <c r="AU550" i="5" s="1"/>
  <c r="AC11" i="5"/>
  <c r="U11" i="5"/>
  <c r="V11" i="5"/>
  <c r="AI11" i="5"/>
  <c r="AH11" i="5"/>
  <c r="AP11" i="5"/>
  <c r="AA8" i="5"/>
  <c r="AB8" i="5"/>
  <c r="Y12" i="5"/>
  <c r="X12" i="5"/>
  <c r="AR10" i="5"/>
  <c r="AQ10" i="5"/>
  <c r="AA259" i="5"/>
  <c r="AB69" i="5"/>
  <c r="AB110" i="5"/>
  <c r="AB384" i="5"/>
  <c r="AB521" i="5"/>
  <c r="AB560" i="5"/>
  <c r="AA308" i="5"/>
  <c r="AC436" i="5"/>
  <c r="AD436" i="5" s="1"/>
  <c r="AC115" i="5"/>
  <c r="AE115" i="5" s="1"/>
  <c r="AA554" i="5"/>
  <c r="X104" i="5"/>
  <c r="AB22" i="5"/>
  <c r="AA178" i="5"/>
  <c r="AC25" i="5"/>
  <c r="AD25" i="5" s="1"/>
  <c r="Y26" i="5"/>
  <c r="Y142" i="5"/>
  <c r="Y314" i="5"/>
  <c r="AC22" i="5"/>
  <c r="AE22" i="5" s="1"/>
  <c r="AC482" i="5"/>
  <c r="AE482" i="5" s="1"/>
  <c r="AB146" i="5"/>
  <c r="AB106" i="5"/>
  <c r="AA347" i="5"/>
  <c r="X122" i="5"/>
  <c r="X166" i="5"/>
  <c r="AB509" i="5"/>
  <c r="AB488" i="5"/>
  <c r="X108" i="5"/>
  <c r="Y28" i="5"/>
  <c r="X133" i="5"/>
  <c r="X312" i="5"/>
  <c r="Y299" i="5"/>
  <c r="AA550" i="5"/>
  <c r="AC516" i="5"/>
  <c r="AE516" i="5" s="1"/>
  <c r="AC495" i="5"/>
  <c r="AS495" i="5" s="1"/>
  <c r="AU495" i="5" s="1"/>
  <c r="AC555" i="5"/>
  <c r="AD555" i="5" s="1"/>
  <c r="AB251" i="5"/>
  <c r="X135" i="5"/>
  <c r="X151" i="5"/>
  <c r="Y245" i="5"/>
  <c r="Y264" i="5"/>
  <c r="AB58" i="5"/>
  <c r="AA397" i="5"/>
  <c r="AB470" i="5"/>
  <c r="AA488" i="5"/>
  <c r="X161" i="5"/>
  <c r="Y374" i="5"/>
  <c r="AC347" i="5"/>
  <c r="AE347" i="5" s="1"/>
  <c r="AC96" i="5"/>
  <c r="AS96" i="5" s="1"/>
  <c r="AU96" i="5" s="1"/>
  <c r="AC289" i="5"/>
  <c r="AD289" i="5" s="1"/>
  <c r="AC223" i="5"/>
  <c r="AS223" i="5" s="1"/>
  <c r="AT223" i="5" s="1"/>
  <c r="AC19" i="5"/>
  <c r="AE19" i="5" s="1"/>
  <c r="AB322" i="5"/>
  <c r="AC134" i="5"/>
  <c r="AS134" i="5" s="1"/>
  <c r="AU134" i="5" s="1"/>
  <c r="AA436" i="5"/>
  <c r="AA207" i="5"/>
  <c r="AA536" i="5"/>
  <c r="AA497" i="5"/>
  <c r="AC253" i="5"/>
  <c r="AS253" i="5" s="1"/>
  <c r="AT253" i="5" s="1"/>
  <c r="AA411" i="5"/>
  <c r="AA189" i="5"/>
  <c r="AB305" i="5"/>
  <c r="AA36" i="5"/>
  <c r="AB486" i="5"/>
  <c r="X222" i="5"/>
  <c r="X348" i="5"/>
  <c r="AB367" i="5"/>
  <c r="AA83" i="5"/>
  <c r="AB148" i="5"/>
  <c r="AA203" i="5"/>
  <c r="AB320" i="5"/>
  <c r="AB455" i="5"/>
  <c r="AA200" i="5"/>
  <c r="AC200" i="5"/>
  <c r="AS200" i="5" s="1"/>
  <c r="AC110" i="5"/>
  <c r="AS110" i="5" s="1"/>
  <c r="AU110" i="5" s="1"/>
  <c r="AB20" i="5"/>
  <c r="AB291" i="5"/>
  <c r="AA212" i="5"/>
  <c r="AA373" i="5"/>
  <c r="AA442" i="5"/>
  <c r="AB421" i="5"/>
  <c r="AA355" i="5"/>
  <c r="AA487" i="5"/>
  <c r="AA501" i="5"/>
  <c r="AA111" i="5"/>
  <c r="AA248" i="5"/>
  <c r="AB551" i="5"/>
  <c r="AA159" i="5"/>
  <c r="AA412" i="5"/>
  <c r="X304" i="5"/>
  <c r="AA30" i="5"/>
  <c r="AB100" i="5"/>
  <c r="AB250" i="5"/>
  <c r="AB375" i="5"/>
  <c r="AB61" i="5"/>
  <c r="AB94" i="5"/>
  <c r="AB478" i="5"/>
  <c r="AA541" i="5"/>
  <c r="Y37" i="5"/>
  <c r="Y68" i="5"/>
  <c r="Y82" i="5"/>
  <c r="Y205" i="5"/>
  <c r="X368" i="5"/>
  <c r="AA46" i="5"/>
  <c r="AA145" i="5"/>
  <c r="AA370" i="5"/>
  <c r="AA484" i="5"/>
  <c r="AB512" i="5"/>
  <c r="Y197" i="5"/>
  <c r="AC551" i="5"/>
  <c r="AD551" i="5" s="1"/>
  <c r="AC161" i="5"/>
  <c r="AE161" i="5" s="1"/>
  <c r="AB351" i="5"/>
  <c r="AA358" i="5"/>
  <c r="AA478" i="5"/>
  <c r="AB467" i="5"/>
  <c r="AA215" i="5"/>
  <c r="AA279" i="5"/>
  <c r="AA546" i="5"/>
  <c r="X25" i="5"/>
  <c r="Y55" i="5"/>
  <c r="AB206" i="5"/>
  <c r="AA351" i="5"/>
  <c r="AA421" i="5"/>
  <c r="AB355" i="5"/>
  <c r="AA467" i="5"/>
  <c r="AB487" i="5"/>
  <c r="AB472" i="5"/>
  <c r="AC273" i="5"/>
  <c r="AE273" i="5" s="1"/>
  <c r="X124" i="5"/>
  <c r="AA76" i="5"/>
  <c r="AA273" i="5"/>
  <c r="AA375" i="5"/>
  <c r="AB500" i="5"/>
  <c r="AA443" i="5"/>
  <c r="AA512" i="5"/>
  <c r="AC426" i="5"/>
  <c r="AD426" i="5" s="1"/>
  <c r="AB426" i="5"/>
  <c r="AA545" i="5"/>
  <c r="AC373" i="5"/>
  <c r="AS373" i="5" s="1"/>
  <c r="AU373" i="5" s="1"/>
  <c r="AC546" i="5"/>
  <c r="AD546" i="5" s="1"/>
  <c r="AC70" i="5"/>
  <c r="AS70" i="5" s="1"/>
  <c r="AA349" i="5"/>
  <c r="AB541" i="5"/>
  <c r="AB39" i="5"/>
  <c r="AB395" i="5"/>
  <c r="AB345" i="5"/>
  <c r="AB394" i="5"/>
  <c r="AB462" i="5"/>
  <c r="AB451" i="5"/>
  <c r="X156" i="5"/>
  <c r="X254" i="5"/>
  <c r="X291" i="5"/>
  <c r="AA152" i="5"/>
  <c r="AB207" i="5"/>
  <c r="AB235" i="5"/>
  <c r="AB323" i="5"/>
  <c r="AB363" i="5"/>
  <c r="AB390" i="5"/>
  <c r="AB406" i="5"/>
  <c r="AA391" i="5"/>
  <c r="AB405" i="5"/>
  <c r="AB427" i="5"/>
  <c r="AA560" i="5"/>
  <c r="Y131" i="5"/>
  <c r="AA476" i="5"/>
  <c r="AB497" i="5"/>
  <c r="AC249" i="5"/>
  <c r="AS249" i="5" s="1"/>
  <c r="AT249" i="5" s="1"/>
  <c r="AC390" i="5"/>
  <c r="AD390" i="5" s="1"/>
  <c r="AC46" i="5"/>
  <c r="AS46" i="5" s="1"/>
  <c r="AT46" i="5" s="1"/>
  <c r="AB530" i="5"/>
  <c r="AB31" i="5"/>
  <c r="AA140" i="5"/>
  <c r="AA167" i="5"/>
  <c r="AB403" i="5"/>
  <c r="AB520" i="5"/>
  <c r="AB447" i="5"/>
  <c r="AB260" i="5"/>
  <c r="AA493" i="5"/>
  <c r="AC324" i="5"/>
  <c r="AE324" i="5" s="1"/>
  <c r="AA324" i="5"/>
  <c r="AB175" i="5"/>
  <c r="AA175" i="5"/>
  <c r="AB107" i="5"/>
  <c r="AA107" i="5"/>
  <c r="AC72" i="5"/>
  <c r="AD72" i="5" s="1"/>
  <c r="AA72" i="5"/>
  <c r="AB72" i="5"/>
  <c r="AB33" i="5"/>
  <c r="AA33" i="5"/>
  <c r="AA85" i="5"/>
  <c r="AC85" i="5"/>
  <c r="AE85" i="5" s="1"/>
  <c r="AC457" i="5"/>
  <c r="AD457" i="5" s="1"/>
  <c r="AA457" i="5"/>
  <c r="AB457" i="5"/>
  <c r="AC410" i="5"/>
  <c r="AE410" i="5" s="1"/>
  <c r="AA410" i="5"/>
  <c r="AC209" i="5"/>
  <c r="AD209" i="5" s="1"/>
  <c r="AA209" i="5"/>
  <c r="AC65" i="5"/>
  <c r="AD65" i="5" s="1"/>
  <c r="AA65" i="5"/>
  <c r="AB454" i="5"/>
  <c r="AC454" i="5"/>
  <c r="AS454" i="5" s="1"/>
  <c r="AU454" i="5" s="1"/>
  <c r="AC131" i="5"/>
  <c r="AE131" i="5" s="1"/>
  <c r="AA131" i="5"/>
  <c r="AC298" i="5"/>
  <c r="AE298" i="5" s="1"/>
  <c r="AB298" i="5"/>
  <c r="AB466" i="5"/>
  <c r="AA466" i="5"/>
  <c r="AA342" i="5"/>
  <c r="AB342" i="5"/>
  <c r="AA350" i="5"/>
  <c r="AB350" i="5"/>
  <c r="AA448" i="5"/>
  <c r="AB448" i="5"/>
  <c r="AC448" i="5"/>
  <c r="AS448" i="5" s="1"/>
  <c r="X145" i="5"/>
  <c r="Y145" i="5"/>
  <c r="Y109" i="5"/>
  <c r="X109" i="5"/>
  <c r="X334" i="5"/>
  <c r="AC334" i="5"/>
  <c r="AD334" i="5" s="1"/>
  <c r="Y334" i="5"/>
  <c r="Y219" i="5"/>
  <c r="X219" i="5"/>
  <c r="X163" i="5"/>
  <c r="Y163" i="5"/>
  <c r="AC353" i="5"/>
  <c r="AS353" i="5" s="1"/>
  <c r="AB353" i="5"/>
  <c r="AC428" i="5"/>
  <c r="AE428" i="5" s="1"/>
  <c r="AA428" i="5"/>
  <c r="AA276" i="5"/>
  <c r="AB276" i="5"/>
  <c r="AC559" i="5"/>
  <c r="AD559" i="5" s="1"/>
  <c r="AA559" i="5"/>
  <c r="AB79" i="5"/>
  <c r="AB209" i="5"/>
  <c r="AB270" i="5"/>
  <c r="AB376" i="5"/>
  <c r="AB514" i="5"/>
  <c r="AC107" i="5"/>
  <c r="AE107" i="5" s="1"/>
  <c r="X146" i="5"/>
  <c r="X101" i="5"/>
  <c r="Y274" i="5"/>
  <c r="Y185" i="5"/>
  <c r="Y399" i="5"/>
  <c r="AA151" i="5"/>
  <c r="AA515" i="5"/>
  <c r="X60" i="5"/>
  <c r="X140" i="5"/>
  <c r="AB559" i="5"/>
  <c r="Y61" i="5"/>
  <c r="X316" i="5"/>
  <c r="AC466" i="5"/>
  <c r="AD466" i="5" s="1"/>
  <c r="AC365" i="5"/>
  <c r="AS365" i="5" s="1"/>
  <c r="AB365" i="5"/>
  <c r="AA121" i="5"/>
  <c r="AB121" i="5"/>
  <c r="AC218" i="5"/>
  <c r="AS218" i="5" s="1"/>
  <c r="AT218" i="5" s="1"/>
  <c r="AB218" i="5"/>
  <c r="AC45" i="5"/>
  <c r="AE45" i="5" s="1"/>
  <c r="AB45" i="5"/>
  <c r="AA283" i="5"/>
  <c r="AC283" i="5"/>
  <c r="AS283" i="5" s="1"/>
  <c r="AA336" i="5"/>
  <c r="AB336" i="5"/>
  <c r="AA449" i="5"/>
  <c r="AB449" i="5"/>
  <c r="AC449" i="5"/>
  <c r="AE449" i="5" s="1"/>
  <c r="AC354" i="5"/>
  <c r="AD354" i="5" s="1"/>
  <c r="AA354" i="5"/>
  <c r="AA524" i="5"/>
  <c r="AB524" i="5"/>
  <c r="AC524" i="5"/>
  <c r="AD524" i="5" s="1"/>
  <c r="AA533" i="5"/>
  <c r="AC533" i="5"/>
  <c r="AD533" i="5" s="1"/>
  <c r="AC494" i="5"/>
  <c r="AD494" i="5" s="1"/>
  <c r="AB494" i="5"/>
  <c r="AC103" i="5"/>
  <c r="AD103" i="5" s="1"/>
  <c r="AB103" i="5"/>
  <c r="AC29" i="5"/>
  <c r="AD29" i="5" s="1"/>
  <c r="AA29" i="5"/>
  <c r="AB247" i="5"/>
  <c r="AA247" i="5"/>
  <c r="AB205" i="5"/>
  <c r="AA205" i="5"/>
  <c r="AC461" i="5"/>
  <c r="AB461" i="5"/>
  <c r="AB433" i="5"/>
  <c r="AA433" i="5"/>
  <c r="AC433" i="5"/>
  <c r="AS433" i="5" s="1"/>
  <c r="AA523" i="5"/>
  <c r="AB523" i="5"/>
  <c r="AC328" i="5"/>
  <c r="AE328" i="5" s="1"/>
  <c r="AB328" i="5"/>
  <c r="Y392" i="5"/>
  <c r="X392" i="5"/>
  <c r="Y270" i="5"/>
  <c r="X270" i="5"/>
  <c r="Y262" i="5"/>
  <c r="X262" i="5"/>
  <c r="Y204" i="5"/>
  <c r="X204" i="5"/>
  <c r="Y174" i="5"/>
  <c r="X174" i="5"/>
  <c r="X144" i="5"/>
  <c r="Y144" i="5"/>
  <c r="X138" i="5"/>
  <c r="Y138" i="5"/>
  <c r="X56" i="5"/>
  <c r="Y56" i="5"/>
  <c r="Y338" i="5"/>
  <c r="X338" i="5"/>
  <c r="Y62" i="5"/>
  <c r="X62" i="5"/>
  <c r="AC71" i="5"/>
  <c r="AS71" i="5" s="1"/>
  <c r="AU71" i="5" s="1"/>
  <c r="X71" i="5"/>
  <c r="AA434" i="5"/>
  <c r="AC434" i="5"/>
  <c r="AS434" i="5" s="1"/>
  <c r="AT434" i="5" s="1"/>
  <c r="X130" i="5"/>
  <c r="Y130" i="5"/>
  <c r="AC64" i="5"/>
  <c r="AE64" i="5" s="1"/>
  <c r="AB64" i="5"/>
  <c r="AA64" i="5"/>
  <c r="AB372" i="5"/>
  <c r="AA372" i="5"/>
  <c r="AB85" i="5"/>
  <c r="AB186" i="5"/>
  <c r="AB233" i="5"/>
  <c r="AA188" i="5"/>
  <c r="AA223" i="5"/>
  <c r="AB283" i="5"/>
  <c r="AA360" i="5"/>
  <c r="AA376" i="5"/>
  <c r="AB498" i="5"/>
  <c r="Y71" i="5"/>
  <c r="Y84" i="5"/>
  <c r="X272" i="5"/>
  <c r="Y330" i="5"/>
  <c r="AB131" i="5"/>
  <c r="AB193" i="5"/>
  <c r="AA414" i="5"/>
  <c r="AB468" i="5"/>
  <c r="AA90" i="5"/>
  <c r="AB428" i="5"/>
  <c r="AB43" i="5"/>
  <c r="AA148" i="5"/>
  <c r="AB223" i="5"/>
  <c r="AB321" i="5"/>
  <c r="AB411" i="5"/>
  <c r="AB360" i="5"/>
  <c r="AA251" i="5"/>
  <c r="AA498" i="5"/>
  <c r="AA396" i="5"/>
  <c r="AB479" i="5"/>
  <c r="AB410" i="5"/>
  <c r="AA494" i="5"/>
  <c r="AA553" i="5"/>
  <c r="AB533" i="5"/>
  <c r="X46" i="5"/>
  <c r="Y90" i="5"/>
  <c r="X170" i="5"/>
  <c r="X212" i="5"/>
  <c r="AB312" i="5"/>
  <c r="AA423" i="5"/>
  <c r="AA461" i="5"/>
  <c r="X165" i="5"/>
  <c r="AC372" i="5"/>
  <c r="AS372" i="5" s="1"/>
  <c r="AT372" i="5" s="1"/>
  <c r="AC330" i="5"/>
  <c r="AD330" i="5" s="1"/>
  <c r="AC163" i="5"/>
  <c r="AE163" i="5" s="1"/>
  <c r="AB430" i="5"/>
  <c r="AC430" i="5"/>
  <c r="AS430" i="5" s="1"/>
  <c r="AU430" i="5" s="1"/>
  <c r="AA430" i="5"/>
  <c r="AA332" i="5"/>
  <c r="AB332" i="5"/>
  <c r="AC332" i="5"/>
  <c r="AS332" i="5" s="1"/>
  <c r="AB315" i="5"/>
  <c r="AC315" i="5"/>
  <c r="AE315" i="5" s="1"/>
  <c r="AB269" i="5"/>
  <c r="AC269" i="5"/>
  <c r="AE269" i="5" s="1"/>
  <c r="AA219" i="5"/>
  <c r="AC219" i="5"/>
  <c r="AE219" i="5" s="1"/>
  <c r="AA127" i="5"/>
  <c r="AB127" i="5"/>
  <c r="AA75" i="5"/>
  <c r="AB75" i="5"/>
  <c r="AC339" i="5"/>
  <c r="AS339" i="5" s="1"/>
  <c r="AU339" i="5" s="1"/>
  <c r="AA339" i="5"/>
  <c r="AA329" i="5"/>
  <c r="AC329" i="5"/>
  <c r="AE329" i="5" s="1"/>
  <c r="AB329" i="5"/>
  <c r="AA285" i="5"/>
  <c r="AB285" i="5"/>
  <c r="AA231" i="5"/>
  <c r="AC231" i="5"/>
  <c r="AS231" i="5" s="1"/>
  <c r="AB231" i="5"/>
  <c r="AA191" i="5"/>
  <c r="AB191" i="5"/>
  <c r="AB115" i="5"/>
  <c r="AA115" i="5"/>
  <c r="AB154" i="5"/>
  <c r="AC154" i="5"/>
  <c r="AE154" i="5" s="1"/>
  <c r="AA154" i="5"/>
  <c r="AA89" i="5"/>
  <c r="AB89" i="5"/>
  <c r="AA54" i="5"/>
  <c r="AB54" i="5"/>
  <c r="AB48" i="5"/>
  <c r="AA48" i="5"/>
  <c r="AC483" i="5"/>
  <c r="AB483" i="5"/>
  <c r="AA558" i="5"/>
  <c r="AC558" i="5"/>
  <c r="AE558" i="5" s="1"/>
  <c r="AB510" i="5"/>
  <c r="AC510" i="5"/>
  <c r="AS510" i="5" s="1"/>
  <c r="AA506" i="5"/>
  <c r="AC506" i="5"/>
  <c r="AS506" i="5" s="1"/>
  <c r="AB506" i="5"/>
  <c r="AC507" i="5"/>
  <c r="AD507" i="5" s="1"/>
  <c r="AA507" i="5"/>
  <c r="AB507" i="5"/>
  <c r="AC452" i="5"/>
  <c r="AD452" i="5" s="1"/>
  <c r="AB452" i="5"/>
  <c r="AC385" i="5"/>
  <c r="AE385" i="5" s="1"/>
  <c r="AA385" i="5"/>
  <c r="AC268" i="5"/>
  <c r="AE268" i="5" s="1"/>
  <c r="AA268" i="5"/>
  <c r="AB268" i="5"/>
  <c r="AC132" i="5"/>
  <c r="AE132" i="5" s="1"/>
  <c r="AB132" i="5"/>
  <c r="AB129" i="5"/>
  <c r="AA129" i="5"/>
  <c r="AA458" i="5"/>
  <c r="AC458" i="5"/>
  <c r="AE458" i="5" s="1"/>
  <c r="AB458" i="5"/>
  <c r="AC465" i="5"/>
  <c r="AA465" i="5"/>
  <c r="AB465" i="5"/>
  <c r="AB477" i="5"/>
  <c r="AA477" i="5"/>
  <c r="AC477" i="5"/>
  <c r="AE477" i="5" s="1"/>
  <c r="AC356" i="5"/>
  <c r="AA356" i="5"/>
  <c r="AB435" i="5"/>
  <c r="AA435" i="5"/>
  <c r="AC435" i="5"/>
  <c r="AA326" i="5"/>
  <c r="AB326" i="5"/>
  <c r="AA228" i="5"/>
  <c r="AB228" i="5"/>
  <c r="AC99" i="5"/>
  <c r="AD99" i="5" s="1"/>
  <c r="AA99" i="5"/>
  <c r="AB99" i="5"/>
  <c r="AB88" i="5"/>
  <c r="AA88" i="5"/>
  <c r="AA47" i="5"/>
  <c r="AB47" i="5"/>
  <c r="AB313" i="5"/>
  <c r="AA313" i="5"/>
  <c r="AC313" i="5"/>
  <c r="AE313" i="5" s="1"/>
  <c r="AA538" i="5"/>
  <c r="AC538" i="5"/>
  <c r="AS538" i="5" s="1"/>
  <c r="AB538" i="5"/>
  <c r="X342" i="5"/>
  <c r="Y342" i="5"/>
  <c r="X250" i="5"/>
  <c r="AC250" i="5"/>
  <c r="AE250" i="5" s="1"/>
  <c r="Y250" i="5"/>
  <c r="Y192" i="5"/>
  <c r="X192" i="5"/>
  <c r="Y228" i="5"/>
  <c r="X228" i="5"/>
  <c r="AC228" i="5"/>
  <c r="AD228" i="5" s="1"/>
  <c r="X173" i="5"/>
  <c r="Y173" i="5"/>
  <c r="Y153" i="5"/>
  <c r="X153" i="5"/>
  <c r="AC153" i="5"/>
  <c r="AD153" i="5" s="1"/>
  <c r="Y78" i="5"/>
  <c r="X78" i="5"/>
  <c r="Y413" i="5"/>
  <c r="X413" i="5"/>
  <c r="AC336" i="5"/>
  <c r="AD336" i="5" s="1"/>
  <c r="X336" i="5"/>
  <c r="Y336" i="5"/>
  <c r="AC232" i="5"/>
  <c r="X232" i="5"/>
  <c r="Y215" i="5"/>
  <c r="X215" i="5"/>
  <c r="X188" i="5"/>
  <c r="Y188" i="5"/>
  <c r="X155" i="5"/>
  <c r="Y155" i="5"/>
  <c r="X159" i="5"/>
  <c r="Y159" i="5"/>
  <c r="AC88" i="5"/>
  <c r="AS88" i="5" s="1"/>
  <c r="AU88" i="5" s="1"/>
  <c r="Y88" i="5"/>
  <c r="X88" i="5"/>
  <c r="Y52" i="5"/>
  <c r="X52" i="5"/>
  <c r="X20" i="5"/>
  <c r="Y20" i="5"/>
  <c r="AA382" i="5"/>
  <c r="AB382" i="5"/>
  <c r="Y39" i="5"/>
  <c r="AC39" i="5"/>
  <c r="AE39" i="5" s="1"/>
  <c r="Y95" i="5"/>
  <c r="X95" i="5"/>
  <c r="X179" i="5"/>
  <c r="Y179" i="5"/>
  <c r="AC296" i="5"/>
  <c r="AE296" i="5" s="1"/>
  <c r="AB296" i="5"/>
  <c r="AC480" i="5"/>
  <c r="AS480" i="5" s="1"/>
  <c r="AU480" i="5" s="1"/>
  <c r="AA480" i="5"/>
  <c r="AB480" i="5"/>
  <c r="AC534" i="5"/>
  <c r="AD534" i="5" s="1"/>
  <c r="AA534" i="5"/>
  <c r="AB534" i="5"/>
  <c r="AA132" i="5"/>
  <c r="AB289" i="5"/>
  <c r="AA510" i="5"/>
  <c r="X32" i="5"/>
  <c r="X117" i="5"/>
  <c r="Y237" i="5"/>
  <c r="Y232" i="5"/>
  <c r="Y221" i="5"/>
  <c r="Y258" i="5"/>
  <c r="X350" i="5"/>
  <c r="AB339" i="5"/>
  <c r="AB219" i="5"/>
  <c r="AC325" i="5"/>
  <c r="AD325" i="5" s="1"/>
  <c r="AB70" i="5"/>
  <c r="AA118" i="5"/>
  <c r="AB271" i="5"/>
  <c r="AA289" i="5"/>
  <c r="AB325" i="5"/>
  <c r="AB558" i="5"/>
  <c r="AC149" i="5"/>
  <c r="AE149" i="5" s="1"/>
  <c r="AA296" i="5"/>
  <c r="AC220" i="5"/>
  <c r="AD220" i="5" s="1"/>
  <c r="AC481" i="5"/>
  <c r="AE481" i="5" s="1"/>
  <c r="X36" i="5"/>
  <c r="Y157" i="5"/>
  <c r="AC350" i="5"/>
  <c r="AE350" i="5" s="1"/>
  <c r="AC81" i="5"/>
  <c r="AS81" i="5" s="1"/>
  <c r="AT81" i="5" s="1"/>
  <c r="AC379" i="5"/>
  <c r="AB379" i="5"/>
  <c r="AB282" i="5"/>
  <c r="AA282" i="5"/>
  <c r="AC262" i="5"/>
  <c r="AA262" i="5"/>
  <c r="AC227" i="5"/>
  <c r="AS227" i="5" s="1"/>
  <c r="AU227" i="5" s="1"/>
  <c r="AB227" i="5"/>
  <c r="AA112" i="5"/>
  <c r="AB112" i="5"/>
  <c r="AC116" i="5"/>
  <c r="AS116" i="5" s="1"/>
  <c r="AA116" i="5"/>
  <c r="AA50" i="5"/>
  <c r="AB50" i="5"/>
  <c r="AB21" i="5"/>
  <c r="AC21" i="5"/>
  <c r="AS21" i="5" s="1"/>
  <c r="AA21" i="5"/>
  <c r="AC471" i="5"/>
  <c r="AS471" i="5" s="1"/>
  <c r="AT471" i="5" s="1"/>
  <c r="AA471" i="5"/>
  <c r="AA517" i="5"/>
  <c r="AB517" i="5"/>
  <c r="AC340" i="5"/>
  <c r="AD340" i="5" s="1"/>
  <c r="AB340" i="5"/>
  <c r="AA340" i="5"/>
  <c r="AC441" i="5"/>
  <c r="AE441" i="5" s="1"/>
  <c r="AA441" i="5"/>
  <c r="AC444" i="5"/>
  <c r="AE444" i="5" s="1"/>
  <c r="AB444" i="5"/>
  <c r="AA380" i="5"/>
  <c r="AC380" i="5"/>
  <c r="AE380" i="5" s="1"/>
  <c r="AB380" i="5"/>
  <c r="AC239" i="5"/>
  <c r="AE239" i="5" s="1"/>
  <c r="AA239" i="5"/>
  <c r="AB239" i="5"/>
  <c r="AC177" i="5"/>
  <c r="AB177" i="5"/>
  <c r="AC539" i="5"/>
  <c r="AB539" i="5"/>
  <c r="AA539" i="5"/>
  <c r="AA327" i="5"/>
  <c r="AB327" i="5"/>
  <c r="AC341" i="5"/>
  <c r="AS341" i="5" s="1"/>
  <c r="AU341" i="5" s="1"/>
  <c r="AA341" i="5"/>
  <c r="AC420" i="5"/>
  <c r="AD420" i="5" s="1"/>
  <c r="AB420" i="5"/>
  <c r="AA420" i="5"/>
  <c r="AA408" i="5"/>
  <c r="AB408" i="5"/>
  <c r="AB337" i="5"/>
  <c r="AC337" i="5"/>
  <c r="AS337" i="5" s="1"/>
  <c r="AA281" i="5"/>
  <c r="AB281" i="5"/>
  <c r="AC190" i="5"/>
  <c r="AD190" i="5" s="1"/>
  <c r="AA190" i="5"/>
  <c r="AA53" i="5"/>
  <c r="AC53" i="5"/>
  <c r="AD53" i="5" s="1"/>
  <c r="AB53" i="5"/>
  <c r="AC150" i="5"/>
  <c r="AE150" i="5" s="1"/>
  <c r="AB150" i="5"/>
  <c r="AC401" i="5"/>
  <c r="AE401" i="5" s="1"/>
  <c r="AA401" i="5"/>
  <c r="AA464" i="5"/>
  <c r="AB464" i="5"/>
  <c r="AC464" i="5"/>
  <c r="AD464" i="5" s="1"/>
  <c r="X408" i="5"/>
  <c r="AC408" i="5"/>
  <c r="AS408" i="5" s="1"/>
  <c r="Y331" i="5"/>
  <c r="X331" i="5"/>
  <c r="Y278" i="5"/>
  <c r="X278" i="5"/>
  <c r="Y208" i="5"/>
  <c r="X208" i="5"/>
  <c r="X182" i="5"/>
  <c r="Y182" i="5"/>
  <c r="Y111" i="5"/>
  <c r="X111" i="5"/>
  <c r="AC89" i="5"/>
  <c r="AD89" i="5" s="1"/>
  <c r="Y89" i="5"/>
  <c r="X89" i="5"/>
  <c r="X67" i="5"/>
  <c r="Y67" i="5"/>
  <c r="AC282" i="5"/>
  <c r="AE282" i="5" s="1"/>
  <c r="Y282" i="5"/>
  <c r="X282" i="5"/>
  <c r="X286" i="5"/>
  <c r="Y286" i="5"/>
  <c r="AC178" i="5"/>
  <c r="AS178" i="5" s="1"/>
  <c r="AU178" i="5" s="1"/>
  <c r="X178" i="5"/>
  <c r="AC136" i="5"/>
  <c r="AA136" i="5"/>
  <c r="AA549" i="5"/>
  <c r="AC549" i="5"/>
  <c r="AE549" i="5" s="1"/>
  <c r="Y79" i="5"/>
  <c r="X79" i="5"/>
  <c r="AC79" i="5"/>
  <c r="AD79" i="5" s="1"/>
  <c r="AC118" i="5"/>
  <c r="AS118" i="5" s="1"/>
  <c r="AT118" i="5" s="1"/>
  <c r="X118" i="5"/>
  <c r="X241" i="5"/>
  <c r="Y241" i="5"/>
  <c r="AC381" i="5"/>
  <c r="AD381" i="5" s="1"/>
  <c r="AA381" i="5"/>
  <c r="AB381" i="5"/>
  <c r="AC229" i="5"/>
  <c r="AD229" i="5" s="1"/>
  <c r="AB229" i="5"/>
  <c r="AA424" i="5"/>
  <c r="AB424" i="5"/>
  <c r="AC424" i="5"/>
  <c r="AS424" i="5" s="1"/>
  <c r="AT424" i="5" s="1"/>
  <c r="AA70" i="5"/>
  <c r="AA303" i="5"/>
  <c r="AA394" i="5"/>
  <c r="Y75" i="5"/>
  <c r="Y93" i="5"/>
  <c r="Y352" i="5"/>
  <c r="AA177" i="5"/>
  <c r="AB385" i="5"/>
  <c r="AA452" i="5"/>
  <c r="AB441" i="5"/>
  <c r="AA153" i="5"/>
  <c r="AB190" i="5"/>
  <c r="AA229" i="5"/>
  <c r="X39" i="5"/>
  <c r="AB116" i="5"/>
  <c r="AA227" i="5"/>
  <c r="AB401" i="5"/>
  <c r="X24" i="5"/>
  <c r="X280" i="5"/>
  <c r="AA38" i="5"/>
  <c r="AB356" i="5"/>
  <c r="AA481" i="5"/>
  <c r="AC342" i="5"/>
  <c r="AD342" i="5" s="1"/>
  <c r="AA463" i="5"/>
  <c r="AB463" i="5"/>
  <c r="AA532" i="5"/>
  <c r="AC532" i="5"/>
  <c r="AD532" i="5" s="1"/>
  <c r="AB532" i="5"/>
  <c r="AC303" i="5"/>
  <c r="AC321" i="5"/>
  <c r="AD321" i="5" s="1"/>
  <c r="Y321" i="5"/>
  <c r="X327" i="5"/>
  <c r="AC327" i="5"/>
  <c r="AC326" i="5"/>
  <c r="AE326" i="5" s="1"/>
  <c r="Y193" i="5"/>
  <c r="X193" i="5"/>
  <c r="Y198" i="5"/>
  <c r="X198" i="5"/>
  <c r="X83" i="5"/>
  <c r="Y83" i="5"/>
  <c r="Y38" i="5"/>
  <c r="X38" i="5"/>
  <c r="AB128" i="5"/>
  <c r="AA186" i="5"/>
  <c r="AB187" i="5"/>
  <c r="AA496" i="5"/>
  <c r="AC38" i="5"/>
  <c r="AE38" i="5" s="1"/>
  <c r="Y46" i="5"/>
  <c r="AA272" i="5"/>
  <c r="AA353" i="5"/>
  <c r="AC193" i="5"/>
  <c r="AE193" i="5" s="1"/>
  <c r="Y81" i="5"/>
  <c r="AA504" i="5"/>
  <c r="Y326" i="5"/>
  <c r="X303" i="5"/>
  <c r="AB434" i="5"/>
  <c r="AC504" i="5"/>
  <c r="AS504" i="5" s="1"/>
  <c r="AT504" i="5" s="1"/>
  <c r="AC109" i="5"/>
  <c r="AS109" i="5" s="1"/>
  <c r="AU109" i="5" s="1"/>
  <c r="AA499" i="5"/>
  <c r="AC499" i="5"/>
  <c r="AS499" i="5" s="1"/>
  <c r="AU499" i="5" s="1"/>
  <c r="AC526" i="5"/>
  <c r="AE526" i="5" s="1"/>
  <c r="AA526" i="5"/>
  <c r="AC237" i="5"/>
  <c r="AD237" i="5" s="1"/>
  <c r="AA422" i="5"/>
  <c r="AC422" i="5"/>
  <c r="AS422" i="5" s="1"/>
  <c r="AT422" i="5" s="1"/>
  <c r="AC204" i="5"/>
  <c r="AE204" i="5" s="1"/>
  <c r="AC60" i="5"/>
  <c r="AC366" i="5"/>
  <c r="AS366" i="5" s="1"/>
  <c r="AA366" i="5"/>
  <c r="AC338" i="5"/>
  <c r="AS338" i="5" s="1"/>
  <c r="AU338" i="5" s="1"/>
  <c r="AC222" i="5"/>
  <c r="AC130" i="5"/>
  <c r="AD130" i="5" s="1"/>
  <c r="AC258" i="5"/>
  <c r="AS258" i="5" s="1"/>
  <c r="AC460" i="5"/>
  <c r="AD460" i="5" s="1"/>
  <c r="AA460" i="5"/>
  <c r="AB460" i="5"/>
  <c r="AB456" i="5"/>
  <c r="AA456" i="5"/>
  <c r="AC274" i="5"/>
  <c r="AC331" i="5"/>
  <c r="AD331" i="5" s="1"/>
  <c r="AC90" i="5"/>
  <c r="AE90" i="5" s="1"/>
  <c r="AC188" i="5"/>
  <c r="AS188" i="5" s="1"/>
  <c r="AC146" i="5"/>
  <c r="AS146" i="5" s="1"/>
  <c r="AT146" i="5" s="1"/>
  <c r="AC52" i="5"/>
  <c r="AE52" i="5" s="1"/>
  <c r="AC182" i="5"/>
  <c r="AS182" i="5" s="1"/>
  <c r="AT182" i="5" s="1"/>
  <c r="AC359" i="5"/>
  <c r="AC127" i="5"/>
  <c r="AE127" i="5" s="1"/>
  <c r="AC382" i="5"/>
  <c r="AE382" i="5" s="1"/>
  <c r="AC77" i="5"/>
  <c r="AD77" i="5" s="1"/>
  <c r="AC30" i="5"/>
  <c r="AC278" i="5"/>
  <c r="AE278" i="5" s="1"/>
  <c r="AC191" i="5"/>
  <c r="AE191" i="5" s="1"/>
  <c r="AC198" i="5"/>
  <c r="AE198" i="5" s="1"/>
  <c r="AC212" i="5"/>
  <c r="AD212" i="5" s="1"/>
  <c r="AC241" i="5"/>
  <c r="AS241" i="5" s="1"/>
  <c r="AU241" i="5" s="1"/>
  <c r="AC159" i="5"/>
  <c r="AD159" i="5" s="1"/>
  <c r="AC61" i="5"/>
  <c r="AS61" i="5" s="1"/>
  <c r="AU61" i="5" s="1"/>
  <c r="AC20" i="5"/>
  <c r="AD20" i="5" s="1"/>
  <c r="AC145" i="5"/>
  <c r="AS145" i="5" s="1"/>
  <c r="AT145" i="5" s="1"/>
  <c r="AC111" i="5"/>
  <c r="AD111" i="5" s="1"/>
  <c r="AC95" i="5"/>
  <c r="AE95" i="5" s="1"/>
  <c r="AC208" i="5"/>
  <c r="AD208" i="5" s="1"/>
  <c r="AB208" i="5"/>
  <c r="AB202" i="5"/>
  <c r="AC202" i="5"/>
  <c r="AS202" i="5" s="1"/>
  <c r="AB27" i="5"/>
  <c r="AA27" i="5"/>
  <c r="AB425" i="5"/>
  <c r="AA425" i="5"/>
  <c r="AC309" i="5"/>
  <c r="AB309" i="5"/>
  <c r="AC453" i="5"/>
  <c r="AE453" i="5" s="1"/>
  <c r="AB453" i="5"/>
  <c r="AA246" i="5"/>
  <c r="AC246" i="5"/>
  <c r="AA535" i="5"/>
  <c r="AC535" i="5"/>
  <c r="AD535" i="5" s="1"/>
  <c r="AA485" i="5"/>
  <c r="AC485" i="5"/>
  <c r="AD485" i="5" s="1"/>
  <c r="AC162" i="5"/>
  <c r="AS162" i="5" s="1"/>
  <c r="Y162" i="5"/>
  <c r="AC47" i="5"/>
  <c r="Y47" i="5"/>
  <c r="AC317" i="5"/>
  <c r="AS317" i="5" s="1"/>
  <c r="X317" i="5"/>
  <c r="AC48" i="5"/>
  <c r="AE48" i="5" s="1"/>
  <c r="Y48" i="5"/>
  <c r="AC112" i="5"/>
  <c r="AE112" i="5" s="1"/>
  <c r="Y112" i="5"/>
  <c r="AC543" i="5"/>
  <c r="AA543" i="5"/>
  <c r="AA44" i="5"/>
  <c r="AB182" i="5"/>
  <c r="AB501" i="5"/>
  <c r="AC138" i="5"/>
  <c r="AD138" i="5" s="1"/>
  <c r="AC151" i="5"/>
  <c r="AS151" i="5" s="1"/>
  <c r="AC443" i="5"/>
  <c r="AE443" i="5" s="1"/>
  <c r="AB76" i="5"/>
  <c r="AA162" i="5"/>
  <c r="AA413" i="5"/>
  <c r="AB543" i="5"/>
  <c r="AC275" i="5"/>
  <c r="AS275" i="5" s="1"/>
  <c r="Y53" i="5"/>
  <c r="X191" i="5"/>
  <c r="AA275" i="5"/>
  <c r="AB535" i="5"/>
  <c r="Y127" i="5"/>
  <c r="Y359" i="5"/>
  <c r="AA208" i="5"/>
  <c r="AB550" i="5"/>
  <c r="AC203" i="5"/>
  <c r="AD203" i="5" s="1"/>
  <c r="AC84" i="5"/>
  <c r="AA84" i="5"/>
  <c r="AC172" i="5"/>
  <c r="AE172" i="5" s="1"/>
  <c r="AA172" i="5"/>
  <c r="AC348" i="5"/>
  <c r="AB348" i="5"/>
  <c r="AB527" i="5"/>
  <c r="AC527" i="5"/>
  <c r="AC23" i="5"/>
  <c r="AE23" i="5" s="1"/>
  <c r="AA23" i="5"/>
  <c r="AC548" i="5"/>
  <c r="AS548" i="5" s="1"/>
  <c r="AT548" i="5" s="1"/>
  <c r="AB548" i="5"/>
  <c r="AB393" i="5"/>
  <c r="AA393" i="5"/>
  <c r="AA318" i="5"/>
  <c r="AB318" i="5"/>
  <c r="AB174" i="5"/>
  <c r="AC174" i="5"/>
  <c r="AS174" i="5" s="1"/>
  <c r="AA77" i="5"/>
  <c r="AB77" i="5"/>
  <c r="AB138" i="5"/>
  <c r="AC438" i="5"/>
  <c r="AD438" i="5" s="1"/>
  <c r="AA438" i="5"/>
  <c r="AB52" i="5"/>
  <c r="AB278" i="5"/>
  <c r="AC425" i="5"/>
  <c r="AE425" i="5" s="1"/>
  <c r="Y30" i="5"/>
  <c r="Y77" i="5"/>
  <c r="X382" i="5"/>
  <c r="AB169" i="5"/>
  <c r="X91" i="5"/>
  <c r="X112" i="5"/>
  <c r="AB324" i="5"/>
  <c r="AA365" i="5"/>
  <c r="AB415" i="5"/>
  <c r="AC83" i="5"/>
  <c r="AD83" i="5" s="1"/>
  <c r="X114" i="5"/>
  <c r="Y187" i="5"/>
  <c r="Y234" i="5"/>
  <c r="AA202" i="5"/>
  <c r="AA310" i="5"/>
  <c r="AA492" i="5"/>
  <c r="AA407" i="5"/>
  <c r="AB485" i="5"/>
  <c r="AC413" i="5"/>
  <c r="AS413" i="5" s="1"/>
  <c r="AC31" i="5"/>
  <c r="AC167" i="5"/>
  <c r="AD167" i="5" s="1"/>
  <c r="AC415" i="5"/>
  <c r="AE415" i="5" s="1"/>
  <c r="AC423" i="5"/>
  <c r="AD423" i="5" s="1"/>
  <c r="AA331" i="5"/>
  <c r="AC432" i="5"/>
  <c r="AE432" i="5" s="1"/>
  <c r="AC129" i="5"/>
  <c r="AE129" i="5" s="1"/>
  <c r="AC224" i="5"/>
  <c r="AC247" i="5"/>
  <c r="AS247" i="5" s="1"/>
  <c r="AC121" i="5"/>
  <c r="AD121" i="5" s="1"/>
  <c r="AC105" i="5"/>
  <c r="AS105" i="5" s="1"/>
  <c r="AT105" i="5" s="1"/>
  <c r="AC104" i="5"/>
  <c r="AC210" i="5"/>
  <c r="AC264" i="5"/>
  <c r="AD264" i="5" s="1"/>
  <c r="AC374" i="5"/>
  <c r="AE374" i="5" s="1"/>
  <c r="AC233" i="5"/>
  <c r="AE233" i="5" s="1"/>
  <c r="AC312" i="5"/>
  <c r="AE312" i="5" s="1"/>
  <c r="AC195" i="5"/>
  <c r="AE195" i="5" s="1"/>
  <c r="AC26" i="5"/>
  <c r="AE26" i="5" s="1"/>
  <c r="AC257" i="5"/>
  <c r="AC108" i="5"/>
  <c r="AS108" i="5" s="1"/>
  <c r="AU108" i="5" s="1"/>
  <c r="AC216" i="5"/>
  <c r="AS216" i="5" s="1"/>
  <c r="AT216" i="5" s="1"/>
  <c r="AA216" i="5"/>
  <c r="AC525" i="5"/>
  <c r="AA525" i="5"/>
  <c r="X362" i="5"/>
  <c r="Y362" i="5"/>
  <c r="AC362" i="5"/>
  <c r="Y358" i="5"/>
  <c r="AC358" i="5"/>
  <c r="AD358" i="5" s="1"/>
  <c r="X276" i="5"/>
  <c r="Y276" i="5"/>
  <c r="X242" i="5"/>
  <c r="Y242" i="5"/>
  <c r="Y244" i="5"/>
  <c r="AC244" i="5"/>
  <c r="AE244" i="5" s="1"/>
  <c r="Y183" i="5"/>
  <c r="X183" i="5"/>
  <c r="X100" i="5"/>
  <c r="Y100" i="5"/>
  <c r="X42" i="5"/>
  <c r="Y42" i="5"/>
  <c r="AC502" i="5"/>
  <c r="AS502" i="5" s="1"/>
  <c r="AA502" i="5"/>
  <c r="AC50" i="5"/>
  <c r="AE50" i="5" s="1"/>
  <c r="X50" i="5"/>
  <c r="AC168" i="5"/>
  <c r="Y168" i="5"/>
  <c r="AA120" i="5"/>
  <c r="AB216" i="5"/>
  <c r="AC469" i="5"/>
  <c r="AD469" i="5" s="1"/>
  <c r="Y33" i="5"/>
  <c r="AB502" i="5"/>
  <c r="Y249" i="5"/>
  <c r="AA357" i="5"/>
  <c r="AC357" i="5"/>
  <c r="AS357" i="5" s="1"/>
  <c r="AC343" i="5"/>
  <c r="AB343" i="5"/>
  <c r="AC265" i="5"/>
  <c r="AD265" i="5" s="1"/>
  <c r="AA265" i="5"/>
  <c r="AB293" i="5"/>
  <c r="AC293" i="5"/>
  <c r="AD293" i="5" s="1"/>
  <c r="AA293" i="5"/>
  <c r="AB256" i="5"/>
  <c r="AA256" i="5"/>
  <c r="AC196" i="5"/>
  <c r="AE196" i="5" s="1"/>
  <c r="AB196" i="5"/>
  <c r="AC141" i="5"/>
  <c r="AS141" i="5" s="1"/>
  <c r="AU141" i="5" s="1"/>
  <c r="AB141" i="5"/>
  <c r="AA135" i="5"/>
  <c r="AB135" i="5"/>
  <c r="AC93" i="5"/>
  <c r="AE93" i="5" s="1"/>
  <c r="AA93" i="5"/>
  <c r="AC55" i="5"/>
  <c r="AD55" i="5" s="1"/>
  <c r="AA55" i="5"/>
  <c r="AC214" i="5"/>
  <c r="AS214" i="5" s="1"/>
  <c r="AT214" i="5" s="1"/>
  <c r="AB214" i="5"/>
  <c r="AC113" i="5"/>
  <c r="AS113" i="5" s="1"/>
  <c r="AA113" i="5"/>
  <c r="AC147" i="5"/>
  <c r="AS147" i="5" s="1"/>
  <c r="AU147" i="5" s="1"/>
  <c r="AB147" i="5"/>
  <c r="AC33" i="5"/>
  <c r="AS33" i="5" s="1"/>
  <c r="AT33" i="5" s="1"/>
  <c r="AB362" i="5"/>
  <c r="AA362" i="5"/>
  <c r="AA519" i="5"/>
  <c r="AC519" i="5"/>
  <c r="AD519" i="5" s="1"/>
  <c r="AB537" i="5"/>
  <c r="AA537" i="5"/>
  <c r="AA400" i="5"/>
  <c r="AC400" i="5"/>
  <c r="AE400" i="5" s="1"/>
  <c r="AB400" i="5"/>
  <c r="AB344" i="5"/>
  <c r="AA344" i="5"/>
  <c r="AB392" i="5"/>
  <c r="AA392" i="5"/>
  <c r="AC392" i="5"/>
  <c r="AS392" i="5" s="1"/>
  <c r="AC284" i="5"/>
  <c r="AA284" i="5"/>
  <c r="AC194" i="5"/>
  <c r="AE194" i="5" s="1"/>
  <c r="AA194" i="5"/>
  <c r="AC87" i="5"/>
  <c r="AE87" i="5" s="1"/>
  <c r="AA87" i="5"/>
  <c r="AC73" i="5"/>
  <c r="AE73" i="5" s="1"/>
  <c r="AB73" i="5"/>
  <c r="AC144" i="5"/>
  <c r="AS144" i="5" s="1"/>
  <c r="AU144" i="5" s="1"/>
  <c r="AB144" i="5"/>
  <c r="AC261" i="5"/>
  <c r="AE261" i="5" s="1"/>
  <c r="AA261" i="5"/>
  <c r="AC399" i="5"/>
  <c r="AE399" i="5" s="1"/>
  <c r="AB399" i="5"/>
  <c r="AA513" i="5"/>
  <c r="AC513" i="5"/>
  <c r="AE513" i="5" s="1"/>
  <c r="Y344" i="5"/>
  <c r="AC344" i="5"/>
  <c r="AS344" i="5" s="1"/>
  <c r="X344" i="5"/>
  <c r="X294" i="5"/>
  <c r="Y294" i="5"/>
  <c r="X199" i="5"/>
  <c r="Y199" i="5"/>
  <c r="Y113" i="5"/>
  <c r="X113" i="5"/>
  <c r="X54" i="5"/>
  <c r="Y54" i="5"/>
  <c r="AC371" i="5"/>
  <c r="AE371" i="5" s="1"/>
  <c r="AA371" i="5"/>
  <c r="AC106" i="5"/>
  <c r="AD106" i="5" s="1"/>
  <c r="Y106" i="5"/>
  <c r="AA552" i="5"/>
  <c r="AC552" i="5"/>
  <c r="AD552" i="5" s="1"/>
  <c r="AB552" i="5"/>
  <c r="AB210" i="5"/>
  <c r="AB513" i="5"/>
  <c r="AC211" i="5"/>
  <c r="AD211" i="5" s="1"/>
  <c r="X168" i="5"/>
  <c r="AB371" i="5"/>
  <c r="X120" i="5"/>
  <c r="AC418" i="5"/>
  <c r="AS418" i="5" s="1"/>
  <c r="AT418" i="5" s="1"/>
  <c r="AA418" i="5"/>
  <c r="AB418" i="5"/>
  <c r="AB319" i="5"/>
  <c r="AC319" i="5"/>
  <c r="AS319" i="5" s="1"/>
  <c r="AU319" i="5" s="1"/>
  <c r="AA319" i="5"/>
  <c r="AC230" i="5"/>
  <c r="AE230" i="5" s="1"/>
  <c r="AA230" i="5"/>
  <c r="AB230" i="5"/>
  <c r="AC180" i="5"/>
  <c r="AD180" i="5" s="1"/>
  <c r="AA180" i="5"/>
  <c r="AB180" i="5"/>
  <c r="AB102" i="5"/>
  <c r="AC102" i="5"/>
  <c r="AD102" i="5" s="1"/>
  <c r="AC62" i="5"/>
  <c r="AS62" i="5" s="1"/>
  <c r="AT62" i="5" s="1"/>
  <c r="AB62" i="5"/>
  <c r="AA62" i="5"/>
  <c r="AC41" i="5"/>
  <c r="AE41" i="5" s="1"/>
  <c r="AB41" i="5"/>
  <c r="AA41" i="5"/>
  <c r="AC236" i="5"/>
  <c r="AE236" i="5" s="1"/>
  <c r="AB236" i="5"/>
  <c r="AC157" i="5"/>
  <c r="AS157" i="5" s="1"/>
  <c r="AU157" i="5" s="1"/>
  <c r="AB157" i="5"/>
  <c r="AA445" i="5"/>
  <c r="AC445" i="5"/>
  <c r="AE445" i="5" s="1"/>
  <c r="AA104" i="5"/>
  <c r="AA431" i="5"/>
  <c r="AB396" i="5"/>
  <c r="AA479" i="5"/>
  <c r="AB553" i="5"/>
  <c r="AC135" i="5"/>
  <c r="Y105" i="5"/>
  <c r="Y121" i="5"/>
  <c r="X247" i="5"/>
  <c r="X224" i="5"/>
  <c r="X129" i="5"/>
  <c r="X432" i="5"/>
  <c r="AA210" i="5"/>
  <c r="AB525" i="5"/>
  <c r="AB515" i="5"/>
  <c r="Y141" i="5"/>
  <c r="AB113" i="5"/>
  <c r="AA218" i="5"/>
  <c r="AA264" i="5"/>
  <c r="AA309" i="5"/>
  <c r="AA274" i="5"/>
  <c r="AB445" i="5"/>
  <c r="AB354" i="5"/>
  <c r="AC36" i="5"/>
  <c r="AD36" i="5" s="1"/>
  <c r="Y63" i="5"/>
  <c r="Y220" i="5"/>
  <c r="Y419" i="5"/>
  <c r="AA196" i="5"/>
  <c r="AB310" i="5"/>
  <c r="AB357" i="5"/>
  <c r="AA454" i="5"/>
  <c r="AB519" i="5"/>
  <c r="AC120" i="5"/>
  <c r="AD120" i="5" s="1"/>
  <c r="AC199" i="5"/>
  <c r="AC322" i="5"/>
  <c r="AD322" i="5" s="1"/>
  <c r="AC175" i="5"/>
  <c r="AE175" i="5" s="1"/>
  <c r="AC183" i="5"/>
  <c r="AS183" i="5" s="1"/>
  <c r="AU183" i="5" s="1"/>
  <c r="AC156" i="5"/>
  <c r="AC37" i="5"/>
  <c r="AE37" i="5" s="1"/>
  <c r="AC291" i="5"/>
  <c r="AE291" i="5" s="1"/>
  <c r="AC100" i="5"/>
  <c r="AS100" i="5" s="1"/>
  <c r="AC42" i="5"/>
  <c r="AE42" i="5" s="1"/>
  <c r="AB490" i="5"/>
  <c r="AA490" i="5"/>
  <c r="AC528" i="5"/>
  <c r="AS528" i="5" s="1"/>
  <c r="AT528" i="5" s="1"/>
  <c r="AB528" i="5"/>
  <c r="AC68" i="5"/>
  <c r="AD68" i="5" s="1"/>
  <c r="AC245" i="5"/>
  <c r="AC306" i="5"/>
  <c r="AE306" i="5" s="1"/>
  <c r="AC368" i="5"/>
  <c r="AE368" i="5" s="1"/>
  <c r="AC294" i="5"/>
  <c r="AE294" i="5" s="1"/>
  <c r="AC419" i="5"/>
  <c r="AD419" i="5" s="1"/>
  <c r="AC205" i="5"/>
  <c r="AE205" i="5" s="1"/>
  <c r="AC523" i="5"/>
  <c r="AE523" i="5" s="1"/>
  <c r="AC215" i="5"/>
  <c r="AS215" i="5" s="1"/>
  <c r="AU215" i="5" s="1"/>
  <c r="AC271" i="5"/>
  <c r="AC54" i="5"/>
  <c r="AS54" i="5" s="1"/>
  <c r="AC295" i="5"/>
  <c r="AC234" i="5"/>
  <c r="AS234" i="5" s="1"/>
  <c r="AU234" i="5" s="1"/>
  <c r="AA234" i="5"/>
  <c r="AC173" i="5"/>
  <c r="AS173" i="5" s="1"/>
  <c r="AB173" i="5"/>
  <c r="AC117" i="5"/>
  <c r="AS117" i="5" s="1"/>
  <c r="AU117" i="5" s="1"/>
  <c r="AB117" i="5"/>
  <c r="AC254" i="5"/>
  <c r="AD254" i="5" s="1"/>
  <c r="AA254" i="5"/>
  <c r="AA238" i="5"/>
  <c r="AB238" i="5"/>
  <c r="AC164" i="5"/>
  <c r="AD164" i="5" s="1"/>
  <c r="AA164" i="5"/>
  <c r="AB226" i="5"/>
  <c r="AA514" i="5"/>
  <c r="AC114" i="5"/>
  <c r="AD114" i="5" s="1"/>
  <c r="AC383" i="5"/>
  <c r="AE383" i="5" s="1"/>
  <c r="AB137" i="5"/>
  <c r="AA328" i="5"/>
  <c r="AC511" i="5"/>
  <c r="AD511" i="5" s="1"/>
  <c r="AB23" i="5"/>
  <c r="AA114" i="5"/>
  <c r="AB213" i="5"/>
  <c r="AA163" i="5"/>
  <c r="AB254" i="5"/>
  <c r="AB297" i="5"/>
  <c r="AB474" i="5"/>
  <c r="AC187" i="5"/>
  <c r="AD187" i="5" s="1"/>
  <c r="AC286" i="5"/>
  <c r="AS286" i="5" s="1"/>
  <c r="AA383" i="5"/>
  <c r="AC139" i="5"/>
  <c r="AD139" i="5" s="1"/>
  <c r="AC74" i="5"/>
  <c r="AD74" i="5" s="1"/>
  <c r="AC213" i="5"/>
  <c r="AS213" i="5" s="1"/>
  <c r="AC369" i="5"/>
  <c r="AE369" i="5" s="1"/>
  <c r="AA369" i="5"/>
  <c r="AA277" i="5"/>
  <c r="AC277" i="5"/>
  <c r="AE277" i="5" s="1"/>
  <c r="AC165" i="5"/>
  <c r="AD165" i="5" s="1"/>
  <c r="AB165" i="5"/>
  <c r="AC240" i="5"/>
  <c r="AD240" i="5" s="1"/>
  <c r="AA240" i="5"/>
  <c r="AC170" i="5"/>
  <c r="AB170" i="5"/>
  <c r="AC158" i="5"/>
  <c r="AE158" i="5" s="1"/>
  <c r="AB158" i="5"/>
  <c r="AB92" i="5"/>
  <c r="AC92" i="5"/>
  <c r="AE92" i="5" s="1"/>
  <c r="AC51" i="5"/>
  <c r="AS51" i="5" s="1"/>
  <c r="AT51" i="5" s="1"/>
  <c r="AA51" i="5"/>
  <c r="AA439" i="5"/>
  <c r="AC439" i="5"/>
  <c r="AD439" i="5" s="1"/>
  <c r="AC252" i="5"/>
  <c r="AS252" i="5" s="1"/>
  <c r="AA252" i="5"/>
  <c r="AC171" i="5"/>
  <c r="AS171" i="5" s="1"/>
  <c r="AU171" i="5" s="1"/>
  <c r="AA171" i="5"/>
  <c r="AC474" i="5"/>
  <c r="AC287" i="5"/>
  <c r="AD287" i="5" s="1"/>
  <c r="AA287" i="5"/>
  <c r="AC267" i="5"/>
  <c r="AS267" i="5" s="1"/>
  <c r="AA267" i="5"/>
  <c r="AA126" i="5"/>
  <c r="AC126" i="5"/>
  <c r="AS126" i="5" s="1"/>
  <c r="AC67" i="5"/>
  <c r="AE67" i="5" s="1"/>
  <c r="AA67" i="5"/>
  <c r="AB179" i="5"/>
  <c r="AC179" i="5"/>
  <c r="AS179" i="5" s="1"/>
  <c r="AT179" i="5" s="1"/>
  <c r="AA531" i="5"/>
  <c r="AC531" i="5"/>
  <c r="AC529" i="5"/>
  <c r="AA529" i="5"/>
  <c r="AA245" i="5"/>
  <c r="AC431" i="5"/>
  <c r="AD431" i="5" s="1"/>
  <c r="AA66" i="5"/>
  <c r="AA226" i="5"/>
  <c r="AB245" i="5"/>
  <c r="AB306" i="5"/>
  <c r="AA137" i="5"/>
  <c r="AB446" i="5"/>
  <c r="AA409" i="5"/>
  <c r="AC297" i="5"/>
  <c r="AE297" i="5" s="1"/>
  <c r="AB74" i="5"/>
  <c r="AB163" i="5"/>
  <c r="AB300" i="5"/>
  <c r="AA379" i="5"/>
  <c r="AA286" i="5"/>
  <c r="AA398" i="5"/>
  <c r="AB531" i="5"/>
  <c r="AA469" i="5"/>
  <c r="AC75" i="5"/>
  <c r="AC185" i="5"/>
  <c r="AD185" i="5" s="1"/>
  <c r="AB40" i="5"/>
  <c r="AA158" i="5"/>
  <c r="AB185" i="5"/>
  <c r="AA173" i="5"/>
  <c r="AA165" i="5"/>
  <c r="AA315" i="5"/>
  <c r="AB287" i="5"/>
  <c r="AC40" i="5"/>
  <c r="AC518" i="5"/>
  <c r="AC522" i="5"/>
  <c r="AD522" i="5" s="1"/>
  <c r="AB522" i="5"/>
  <c r="AA450" i="5"/>
  <c r="AB450" i="5"/>
  <c r="AC459" i="5"/>
  <c r="AD459" i="5" s="1"/>
  <c r="AA459" i="5"/>
  <c r="AB459" i="5"/>
  <c r="AC28" i="5"/>
  <c r="AA28" i="5"/>
  <c r="AA402" i="5"/>
  <c r="AB402" i="5"/>
  <c r="AB59" i="5"/>
  <c r="AC59" i="5"/>
  <c r="AE59" i="5" s="1"/>
  <c r="AB66" i="5"/>
  <c r="AB95" i="5"/>
  <c r="AA128" i="5"/>
  <c r="AA306" i="5"/>
  <c r="AB272" i="5"/>
  <c r="AA446" i="5"/>
  <c r="AB438" i="5"/>
  <c r="AB409" i="5"/>
  <c r="AB68" i="5"/>
  <c r="AB139" i="5"/>
  <c r="AA300" i="5"/>
  <c r="AA511" i="5"/>
  <c r="AA518" i="5"/>
  <c r="AC124" i="5"/>
  <c r="AD124" i="5" s="1"/>
  <c r="AA81" i="5"/>
  <c r="AA149" i="5"/>
  <c r="AB124" i="5"/>
  <c r="AA220" i="5"/>
  <c r="AA269" i="5"/>
  <c r="AB267" i="5"/>
  <c r="AC285" i="5"/>
  <c r="AC280" i="5"/>
  <c r="AS280" i="5" s="1"/>
  <c r="AC133" i="5"/>
  <c r="AD133" i="5" s="1"/>
  <c r="AC56" i="5"/>
  <c r="AE56" i="5" s="1"/>
  <c r="AA56" i="5"/>
  <c r="AC122" i="5"/>
  <c r="AB122" i="5"/>
  <c r="AC221" i="5"/>
  <c r="AE221" i="5" s="1"/>
  <c r="AB221" i="5"/>
  <c r="AC304" i="5"/>
  <c r="AE304" i="5" s="1"/>
  <c r="AA304" i="5"/>
  <c r="AB416" i="5"/>
  <c r="AC416" i="5"/>
  <c r="AE416" i="5" s="1"/>
  <c r="AB299" i="5"/>
  <c r="AC299" i="5"/>
  <c r="AS299" i="5" s="1"/>
  <c r="AT299" i="5" s="1"/>
  <c r="AA299" i="5"/>
  <c r="AB387" i="5"/>
  <c r="AC387" i="5"/>
  <c r="AD387" i="5" s="1"/>
  <c r="AB386" i="5"/>
  <c r="AC386" i="5"/>
  <c r="AA386" i="5"/>
  <c r="AA544" i="5"/>
  <c r="AC544" i="5"/>
  <c r="AA301" i="5"/>
  <c r="AC301" i="5"/>
  <c r="AS301" i="5" s="1"/>
  <c r="AB217" i="5"/>
  <c r="AC217" i="5"/>
  <c r="AS217" i="5" s="1"/>
  <c r="AA142" i="5"/>
  <c r="AC142" i="5"/>
  <c r="AS142" i="5" s="1"/>
  <c r="AB119" i="5"/>
  <c r="AC119" i="5"/>
  <c r="AD119" i="5" s="1"/>
  <c r="AB86" i="5"/>
  <c r="AC86" i="5"/>
  <c r="AD86" i="5" s="1"/>
  <c r="AB352" i="5"/>
  <c r="AC352" i="5"/>
  <c r="AS352" i="5" s="1"/>
  <c r="AU352" i="5" s="1"/>
  <c r="AA333" i="5"/>
  <c r="AC333" i="5"/>
  <c r="AD333" i="5" s="1"/>
  <c r="AB263" i="5"/>
  <c r="AC263" i="5"/>
  <c r="AE263" i="5" s="1"/>
  <c r="AB201" i="5"/>
  <c r="AC201" i="5"/>
  <c r="AS201" i="5" s="1"/>
  <c r="AT201" i="5" s="1"/>
  <c r="AB225" i="5"/>
  <c r="AC225" i="5"/>
  <c r="AD225" i="5" s="1"/>
  <c r="AB78" i="5"/>
  <c r="AC78" i="5"/>
  <c r="AS78" i="5" s="1"/>
  <c r="AB24" i="5"/>
  <c r="AC24" i="5"/>
  <c r="AD24" i="5" s="1"/>
  <c r="AC166" i="5"/>
  <c r="AD166" i="5" s="1"/>
  <c r="AC184" i="5"/>
  <c r="AS184" i="5" s="1"/>
  <c r="AC197" i="5"/>
  <c r="AD197" i="5" s="1"/>
  <c r="AC140" i="5"/>
  <c r="AD140" i="5" s="1"/>
  <c r="AC476" i="5"/>
  <c r="AD476" i="5" s="1"/>
  <c r="AC407" i="5"/>
  <c r="AE407" i="5" s="1"/>
  <c r="AC305" i="5"/>
  <c r="AS305" i="5" s="1"/>
  <c r="AU305" i="5" s="1"/>
  <c r="AC517" i="5"/>
  <c r="AS517" i="5" s="1"/>
  <c r="AB109" i="5"/>
  <c r="AB370" i="5"/>
  <c r="AA378" i="5"/>
  <c r="AA500" i="5"/>
  <c r="AB484" i="5"/>
  <c r="AB471" i="5"/>
  <c r="AA483" i="5"/>
  <c r="AC403" i="5"/>
  <c r="AD403" i="5" s="1"/>
  <c r="AB366" i="5"/>
  <c r="AB492" i="5"/>
  <c r="AB493" i="5"/>
  <c r="AB526" i="5"/>
  <c r="AC451" i="5"/>
  <c r="AS451" i="5" s="1"/>
  <c r="AT451" i="5" s="1"/>
  <c r="AC260" i="5"/>
  <c r="AS260" i="5" s="1"/>
  <c r="AU260" i="5" s="1"/>
  <c r="AB389" i="5"/>
  <c r="AC389" i="5"/>
  <c r="AS389" i="5" s="1"/>
  <c r="AB556" i="5"/>
  <c r="AA556" i="5"/>
  <c r="AC316" i="5"/>
  <c r="AD316" i="5" s="1"/>
  <c r="AA316" i="5"/>
  <c r="AB316" i="5"/>
  <c r="AA508" i="5"/>
  <c r="AB508" i="5"/>
  <c r="AC429" i="5"/>
  <c r="AD429" i="5" s="1"/>
  <c r="AA429" i="5"/>
  <c r="AB429" i="5"/>
  <c r="AB503" i="5"/>
  <c r="AA503" i="5"/>
  <c r="AA432" i="5"/>
  <c r="AB432" i="5"/>
  <c r="AB505" i="5"/>
  <c r="AA505" i="5"/>
  <c r="AA437" i="5"/>
  <c r="AC437" i="5"/>
  <c r="AD437" i="5" s="1"/>
  <c r="AB437" i="5"/>
  <c r="AA388" i="5"/>
  <c r="AB388" i="5"/>
  <c r="AA311" i="5"/>
  <c r="AC311" i="5"/>
  <c r="AS311" i="5" s="1"/>
  <c r="AU311" i="5" s="1"/>
  <c r="AB311" i="5"/>
  <c r="AA377" i="5"/>
  <c r="AB377" i="5"/>
  <c r="AC398" i="5"/>
  <c r="AA60" i="5"/>
  <c r="AA204" i="5"/>
  <c r="AB259" i="5"/>
  <c r="AA294" i="5"/>
  <c r="AA320" i="5"/>
  <c r="AA395" i="5"/>
  <c r="AA345" i="5"/>
  <c r="AA462" i="5"/>
  <c r="AB189" i="5"/>
  <c r="AA455" i="5"/>
  <c r="AA520" i="5"/>
  <c r="AA530" i="5"/>
  <c r="AB368" i="5"/>
  <c r="AA447" i="5"/>
  <c r="AC393" i="5"/>
  <c r="AS393" i="5" s="1"/>
  <c r="AA35" i="5"/>
  <c r="AA97" i="5"/>
  <c r="AB130" i="5"/>
  <c r="AA222" i="5"/>
  <c r="AA338" i="5"/>
  <c r="AC545" i="5"/>
  <c r="AD545" i="5" s="1"/>
  <c r="AB419" i="5"/>
  <c r="AA367" i="5"/>
  <c r="AA548" i="5"/>
  <c r="AA440" i="5"/>
  <c r="AB440" i="5"/>
  <c r="AB346" i="5"/>
  <c r="AC346" i="5"/>
  <c r="AA346" i="5"/>
  <c r="AA330" i="5"/>
  <c r="AB330" i="5"/>
  <c r="AA288" i="5"/>
  <c r="AB288" i="5"/>
  <c r="AB237" i="5"/>
  <c r="AA237" i="5"/>
  <c r="AA192" i="5"/>
  <c r="AC192" i="5"/>
  <c r="AS192" i="5" s="1"/>
  <c r="AB192" i="5"/>
  <c r="AB143" i="5"/>
  <c r="AA143" i="5"/>
  <c r="AC143" i="5"/>
  <c r="AD143" i="5" s="1"/>
  <c r="AB155" i="5"/>
  <c r="AC155" i="5"/>
  <c r="AA155" i="5"/>
  <c r="AB101" i="5"/>
  <c r="AC101" i="5"/>
  <c r="AE101" i="5" s="1"/>
  <c r="AA101" i="5"/>
  <c r="AB57" i="5"/>
  <c r="AA57" i="5"/>
  <c r="AA49" i="5"/>
  <c r="AB49" i="5"/>
  <c r="AC361" i="5"/>
  <c r="AE361" i="5" s="1"/>
  <c r="AB361" i="5"/>
  <c r="AC181" i="5"/>
  <c r="AB181" i="5"/>
  <c r="AC123" i="5"/>
  <c r="AB123" i="5"/>
  <c r="AC80" i="5"/>
  <c r="AE80" i="5" s="1"/>
  <c r="AA80" i="5"/>
  <c r="AC503" i="5"/>
  <c r="AA37" i="5"/>
  <c r="AA24" i="5"/>
  <c r="AA78" i="5"/>
  <c r="AB91" i="5"/>
  <c r="AB98" i="5"/>
  <c r="AB133" i="5"/>
  <c r="AA134" i="5"/>
  <c r="AA156" i="5"/>
  <c r="AA176" i="5"/>
  <c r="AA195" i="5"/>
  <c r="AA225" i="5"/>
  <c r="AA197" i="5"/>
  <c r="AA201" i="5"/>
  <c r="AB253" i="5"/>
  <c r="AB307" i="5"/>
  <c r="AB290" i="5"/>
  <c r="AA263" i="5"/>
  <c r="AB314" i="5"/>
  <c r="AB333" i="5"/>
  <c r="AA417" i="5"/>
  <c r="AA352" i="5"/>
  <c r="AC32" i="5"/>
  <c r="AS32" i="5" s="1"/>
  <c r="AC302" i="5"/>
  <c r="AD302" i="5" s="1"/>
  <c r="AA25" i="5"/>
  <c r="AA63" i="5"/>
  <c r="AB32" i="5"/>
  <c r="AA82" i="5"/>
  <c r="AA86" i="5"/>
  <c r="AA125" i="5"/>
  <c r="AA119" i="5"/>
  <c r="AB142" i="5"/>
  <c r="AA166" i="5"/>
  <c r="AA183" i="5"/>
  <c r="AA217" i="5"/>
  <c r="AA184" i="5"/>
  <c r="AB198" i="5"/>
  <c r="AB242" i="5"/>
  <c r="AB302" i="5"/>
  <c r="AB280" i="5"/>
  <c r="AA255" i="5"/>
  <c r="AB301" i="5"/>
  <c r="AA243" i="5"/>
  <c r="AB404" i="5"/>
  <c r="AB292" i="5"/>
  <c r="AC242" i="5"/>
  <c r="AD242" i="5" s="1"/>
  <c r="AC404" i="5"/>
  <c r="AD404" i="5" s="1"/>
  <c r="AC307" i="5"/>
  <c r="AC176" i="5"/>
  <c r="AC98" i="5"/>
  <c r="AC243" i="5"/>
  <c r="AC82" i="5"/>
  <c r="AE82" i="5" s="1"/>
  <c r="AC314" i="5"/>
  <c r="AD314" i="5" s="1"/>
  <c r="AC292" i="5"/>
  <c r="AD292" i="5" s="1"/>
  <c r="AC91" i="5"/>
  <c r="AD91" i="5" s="1"/>
  <c r="AC63" i="5"/>
  <c r="AS63" i="5" s="1"/>
  <c r="AC255" i="5"/>
  <c r="AD255" i="5" s="1"/>
  <c r="AB37" i="5"/>
  <c r="AB134" i="5"/>
  <c r="AB156" i="5"/>
  <c r="AB195" i="5"/>
  <c r="AA253" i="5"/>
  <c r="AA290" i="5"/>
  <c r="AB417" i="5"/>
  <c r="AC125" i="5"/>
  <c r="AE125" i="5" s="1"/>
  <c r="AB183" i="5"/>
  <c r="AA198" i="5"/>
  <c r="B71" i="2"/>
  <c r="B72" i="2" s="1"/>
  <c r="B68" i="2"/>
  <c r="B74" i="2" s="1"/>
  <c r="BL290" i="4" l="1"/>
  <c r="BL295" i="4"/>
  <c r="BL175" i="4"/>
  <c r="AF191" i="4"/>
  <c r="AF183" i="4"/>
  <c r="AF190" i="4"/>
  <c r="AF260" i="4"/>
  <c r="AF194" i="4"/>
  <c r="BL287" i="4"/>
  <c r="BL205" i="4"/>
  <c r="BL315" i="4"/>
  <c r="BL213" i="4"/>
  <c r="BL209" i="4"/>
  <c r="AF305" i="4"/>
  <c r="BL306" i="4"/>
  <c r="AF270" i="4"/>
  <c r="AF258" i="4"/>
  <c r="BL272" i="4"/>
  <c r="BL222" i="4"/>
  <c r="AF259" i="4"/>
  <c r="AF288" i="4"/>
  <c r="AF173" i="4"/>
  <c r="BL273" i="4"/>
  <c r="BL260" i="4"/>
  <c r="BL246" i="4"/>
  <c r="BL307" i="4"/>
  <c r="BL288" i="4"/>
  <c r="BL161" i="4"/>
  <c r="AF267" i="4"/>
  <c r="BL314" i="4"/>
  <c r="AF304" i="4"/>
  <c r="AF227" i="4"/>
  <c r="BL166" i="4"/>
  <c r="AF293" i="4"/>
  <c r="BL173" i="4"/>
  <c r="AF159" i="4"/>
  <c r="AF314" i="4"/>
  <c r="AF238" i="4"/>
  <c r="AF311" i="4"/>
  <c r="AF300" i="4"/>
  <c r="BL206" i="4"/>
  <c r="BL241" i="4"/>
  <c r="AF303" i="4"/>
  <c r="AF274" i="4"/>
  <c r="BL229" i="4"/>
  <c r="BE278" i="4"/>
  <c r="BQ278" i="4" s="1"/>
  <c r="BL249" i="4"/>
  <c r="AF285" i="4"/>
  <c r="BE226" i="4"/>
  <c r="BQ226" i="4" s="1"/>
  <c r="AF202" i="4"/>
  <c r="BL223" i="4"/>
  <c r="BL225" i="4"/>
  <c r="AF163" i="4"/>
  <c r="AA285" i="4"/>
  <c r="AG285" i="4" s="1"/>
  <c r="AP285" i="4" s="1"/>
  <c r="BE199" i="4"/>
  <c r="BQ199" i="4" s="1"/>
  <c r="Y288" i="4"/>
  <c r="AK288" i="4" s="1"/>
  <c r="BG262" i="4"/>
  <c r="BM262" i="4" s="1"/>
  <c r="BV262" i="4" s="1"/>
  <c r="AA200" i="4"/>
  <c r="AG200" i="4" s="1"/>
  <c r="AF279" i="4"/>
  <c r="AG320" i="4"/>
  <c r="AP320" i="4" s="1"/>
  <c r="BE235" i="4"/>
  <c r="BQ235" i="4" s="1"/>
  <c r="BE175" i="4"/>
  <c r="BH175" i="4" s="1"/>
  <c r="BJ175" i="4" s="1"/>
  <c r="BK175" i="4" s="1"/>
  <c r="BL262" i="4"/>
  <c r="AF167" i="4"/>
  <c r="BG250" i="4"/>
  <c r="BM250" i="4" s="1"/>
  <c r="BV250" i="4" s="1"/>
  <c r="AG274" i="4"/>
  <c r="AP274" i="4" s="1"/>
  <c r="AA181" i="4"/>
  <c r="AG181" i="4" s="1"/>
  <c r="AP181" i="4" s="1"/>
  <c r="Y304" i="4"/>
  <c r="AK304" i="4" s="1"/>
  <c r="BE306" i="4"/>
  <c r="BQ306" i="4" s="1"/>
  <c r="AA164" i="4"/>
  <c r="AG164" i="4" s="1"/>
  <c r="BG222" i="4"/>
  <c r="BM222" i="4" s="1"/>
  <c r="BV222" i="4" s="1"/>
  <c r="Y285" i="4"/>
  <c r="AK285" i="4" s="1"/>
  <c r="BG295" i="4"/>
  <c r="BM295" i="4" s="1"/>
  <c r="BV295" i="4" s="1"/>
  <c r="BM176" i="4"/>
  <c r="BV176" i="4" s="1"/>
  <c r="BE187" i="4"/>
  <c r="BQ187" i="4" s="1"/>
  <c r="BM223" i="4"/>
  <c r="BV223" i="4" s="1"/>
  <c r="BG307" i="4"/>
  <c r="BM307" i="4" s="1"/>
  <c r="BV307" i="4" s="1"/>
  <c r="BL171" i="4"/>
  <c r="Y320" i="4"/>
  <c r="AB320" i="4" s="1"/>
  <c r="AD320" i="4" s="1"/>
  <c r="AE320" i="4" s="1"/>
  <c r="Y324" i="4"/>
  <c r="AK324" i="4" s="1"/>
  <c r="BE206" i="4"/>
  <c r="BQ206" i="4" s="1"/>
  <c r="AG303" i="4"/>
  <c r="AH303" i="4" s="1"/>
  <c r="AJ303" i="4" s="1"/>
  <c r="AA279" i="4"/>
  <c r="AG279" i="4" s="1"/>
  <c r="AP279" i="4" s="1"/>
  <c r="BG205" i="4"/>
  <c r="BM205" i="4" s="1"/>
  <c r="BV205" i="4" s="1"/>
  <c r="BE274" i="4"/>
  <c r="BQ274" i="4" s="1"/>
  <c r="BE287" i="4"/>
  <c r="BQ287" i="4" s="1"/>
  <c r="AA267" i="4"/>
  <c r="AG267" i="4" s="1"/>
  <c r="AP267" i="4" s="1"/>
  <c r="AA238" i="4"/>
  <c r="AG238" i="4" s="1"/>
  <c r="AH238" i="4" s="1"/>
  <c r="AJ238" i="4" s="1"/>
  <c r="BG272" i="4"/>
  <c r="BM272" i="4" s="1"/>
  <c r="BV272" i="4" s="1"/>
  <c r="BE197" i="4"/>
  <c r="BQ197" i="4" s="1"/>
  <c r="AA269" i="4"/>
  <c r="AG269" i="4" s="1"/>
  <c r="AA232" i="4"/>
  <c r="AG232" i="4" s="1"/>
  <c r="AH232" i="4" s="1"/>
  <c r="AJ232" i="4" s="1"/>
  <c r="Y305" i="4"/>
  <c r="AK305" i="4" s="1"/>
  <c r="AF325" i="4"/>
  <c r="Y318" i="4"/>
  <c r="AK318" i="4" s="1"/>
  <c r="BG229" i="4"/>
  <c r="BM229" i="4" s="1"/>
  <c r="BV229" i="4" s="1"/>
  <c r="BG224" i="4"/>
  <c r="BM224" i="4" s="1"/>
  <c r="BV224" i="4" s="1"/>
  <c r="BE313" i="4"/>
  <c r="BQ313" i="4" s="1"/>
  <c r="BG310" i="4"/>
  <c r="BM310" i="4" s="1"/>
  <c r="BV310" i="4" s="1"/>
  <c r="AA291" i="4"/>
  <c r="AG291" i="4" s="1"/>
  <c r="AP291" i="4" s="1"/>
  <c r="BM243" i="4"/>
  <c r="BV243" i="4" s="1"/>
  <c r="AA213" i="4"/>
  <c r="AG213" i="4" s="1"/>
  <c r="BE161" i="4"/>
  <c r="BQ161" i="4" s="1"/>
  <c r="BH306" i="4"/>
  <c r="BJ306" i="4" s="1"/>
  <c r="BK306" i="4" s="1"/>
  <c r="BE271" i="4"/>
  <c r="BQ271" i="4" s="1"/>
  <c r="BM240" i="4"/>
  <c r="BV240" i="4" s="1"/>
  <c r="BL199" i="4"/>
  <c r="BL188" i="4"/>
  <c r="BG188" i="4"/>
  <c r="BM188" i="4" s="1"/>
  <c r="BV188" i="4" s="1"/>
  <c r="AF249" i="4"/>
  <c r="BG179" i="4"/>
  <c r="BM179" i="4" s="1"/>
  <c r="BV179" i="4" s="1"/>
  <c r="AF257" i="4"/>
  <c r="AF169" i="4"/>
  <c r="BG227" i="4"/>
  <c r="BM227" i="4" s="1"/>
  <c r="BV227" i="4" s="1"/>
  <c r="BE308" i="4"/>
  <c r="BQ308" i="4" s="1"/>
  <c r="BG245" i="4"/>
  <c r="BM245" i="4" s="1"/>
  <c r="BV245" i="4" s="1"/>
  <c r="AA255" i="4"/>
  <c r="AG255" i="4" s="1"/>
  <c r="AP255" i="4" s="1"/>
  <c r="BE176" i="4"/>
  <c r="BH176" i="4" s="1"/>
  <c r="BJ176" i="4" s="1"/>
  <c r="BK176" i="4" s="1"/>
  <c r="AF176" i="4"/>
  <c r="AA225" i="4"/>
  <c r="AG225" i="4" s="1"/>
  <c r="AP225" i="4" s="1"/>
  <c r="BG208" i="4"/>
  <c r="BM208" i="4" s="1"/>
  <c r="BV208" i="4" s="1"/>
  <c r="BG308" i="4"/>
  <c r="AA217" i="4"/>
  <c r="AG217" i="4" s="1"/>
  <c r="AP217" i="4" s="1"/>
  <c r="BG320" i="4"/>
  <c r="BM320" i="4" s="1"/>
  <c r="BV320" i="4" s="1"/>
  <c r="BG315" i="4"/>
  <c r="BM315" i="4" s="1"/>
  <c r="BV315" i="4" s="1"/>
  <c r="BG162" i="4"/>
  <c r="BM162" i="4" s="1"/>
  <c r="BV162" i="4" s="1"/>
  <c r="AA257" i="4"/>
  <c r="AG257" i="4" s="1"/>
  <c r="AP257" i="4" s="1"/>
  <c r="BE296" i="4"/>
  <c r="BQ296" i="4" s="1"/>
  <c r="AG187" i="4"/>
  <c r="AP187" i="4" s="1"/>
  <c r="BE292" i="4"/>
  <c r="BQ292" i="4" s="1"/>
  <c r="BL214" i="4"/>
  <c r="BL215" i="4"/>
  <c r="BE264" i="4"/>
  <c r="BQ264" i="4" s="1"/>
  <c r="BE189" i="4"/>
  <c r="BQ189" i="4" s="1"/>
  <c r="BL316" i="4"/>
  <c r="Y193" i="4"/>
  <c r="AK193" i="4" s="1"/>
  <c r="Y167" i="4"/>
  <c r="AK167" i="4" s="1"/>
  <c r="AA325" i="4"/>
  <c r="BG263" i="4"/>
  <c r="BM263" i="4" s="1"/>
  <c r="BV263" i="4" s="1"/>
  <c r="BL291" i="4"/>
  <c r="BL204" i="4"/>
  <c r="AF263" i="4"/>
  <c r="AA161" i="4"/>
  <c r="AG161" i="4" s="1"/>
  <c r="AH161" i="4" s="1"/>
  <c r="AJ161" i="4" s="1"/>
  <c r="BG256" i="4"/>
  <c r="BM256" i="4" s="1"/>
  <c r="BV256" i="4" s="1"/>
  <c r="AG165" i="4"/>
  <c r="AP165" i="4" s="1"/>
  <c r="AA234" i="4"/>
  <c r="AG234" i="4" s="1"/>
  <c r="AP234" i="4" s="1"/>
  <c r="AF234" i="4"/>
  <c r="AA216" i="4"/>
  <c r="AG216" i="4" s="1"/>
  <c r="BE210" i="4"/>
  <c r="BQ210" i="4" s="1"/>
  <c r="Y229" i="4"/>
  <c r="AK229" i="4" s="1"/>
  <c r="BL297" i="4"/>
  <c r="AF281" i="4"/>
  <c r="BH199" i="4"/>
  <c r="BJ199" i="4" s="1"/>
  <c r="BK199" i="4" s="1"/>
  <c r="BL319" i="4"/>
  <c r="BE297" i="4"/>
  <c r="BG319" i="4"/>
  <c r="BM319" i="4" s="1"/>
  <c r="BV319" i="4" s="1"/>
  <c r="AF161" i="4"/>
  <c r="Y195" i="4"/>
  <c r="AK195" i="4" s="1"/>
  <c r="BL256" i="4"/>
  <c r="BE219" i="4"/>
  <c r="BQ219" i="4" s="1"/>
  <c r="BG290" i="4"/>
  <c r="BM290" i="4" s="1"/>
  <c r="BV290" i="4" s="1"/>
  <c r="AG304" i="4"/>
  <c r="AP304" i="4" s="1"/>
  <c r="BE302" i="4"/>
  <c r="BQ302" i="4" s="1"/>
  <c r="BE171" i="4"/>
  <c r="BQ171" i="4" s="1"/>
  <c r="Y274" i="4"/>
  <c r="AK274" i="4" s="1"/>
  <c r="Y192" i="4"/>
  <c r="AK192" i="4" s="1"/>
  <c r="BE163" i="4"/>
  <c r="BQ163" i="4" s="1"/>
  <c r="BE237" i="4"/>
  <c r="BQ237" i="4" s="1"/>
  <c r="AA196" i="4"/>
  <c r="AG196" i="4" s="1"/>
  <c r="AP196" i="4" s="1"/>
  <c r="BL187" i="4"/>
  <c r="BL179" i="4"/>
  <c r="Y202" i="4"/>
  <c r="AB202" i="4" s="1"/>
  <c r="AD202" i="4" s="1"/>
  <c r="AE202" i="4" s="1"/>
  <c r="BL221" i="4"/>
  <c r="AA176" i="4"/>
  <c r="AG176" i="4" s="1"/>
  <c r="AH176" i="4" s="1"/>
  <c r="AJ176" i="4" s="1"/>
  <c r="AG283" i="4"/>
  <c r="AP283" i="4" s="1"/>
  <c r="BG321" i="4"/>
  <c r="BM321" i="4" s="1"/>
  <c r="BV321" i="4" s="1"/>
  <c r="BE241" i="4"/>
  <c r="BQ241" i="4" s="1"/>
  <c r="BL208" i="4"/>
  <c r="Y165" i="4"/>
  <c r="AK165" i="4" s="1"/>
  <c r="AA259" i="4"/>
  <c r="AG259" i="4" s="1"/>
  <c r="AH259" i="4" s="1"/>
  <c r="AJ259" i="4" s="1"/>
  <c r="BL189" i="4"/>
  <c r="AF265" i="4"/>
  <c r="BG268" i="4"/>
  <c r="BM268" i="4" s="1"/>
  <c r="BV268" i="4" s="1"/>
  <c r="BE311" i="4"/>
  <c r="BQ311" i="4" s="1"/>
  <c r="AG192" i="4"/>
  <c r="AH192" i="4" s="1"/>
  <c r="AJ192" i="4" s="1"/>
  <c r="BL310" i="4"/>
  <c r="BL226" i="4"/>
  <c r="AF269" i="4"/>
  <c r="AA185" i="4"/>
  <c r="AG185" i="4" s="1"/>
  <c r="AP185" i="4" s="1"/>
  <c r="BL311" i="4"/>
  <c r="Y223" i="4"/>
  <c r="AK223" i="4" s="1"/>
  <c r="BH197" i="4"/>
  <c r="BJ197" i="4" s="1"/>
  <c r="BK197" i="4" s="1"/>
  <c r="Y204" i="4"/>
  <c r="AK204" i="4" s="1"/>
  <c r="Y162" i="4"/>
  <c r="AK162" i="4" s="1"/>
  <c r="BM311" i="4"/>
  <c r="BV311" i="4" s="1"/>
  <c r="Y252" i="4"/>
  <c r="AK252" i="4" s="1"/>
  <c r="AF162" i="4"/>
  <c r="AG237" i="4"/>
  <c r="AH237" i="4" s="1"/>
  <c r="AJ237" i="4" s="1"/>
  <c r="BE248" i="4"/>
  <c r="BH248" i="4" s="1"/>
  <c r="BJ248" i="4" s="1"/>
  <c r="BK248" i="4" s="1"/>
  <c r="AA169" i="4"/>
  <c r="AG169" i="4" s="1"/>
  <c r="AH169" i="4" s="1"/>
  <c r="AJ169" i="4" s="1"/>
  <c r="AF299" i="4"/>
  <c r="Y311" i="4"/>
  <c r="AK311" i="4" s="1"/>
  <c r="AA300" i="4"/>
  <c r="AG300" i="4" s="1"/>
  <c r="AH300" i="4" s="1"/>
  <c r="AJ300" i="4" s="1"/>
  <c r="AA160" i="4"/>
  <c r="AG160" i="4" s="1"/>
  <c r="BG214" i="4"/>
  <c r="BM214" i="4" s="1"/>
  <c r="BV214" i="4" s="1"/>
  <c r="AA236" i="4"/>
  <c r="AG236" i="4" s="1"/>
  <c r="AH236" i="4" s="1"/>
  <c r="AJ236" i="4" s="1"/>
  <c r="AA263" i="4"/>
  <c r="AG263" i="4" s="1"/>
  <c r="AP263" i="4" s="1"/>
  <c r="AF317" i="4"/>
  <c r="BH189" i="4"/>
  <c r="BJ189" i="4" s="1"/>
  <c r="BK189" i="4" s="1"/>
  <c r="BL162" i="4"/>
  <c r="BH264" i="4"/>
  <c r="BJ264" i="4" s="1"/>
  <c r="BK264" i="4" s="1"/>
  <c r="AA295" i="4"/>
  <c r="AG295" i="4" s="1"/>
  <c r="BL224" i="4"/>
  <c r="AF217" i="4"/>
  <c r="AF309" i="4"/>
  <c r="BL250" i="4"/>
  <c r="AF292" i="4"/>
  <c r="BH313" i="4"/>
  <c r="BJ313" i="4" s="1"/>
  <c r="BK313" i="4" s="1"/>
  <c r="AF237" i="4"/>
  <c r="Y286" i="4"/>
  <c r="AB286" i="4" s="1"/>
  <c r="AD286" i="4" s="1"/>
  <c r="AE286" i="4" s="1"/>
  <c r="Y269" i="4"/>
  <c r="BG257" i="4"/>
  <c r="BM257" i="4" s="1"/>
  <c r="BV257" i="4" s="1"/>
  <c r="AG324" i="4"/>
  <c r="AP324" i="4" s="1"/>
  <c r="BM297" i="4"/>
  <c r="BV297" i="4" s="1"/>
  <c r="AA173" i="4"/>
  <c r="AG173" i="4" s="1"/>
  <c r="AP173" i="4" s="1"/>
  <c r="BL248" i="4"/>
  <c r="Y219" i="4"/>
  <c r="AK219" i="4" s="1"/>
  <c r="BE317" i="4"/>
  <c r="BH317" i="4" s="1"/>
  <c r="BJ317" i="4" s="1"/>
  <c r="BK317" i="4" s="1"/>
  <c r="BE227" i="4"/>
  <c r="BQ227" i="4" s="1"/>
  <c r="AA184" i="4"/>
  <c r="AG184" i="4" s="1"/>
  <c r="AA254" i="4"/>
  <c r="AG254" i="4" s="1"/>
  <c r="AH254" i="4" s="1"/>
  <c r="AJ254" i="4" s="1"/>
  <c r="BG288" i="4"/>
  <c r="BM288" i="4" s="1"/>
  <c r="BV288" i="4" s="1"/>
  <c r="AA190" i="4"/>
  <c r="AG190" i="4" s="1"/>
  <c r="BE325" i="4"/>
  <c r="BQ325" i="4" s="1"/>
  <c r="AG247" i="4"/>
  <c r="AP247" i="4" s="1"/>
  <c r="BM287" i="4"/>
  <c r="BV287" i="4" s="1"/>
  <c r="BL279" i="4"/>
  <c r="AG167" i="4"/>
  <c r="AH167" i="4" s="1"/>
  <c r="AJ167" i="4" s="1"/>
  <c r="Y191" i="4"/>
  <c r="AK191" i="4" s="1"/>
  <c r="BE315" i="4"/>
  <c r="AA250" i="4"/>
  <c r="AG250" i="4" s="1"/>
  <c r="AH250" i="4" s="1"/>
  <c r="AJ250" i="4" s="1"/>
  <c r="BL242" i="4"/>
  <c r="BL268" i="4"/>
  <c r="AF320" i="4"/>
  <c r="BG174" i="4"/>
  <c r="BM174" i="4" s="1"/>
  <c r="BV174" i="4" s="1"/>
  <c r="BG291" i="4"/>
  <c r="BM291" i="4" s="1"/>
  <c r="BV291" i="4" s="1"/>
  <c r="AF213" i="4"/>
  <c r="AF225" i="4"/>
  <c r="AF275" i="4"/>
  <c r="BE270" i="4"/>
  <c r="BQ270" i="4" s="1"/>
  <c r="Y266" i="4"/>
  <c r="AK266" i="4" s="1"/>
  <c r="BG258" i="4"/>
  <c r="BM258" i="4" s="1"/>
  <c r="BV258" i="4" s="1"/>
  <c r="Y205" i="4"/>
  <c r="AB205" i="4" s="1"/>
  <c r="AD205" i="4" s="1"/>
  <c r="AE205" i="4" s="1"/>
  <c r="BG253" i="4"/>
  <c r="BM253" i="4" s="1"/>
  <c r="BV253" i="4" s="1"/>
  <c r="AA319" i="4"/>
  <c r="AG319" i="4" s="1"/>
  <c r="AP319" i="4" s="1"/>
  <c r="BE217" i="4"/>
  <c r="BH217" i="4" s="1"/>
  <c r="BJ217" i="4" s="1"/>
  <c r="BK217" i="4" s="1"/>
  <c r="AF250" i="4"/>
  <c r="AF252" i="4"/>
  <c r="BG164" i="4"/>
  <c r="BM164" i="4" s="1"/>
  <c r="BV164" i="4" s="1"/>
  <c r="Y215" i="4"/>
  <c r="AL215" i="4" s="1"/>
  <c r="AG265" i="4"/>
  <c r="AH265" i="4" s="1"/>
  <c r="AJ265" i="4" s="1"/>
  <c r="Y317" i="4"/>
  <c r="AK317" i="4" s="1"/>
  <c r="Y189" i="4"/>
  <c r="AK189" i="4" s="1"/>
  <c r="AA270" i="4"/>
  <c r="AG270" i="4" s="1"/>
  <c r="AF195" i="4"/>
  <c r="BG173" i="4"/>
  <c r="BM173" i="4" s="1"/>
  <c r="BV173" i="4" s="1"/>
  <c r="AF165" i="4"/>
  <c r="Z243" i="4"/>
  <c r="AF243" i="4"/>
  <c r="AH162" i="4"/>
  <c r="AJ162" i="4" s="1"/>
  <c r="AP162" i="4"/>
  <c r="Z240" i="4"/>
  <c r="AF240" i="4"/>
  <c r="Z242" i="4"/>
  <c r="Z206" i="4"/>
  <c r="AF242" i="4"/>
  <c r="BF304" i="4"/>
  <c r="BL304" i="4"/>
  <c r="Z264" i="4"/>
  <c r="AF264" i="4"/>
  <c r="Z203" i="4"/>
  <c r="AF203" i="4"/>
  <c r="AH218" i="4"/>
  <c r="AJ218" i="4" s="1"/>
  <c r="AP218" i="4"/>
  <c r="Z289" i="4"/>
  <c r="AF289" i="4"/>
  <c r="BF251" i="4"/>
  <c r="Z312" i="4"/>
  <c r="AH202" i="4"/>
  <c r="AJ202" i="4" s="1"/>
  <c r="AP202" i="4"/>
  <c r="BL230" i="4"/>
  <c r="BF230" i="4"/>
  <c r="BF269" i="4"/>
  <c r="BL269" i="4"/>
  <c r="Z212" i="4"/>
  <c r="BV313" i="4"/>
  <c r="AH252" i="4"/>
  <c r="AJ252" i="4" s="1"/>
  <c r="AP252" i="4"/>
  <c r="AP205" i="4"/>
  <c r="AH205" i="4"/>
  <c r="AJ205" i="4" s="1"/>
  <c r="BF165" i="4"/>
  <c r="BL165" i="4"/>
  <c r="BF293" i="4"/>
  <c r="BL293" i="4"/>
  <c r="Z239" i="4"/>
  <c r="AF239" i="4"/>
  <c r="AF312" i="4"/>
  <c r="BF207" i="4"/>
  <c r="BL207" i="4"/>
  <c r="BF247" i="4"/>
  <c r="BL247" i="4"/>
  <c r="BF284" i="4"/>
  <c r="BL284" i="4"/>
  <c r="Z166" i="4"/>
  <c r="AF166" i="4"/>
  <c r="Z158" i="4"/>
  <c r="AF158" i="4"/>
  <c r="BF191" i="4"/>
  <c r="AF206" i="4"/>
  <c r="BF232" i="4"/>
  <c r="AH305" i="4"/>
  <c r="AJ305" i="4" s="1"/>
  <c r="AP305" i="4"/>
  <c r="BF324" i="4"/>
  <c r="AF172" i="4"/>
  <c r="Z172" i="4"/>
  <c r="Z322" i="4"/>
  <c r="AF322" i="4"/>
  <c r="AH286" i="4"/>
  <c r="AJ286" i="4" s="1"/>
  <c r="AP286" i="4"/>
  <c r="Z188" i="4"/>
  <c r="AF188" i="4"/>
  <c r="Z262" i="4"/>
  <c r="BF275" i="4"/>
  <c r="BL275" i="4"/>
  <c r="BF299" i="4"/>
  <c r="BL299" i="4"/>
  <c r="BL191" i="4"/>
  <c r="BL251" i="4"/>
  <c r="Z280" i="4"/>
  <c r="AF280" i="4"/>
  <c r="BF244" i="4"/>
  <c r="BL244" i="4"/>
  <c r="Z182" i="4"/>
  <c r="AF182" i="4"/>
  <c r="BG283" i="4"/>
  <c r="BM283" i="4" s="1"/>
  <c r="BV283" i="4" s="1"/>
  <c r="AH309" i="4"/>
  <c r="AJ309" i="4" s="1"/>
  <c r="AP309" i="4"/>
  <c r="Z277" i="4"/>
  <c r="AF277" i="4"/>
  <c r="BV206" i="4"/>
  <c r="BF231" i="4"/>
  <c r="BL231" i="4"/>
  <c r="AP288" i="4"/>
  <c r="AH288" i="4"/>
  <c r="AJ288" i="4" s="1"/>
  <c r="AF226" i="4"/>
  <c r="Z226" i="4"/>
  <c r="Z214" i="4"/>
  <c r="Z315" i="4"/>
  <c r="AF315" i="4"/>
  <c r="Z284" i="4"/>
  <c r="AF284" i="4"/>
  <c r="BL324" i="4"/>
  <c r="BF294" i="4"/>
  <c r="BL294" i="4"/>
  <c r="BF281" i="4"/>
  <c r="BL281" i="4"/>
  <c r="BF238" i="4"/>
  <c r="BL238" i="4"/>
  <c r="Z178" i="4"/>
  <c r="AF178" i="4"/>
  <c r="Z276" i="4"/>
  <c r="AF276" i="4"/>
  <c r="BF259" i="4"/>
  <c r="BL259" i="4"/>
  <c r="AF212" i="4"/>
  <c r="Z297" i="4"/>
  <c r="AF297" i="4"/>
  <c r="Z235" i="4"/>
  <c r="AF235" i="4"/>
  <c r="BL283" i="4"/>
  <c r="BF212" i="4"/>
  <c r="BL212" i="4"/>
  <c r="Z307" i="4"/>
  <c r="BL182" i="4"/>
  <c r="BF182" i="4"/>
  <c r="Z171" i="4"/>
  <c r="AF171" i="4"/>
  <c r="BF282" i="4"/>
  <c r="BL282" i="4"/>
  <c r="Z231" i="4"/>
  <c r="AF231" i="4"/>
  <c r="Z208" i="4"/>
  <c r="AF208" i="4"/>
  <c r="BF194" i="4"/>
  <c r="BL194" i="4"/>
  <c r="BG242" i="4"/>
  <c r="BE242" i="4" s="1"/>
  <c r="BQ242" i="4" s="1"/>
  <c r="BE240" i="4"/>
  <c r="BH240" i="4" s="1"/>
  <c r="BJ240" i="4" s="1"/>
  <c r="BK240" i="4" s="1"/>
  <c r="BH302" i="4"/>
  <c r="BJ302" i="4" s="1"/>
  <c r="BK302" i="4" s="1"/>
  <c r="Y168" i="4"/>
  <c r="AB168" i="4" s="1"/>
  <c r="AD168" i="4" s="1"/>
  <c r="AE168" i="4" s="1"/>
  <c r="AG220" i="4"/>
  <c r="Z224" i="4"/>
  <c r="BE250" i="4"/>
  <c r="BE183" i="4"/>
  <c r="BH183" i="4" s="1"/>
  <c r="BJ183" i="4" s="1"/>
  <c r="BK183" i="4" s="1"/>
  <c r="BL211" i="4"/>
  <c r="BG323" i="4"/>
  <c r="BE323" i="4" s="1"/>
  <c r="Y308" i="4"/>
  <c r="AB308" i="4" s="1"/>
  <c r="AD308" i="4" s="1"/>
  <c r="AE308" i="4" s="1"/>
  <c r="BE255" i="4"/>
  <c r="BH255" i="4" s="1"/>
  <c r="BJ255" i="4" s="1"/>
  <c r="BK255" i="4" s="1"/>
  <c r="AA230" i="4"/>
  <c r="AG230" i="4" s="1"/>
  <c r="AF224" i="4"/>
  <c r="AA299" i="4"/>
  <c r="Y299" i="4" s="1"/>
  <c r="AF198" i="4"/>
  <c r="BL245" i="4"/>
  <c r="Y258" i="4"/>
  <c r="AB258" i="4" s="1"/>
  <c r="AD258" i="4" s="1"/>
  <c r="AE258" i="4" s="1"/>
  <c r="BL233" i="4"/>
  <c r="BF233" i="4"/>
  <c r="Y187" i="4"/>
  <c r="AB187" i="4" s="1"/>
  <c r="AD187" i="4" s="1"/>
  <c r="AE187" i="4" s="1"/>
  <c r="BM292" i="4"/>
  <c r="BV292" i="4" s="1"/>
  <c r="BG236" i="4"/>
  <c r="Y309" i="4"/>
  <c r="AB309" i="4" s="1"/>
  <c r="AD309" i="4" s="1"/>
  <c r="AE309" i="4" s="1"/>
  <c r="Y196" i="4"/>
  <c r="Y181" i="4"/>
  <c r="BL180" i="4"/>
  <c r="BL176" i="4"/>
  <c r="AA292" i="4"/>
  <c r="BM225" i="4"/>
  <c r="BL185" i="4"/>
  <c r="AB324" i="4"/>
  <c r="AD324" i="4" s="1"/>
  <c r="AE324" i="4" s="1"/>
  <c r="Z248" i="4"/>
  <c r="AF248" i="4"/>
  <c r="AF181" i="4"/>
  <c r="AF216" i="4"/>
  <c r="AF223" i="4"/>
  <c r="Y303" i="4"/>
  <c r="AB303" i="4" s="1"/>
  <c r="AD303" i="4" s="1"/>
  <c r="AE303" i="4" s="1"/>
  <c r="Z261" i="4"/>
  <c r="AA198" i="4"/>
  <c r="Y198" i="4" s="1"/>
  <c r="AK198" i="4" s="1"/>
  <c r="AF255" i="4"/>
  <c r="BL163" i="4"/>
  <c r="AF232" i="4"/>
  <c r="BF266" i="4"/>
  <c r="Z282" i="4"/>
  <c r="AF282" i="4"/>
  <c r="Z301" i="4"/>
  <c r="AF301" i="4"/>
  <c r="AH195" i="4"/>
  <c r="AJ195" i="4" s="1"/>
  <c r="AP195" i="4"/>
  <c r="AP193" i="4"/>
  <c r="AH193" i="4"/>
  <c r="AJ193" i="4" s="1"/>
  <c r="Z201" i="4"/>
  <c r="AF201" i="4"/>
  <c r="BL164" i="4"/>
  <c r="BF169" i="4"/>
  <c r="BL169" i="4"/>
  <c r="BF172" i="4"/>
  <c r="BL201" i="4"/>
  <c r="BF201" i="4"/>
  <c r="AH308" i="4"/>
  <c r="AJ308" i="4" s="1"/>
  <c r="AP308" i="4"/>
  <c r="AH258" i="4"/>
  <c r="AJ258" i="4" s="1"/>
  <c r="AP258" i="4"/>
  <c r="BF192" i="4"/>
  <c r="BL277" i="4"/>
  <c r="BF277" i="4"/>
  <c r="BL263" i="4"/>
  <c r="AF286" i="4"/>
  <c r="BL192" i="4"/>
  <c r="BF300" i="4"/>
  <c r="BL300" i="4"/>
  <c r="BL302" i="4"/>
  <c r="BF167" i="4"/>
  <c r="BL255" i="4"/>
  <c r="BL183" i="4"/>
  <c r="BL172" i="4"/>
  <c r="BL292" i="4"/>
  <c r="AF324" i="4"/>
  <c r="Z316" i="4"/>
  <c r="AF316" i="4"/>
  <c r="Z211" i="4"/>
  <c r="AF211" i="4"/>
  <c r="BG221" i="4"/>
  <c r="BM221" i="4" s="1"/>
  <c r="BV221" i="4" s="1"/>
  <c r="BF158" i="4"/>
  <c r="BL158" i="4"/>
  <c r="BF203" i="4"/>
  <c r="AF196" i="4"/>
  <c r="Z180" i="4"/>
  <c r="AF180" i="4"/>
  <c r="Z290" i="4"/>
  <c r="AF290" i="4"/>
  <c r="Z278" i="4"/>
  <c r="BE180" i="4"/>
  <c r="BH180" i="4" s="1"/>
  <c r="BJ180" i="4" s="1"/>
  <c r="BK180" i="4" s="1"/>
  <c r="BM270" i="4"/>
  <c r="BV270" i="4" s="1"/>
  <c r="BE162" i="4"/>
  <c r="Z271" i="4"/>
  <c r="BE193" i="4"/>
  <c r="BH193" i="4" s="1"/>
  <c r="BJ193" i="4" s="1"/>
  <c r="BK193" i="4" s="1"/>
  <c r="BM197" i="4"/>
  <c r="AP204" i="4"/>
  <c r="AH204" i="4"/>
  <c r="AJ204" i="4" s="1"/>
  <c r="BG185" i="4"/>
  <c r="BM185" i="4" s="1"/>
  <c r="BV185" i="4" s="1"/>
  <c r="Y221" i="4"/>
  <c r="AB221" i="4" s="1"/>
  <c r="AD221" i="4" s="1"/>
  <c r="AE221" i="4" s="1"/>
  <c r="AF273" i="4"/>
  <c r="Z273" i="4"/>
  <c r="AF210" i="4"/>
  <c r="AF253" i="4"/>
  <c r="BF305" i="4"/>
  <c r="BL305" i="4"/>
  <c r="BL240" i="4"/>
  <c r="BL167" i="4"/>
  <c r="BE272" i="4"/>
  <c r="Y237" i="4"/>
  <c r="AB237" i="4" s="1"/>
  <c r="AD237" i="4" s="1"/>
  <c r="AE237" i="4" s="1"/>
  <c r="AG321" i="4"/>
  <c r="BE223" i="4"/>
  <c r="BH223" i="4" s="1"/>
  <c r="BJ223" i="4" s="1"/>
  <c r="BK223" i="4" s="1"/>
  <c r="BE307" i="4"/>
  <c r="AF170" i="4"/>
  <c r="Z170" i="4"/>
  <c r="AF192" i="4"/>
  <c r="Y281" i="4"/>
  <c r="AB281" i="4" s="1"/>
  <c r="AD281" i="4" s="1"/>
  <c r="AE281" i="4" s="1"/>
  <c r="BG216" i="4"/>
  <c r="BM216" i="4" s="1"/>
  <c r="BV216" i="4" s="1"/>
  <c r="BG298" i="4"/>
  <c r="BM298" i="4" s="1"/>
  <c r="BV298" i="4" s="1"/>
  <c r="Y232" i="4"/>
  <c r="Y163" i="4"/>
  <c r="AB163" i="4" s="1"/>
  <c r="AD163" i="4" s="1"/>
  <c r="AE163" i="4" s="1"/>
  <c r="BG246" i="4"/>
  <c r="BE246" i="4" s="1"/>
  <c r="BQ246" i="4" s="1"/>
  <c r="BL210" i="4"/>
  <c r="BF228" i="4"/>
  <c r="AF321" i="4"/>
  <c r="AF266" i="4"/>
  <c r="Y293" i="4"/>
  <c r="AB293" i="4" s="1"/>
  <c r="AD293" i="4" s="1"/>
  <c r="AE293" i="4" s="1"/>
  <c r="BG273" i="4"/>
  <c r="BM273" i="4" s="1"/>
  <c r="BV273" i="4" s="1"/>
  <c r="BG314" i="4"/>
  <c r="BE314" i="4" s="1"/>
  <c r="BQ314" i="4" s="1"/>
  <c r="AF185" i="4"/>
  <c r="BF234" i="4"/>
  <c r="BL234" i="4"/>
  <c r="BG168" i="4"/>
  <c r="BM168" i="4" s="1"/>
  <c r="BV168" i="4" s="1"/>
  <c r="Z209" i="4"/>
  <c r="AF209" i="4"/>
  <c r="BF184" i="4"/>
  <c r="BF318" i="4"/>
  <c r="BL318" i="4"/>
  <c r="BF280" i="4"/>
  <c r="BL280" i="4"/>
  <c r="Z177" i="4"/>
  <c r="Z256" i="4"/>
  <c r="AF256" i="4"/>
  <c r="Z296" i="4"/>
  <c r="AF296" i="4"/>
  <c r="Z207" i="4"/>
  <c r="AF207" i="4"/>
  <c r="BF285" i="4"/>
  <c r="Z294" i="4"/>
  <c r="AF294" i="4"/>
  <c r="AP223" i="4"/>
  <c r="AH223" i="4"/>
  <c r="AJ223" i="4" s="1"/>
  <c r="AH266" i="4"/>
  <c r="AJ266" i="4" s="1"/>
  <c r="AP266" i="4"/>
  <c r="BE245" i="4"/>
  <c r="Z251" i="4"/>
  <c r="AF220" i="4"/>
  <c r="BF303" i="4"/>
  <c r="BL303" i="4"/>
  <c r="BF202" i="4"/>
  <c r="BL202" i="4"/>
  <c r="AH281" i="4"/>
  <c r="AJ281" i="4" s="1"/>
  <c r="AP281" i="4"/>
  <c r="BF211" i="4"/>
  <c r="BL198" i="4"/>
  <c r="AA253" i="4"/>
  <c r="AG253" i="4" s="1"/>
  <c r="Z244" i="4"/>
  <c r="AF244" i="4"/>
  <c r="BL296" i="4"/>
  <c r="AA179" i="4"/>
  <c r="AG179" i="4" s="1"/>
  <c r="BG260" i="4"/>
  <c r="BM260" i="4" s="1"/>
  <c r="BV260" i="4" s="1"/>
  <c r="BF265" i="4"/>
  <c r="BL237" i="4"/>
  <c r="AA194" i="4"/>
  <c r="AG194" i="4" s="1"/>
  <c r="AP175" i="4"/>
  <c r="AH175" i="4"/>
  <c r="AJ175" i="4" s="1"/>
  <c r="Z228" i="4"/>
  <c r="AF228" i="4"/>
  <c r="Z272" i="4"/>
  <c r="BF261" i="4"/>
  <c r="BF200" i="4"/>
  <c r="BL200" i="4"/>
  <c r="BF267" i="4"/>
  <c r="Y216" i="4"/>
  <c r="Y257" i="4"/>
  <c r="BM183" i="4"/>
  <c r="BV183" i="4" s="1"/>
  <c r="Y218" i="4"/>
  <c r="AB218" i="4" s="1"/>
  <c r="AD218" i="4" s="1"/>
  <c r="AE218" i="4" s="1"/>
  <c r="AA210" i="4"/>
  <c r="AG210" i="4" s="1"/>
  <c r="BG198" i="4"/>
  <c r="BM198" i="4" s="1"/>
  <c r="BV198" i="4" s="1"/>
  <c r="AF164" i="4"/>
  <c r="AG318" i="4"/>
  <c r="BE310" i="4"/>
  <c r="BL197" i="4"/>
  <c r="Y319" i="4"/>
  <c r="BL216" i="4"/>
  <c r="BM237" i="4"/>
  <c r="BV237" i="4" s="1"/>
  <c r="BL168" i="4"/>
  <c r="BF170" i="4"/>
  <c r="BL170" i="4"/>
  <c r="Y321" i="4"/>
  <c r="AB321" i="4" s="1"/>
  <c r="AD321" i="4" s="1"/>
  <c r="AE321" i="4" s="1"/>
  <c r="AF230" i="4"/>
  <c r="BL258" i="4"/>
  <c r="BF312" i="4"/>
  <c r="AF179" i="4"/>
  <c r="AF200" i="4"/>
  <c r="BE225" i="4"/>
  <c r="BH225" i="4" s="1"/>
  <c r="BJ225" i="4" s="1"/>
  <c r="BK225" i="4" s="1"/>
  <c r="AP163" i="4"/>
  <c r="AH163" i="4"/>
  <c r="AJ163" i="4" s="1"/>
  <c r="BL313" i="4"/>
  <c r="BH297" i="4"/>
  <c r="BJ297" i="4" s="1"/>
  <c r="BK297" i="4" s="1"/>
  <c r="AF308" i="4"/>
  <c r="AF229" i="4"/>
  <c r="AF205" i="4"/>
  <c r="AF319" i="4"/>
  <c r="BF286" i="4"/>
  <c r="BL217" i="4"/>
  <c r="AH311" i="4"/>
  <c r="AJ311" i="4" s="1"/>
  <c r="AP311" i="4"/>
  <c r="BL236" i="4"/>
  <c r="AA227" i="4"/>
  <c r="Y227" i="4" s="1"/>
  <c r="BF196" i="4"/>
  <c r="BL196" i="4"/>
  <c r="AP215" i="4"/>
  <c r="AH215" i="4"/>
  <c r="AJ215" i="4" s="1"/>
  <c r="BG166" i="4"/>
  <c r="BM166" i="4" s="1"/>
  <c r="BV166" i="4" s="1"/>
  <c r="BF254" i="4"/>
  <c r="BL254" i="4"/>
  <c r="Z310" i="4"/>
  <c r="AF310" i="4"/>
  <c r="AG168" i="4"/>
  <c r="Y220" i="4"/>
  <c r="AB220" i="4" s="1"/>
  <c r="AD220" i="4" s="1"/>
  <c r="AE220" i="4" s="1"/>
  <c r="AH229" i="4"/>
  <c r="AJ229" i="4" s="1"/>
  <c r="AP229" i="4"/>
  <c r="AG221" i="4"/>
  <c r="BM255" i="4"/>
  <c r="BV255" i="4" s="1"/>
  <c r="AF218" i="4"/>
  <c r="BL193" i="4"/>
  <c r="BF239" i="4"/>
  <c r="BF276" i="4"/>
  <c r="BL276" i="4"/>
  <c r="Z287" i="4"/>
  <c r="AF287" i="4"/>
  <c r="AF318" i="4"/>
  <c r="BL253" i="4"/>
  <c r="BL309" i="4"/>
  <c r="BF309" i="4"/>
  <c r="AF204" i="4"/>
  <c r="BL323" i="4"/>
  <c r="BL257" i="4"/>
  <c r="AF168" i="4"/>
  <c r="BL270" i="4"/>
  <c r="AF221" i="4"/>
  <c r="AH293" i="4"/>
  <c r="AJ293" i="4" s="1"/>
  <c r="AP293" i="4"/>
  <c r="AF291" i="4"/>
  <c r="BL298" i="4"/>
  <c r="AF187" i="4"/>
  <c r="BF186" i="4"/>
  <c r="BL186" i="4"/>
  <c r="BF181" i="4"/>
  <c r="BL181" i="4"/>
  <c r="BF160" i="4"/>
  <c r="BL160" i="4"/>
  <c r="Z233" i="4"/>
  <c r="AF233" i="4"/>
  <c r="Z323" i="4"/>
  <c r="AF323" i="4"/>
  <c r="BF252" i="4"/>
  <c r="BL252" i="4"/>
  <c r="AF268" i="4"/>
  <c r="Z268" i="4"/>
  <c r="AF174" i="4"/>
  <c r="Z174" i="4"/>
  <c r="BM204" i="4"/>
  <c r="AG246" i="4"/>
  <c r="BG301" i="4"/>
  <c r="BM301" i="4" s="1"/>
  <c r="BV301" i="4" s="1"/>
  <c r="AG317" i="4"/>
  <c r="AF254" i="4"/>
  <c r="BL227" i="4"/>
  <c r="Z302" i="4"/>
  <c r="AF184" i="4"/>
  <c r="AF175" i="4"/>
  <c r="Z241" i="4"/>
  <c r="AF236" i="4"/>
  <c r="BL174" i="4"/>
  <c r="AF246" i="4"/>
  <c r="BL325" i="4"/>
  <c r="BL274" i="4"/>
  <c r="AF313" i="4"/>
  <c r="BM278" i="4"/>
  <c r="BV278" i="4" s="1"/>
  <c r="BE220" i="4"/>
  <c r="BH220" i="4" s="1"/>
  <c r="BJ220" i="4" s="1"/>
  <c r="BK220" i="4" s="1"/>
  <c r="Y265" i="4"/>
  <c r="AB265" i="4" s="1"/>
  <c r="AD265" i="4" s="1"/>
  <c r="AE265" i="4" s="1"/>
  <c r="BL322" i="4"/>
  <c r="BF322" i="4"/>
  <c r="BF218" i="4"/>
  <c r="Y283" i="4"/>
  <c r="AB283" i="4" s="1"/>
  <c r="AD283" i="4" s="1"/>
  <c r="AE283" i="4" s="1"/>
  <c r="BM215" i="4"/>
  <c r="BV215" i="4" s="1"/>
  <c r="AB317" i="4"/>
  <c r="AD317" i="4" s="1"/>
  <c r="AE317" i="4" s="1"/>
  <c r="BM241" i="4"/>
  <c r="BV241" i="4" s="1"/>
  <c r="Y247" i="4"/>
  <c r="AF199" i="4"/>
  <c r="Z199" i="4"/>
  <c r="BF159" i="4"/>
  <c r="Y313" i="4"/>
  <c r="AB313" i="4" s="1"/>
  <c r="AD313" i="4" s="1"/>
  <c r="AE313" i="4" s="1"/>
  <c r="BM306" i="4"/>
  <c r="BV306" i="4" s="1"/>
  <c r="BL308" i="4"/>
  <c r="BL320" i="4"/>
  <c r="Y267" i="4"/>
  <c r="AF193" i="4"/>
  <c r="AF247" i="4"/>
  <c r="BL301" i="4"/>
  <c r="BL321" i="4"/>
  <c r="AA260" i="4"/>
  <c r="Y260" i="4" s="1"/>
  <c r="AK260" i="4" s="1"/>
  <c r="Z245" i="4"/>
  <c r="BE214" i="4"/>
  <c r="BL264" i="4"/>
  <c r="BL278" i="4"/>
  <c r="BL219" i="4"/>
  <c r="AF160" i="4"/>
  <c r="AH191" i="4"/>
  <c r="AJ191" i="4" s="1"/>
  <c r="AP191" i="4"/>
  <c r="AF295" i="4"/>
  <c r="BF289" i="4"/>
  <c r="AB247" i="4"/>
  <c r="AD247" i="4" s="1"/>
  <c r="AE247" i="4" s="1"/>
  <c r="AF215" i="4"/>
  <c r="BG209" i="4"/>
  <c r="BM209" i="4" s="1"/>
  <c r="AF283" i="4"/>
  <c r="BE290" i="4"/>
  <c r="BQ290" i="4" s="1"/>
  <c r="AA159" i="4"/>
  <c r="AG159" i="4" s="1"/>
  <c r="BE213" i="4"/>
  <c r="BH213" i="4" s="1"/>
  <c r="BJ213" i="4" s="1"/>
  <c r="BK213" i="4" s="1"/>
  <c r="BL178" i="4"/>
  <c r="BF178" i="4"/>
  <c r="BL243" i="4"/>
  <c r="BG279" i="4"/>
  <c r="BM279" i="4" s="1"/>
  <c r="BV279" i="4" s="1"/>
  <c r="AF197" i="4"/>
  <c r="Z197" i="4"/>
  <c r="AG249" i="4"/>
  <c r="AF186" i="4"/>
  <c r="BL317" i="4"/>
  <c r="BG316" i="4"/>
  <c r="BM316" i="4" s="1"/>
  <c r="BV316" i="4" s="1"/>
  <c r="AF189" i="4"/>
  <c r="AA275" i="4"/>
  <c r="Y275" i="4" s="1"/>
  <c r="AK275" i="4" s="1"/>
  <c r="AA183" i="4"/>
  <c r="AG183" i="4" s="1"/>
  <c r="Z306" i="4"/>
  <c r="Z222" i="4"/>
  <c r="AP219" i="4"/>
  <c r="AH219" i="4"/>
  <c r="AJ219" i="4" s="1"/>
  <c r="BE243" i="4"/>
  <c r="BH243" i="4" s="1"/>
  <c r="BJ243" i="4" s="1"/>
  <c r="BK243" i="4" s="1"/>
  <c r="Y175" i="4"/>
  <c r="AK175" i="4" s="1"/>
  <c r="AA186" i="4"/>
  <c r="Y236" i="4"/>
  <c r="AK236" i="4" s="1"/>
  <c r="BF190" i="4"/>
  <c r="BE204" i="4"/>
  <c r="BH204" i="4" s="1"/>
  <c r="BJ204" i="4" s="1"/>
  <c r="BK204" i="4" s="1"/>
  <c r="Y246" i="4"/>
  <c r="AB246" i="4" s="1"/>
  <c r="AD246" i="4" s="1"/>
  <c r="AE246" i="4" s="1"/>
  <c r="BE215" i="4"/>
  <c r="BH215" i="4" s="1"/>
  <c r="BJ215" i="4" s="1"/>
  <c r="BK215" i="4" s="1"/>
  <c r="AF222" i="4"/>
  <c r="BG195" i="4"/>
  <c r="BM195" i="4" s="1"/>
  <c r="BV195" i="4" s="1"/>
  <c r="BM219" i="4"/>
  <c r="BV219" i="4" s="1"/>
  <c r="BF177" i="4"/>
  <c r="BL220" i="4"/>
  <c r="AG189" i="4"/>
  <c r="AG313" i="4"/>
  <c r="Y249" i="4"/>
  <c r="AB249" i="4" s="1"/>
  <c r="AD249" i="4" s="1"/>
  <c r="AE249" i="4" s="1"/>
  <c r="BL195" i="4"/>
  <c r="AF219" i="4"/>
  <c r="BL235" i="4"/>
  <c r="AA314" i="4"/>
  <c r="AG314" i="4" s="1"/>
  <c r="Z298" i="4"/>
  <c r="Y259" i="4"/>
  <c r="BG249" i="4"/>
  <c r="BM249" i="4" s="1"/>
  <c r="BV249" i="4" s="1"/>
  <c r="BL218" i="4"/>
  <c r="AX145" i="5"/>
  <c r="AY145" i="5" s="1"/>
  <c r="AF37" i="4"/>
  <c r="AF89" i="4"/>
  <c r="AF69" i="4"/>
  <c r="BV96" i="4"/>
  <c r="BV132" i="4"/>
  <c r="BV26" i="4"/>
  <c r="BV22" i="4"/>
  <c r="BV9" i="4"/>
  <c r="BV63" i="4"/>
  <c r="BV19" i="4"/>
  <c r="BV15" i="4"/>
  <c r="BV18" i="4"/>
  <c r="BV157" i="4"/>
  <c r="BV8" i="4"/>
  <c r="BV129" i="4"/>
  <c r="BV93" i="4"/>
  <c r="BV59" i="4"/>
  <c r="BV114" i="4"/>
  <c r="BV52" i="4"/>
  <c r="BV14" i="4"/>
  <c r="BV60" i="4"/>
  <c r="BV121" i="4"/>
  <c r="BV80" i="4"/>
  <c r="BV66" i="4"/>
  <c r="BV112" i="4"/>
  <c r="BV61" i="4"/>
  <c r="BV40" i="4"/>
  <c r="BV36" i="4"/>
  <c r="BV11" i="4"/>
  <c r="BV127" i="4"/>
  <c r="BV43" i="4"/>
  <c r="BV67" i="4"/>
  <c r="BV125" i="4"/>
  <c r="BV138" i="4"/>
  <c r="BV48" i="4"/>
  <c r="BV13" i="4"/>
  <c r="BV27" i="4"/>
  <c r="BV28" i="4"/>
  <c r="BV110" i="4"/>
  <c r="BV71" i="4"/>
  <c r="BV126" i="4"/>
  <c r="BV50" i="4"/>
  <c r="BV44" i="4"/>
  <c r="BV78" i="4"/>
  <c r="BV12" i="4"/>
  <c r="BV115" i="4"/>
  <c r="BV97" i="4"/>
  <c r="BV77" i="4"/>
  <c r="BV42" i="4"/>
  <c r="BV20" i="4"/>
  <c r="BV151" i="4"/>
  <c r="BV146" i="4"/>
  <c r="Y82" i="4"/>
  <c r="AK82" i="4" s="1"/>
  <c r="BV153" i="4"/>
  <c r="BV38" i="4"/>
  <c r="BV147" i="4"/>
  <c r="BV117" i="4"/>
  <c r="BV82" i="4"/>
  <c r="BV123" i="4"/>
  <c r="BV30" i="4"/>
  <c r="BV51" i="4"/>
  <c r="BV134" i="4"/>
  <c r="Y37" i="4"/>
  <c r="AK37" i="4" s="1"/>
  <c r="Y143" i="4"/>
  <c r="AK143" i="4" s="1"/>
  <c r="AA45" i="4"/>
  <c r="Y45" i="4" s="1"/>
  <c r="AK45" i="4" s="1"/>
  <c r="Y153" i="4"/>
  <c r="AK153" i="4" s="1"/>
  <c r="AA114" i="4"/>
  <c r="AG114" i="4" s="1"/>
  <c r="AA144" i="4"/>
  <c r="AG144" i="4" s="1"/>
  <c r="AP144" i="4" s="1"/>
  <c r="AA31" i="4"/>
  <c r="Y31" i="4" s="1"/>
  <c r="AF153" i="4"/>
  <c r="AA111" i="4"/>
  <c r="AG111" i="4" s="1"/>
  <c r="Z41" i="4"/>
  <c r="Z90" i="4"/>
  <c r="AF139" i="4"/>
  <c r="Z139" i="4"/>
  <c r="Z44" i="4"/>
  <c r="Z134" i="4"/>
  <c r="AA33" i="4"/>
  <c r="Y33" i="4" s="1"/>
  <c r="AB33" i="4" s="1"/>
  <c r="AD33" i="4" s="1"/>
  <c r="AE33" i="4" s="1"/>
  <c r="Z55" i="4"/>
  <c r="Z68" i="4"/>
  <c r="Z16" i="4"/>
  <c r="Z135" i="4"/>
  <c r="AF75" i="4"/>
  <c r="Z75" i="4"/>
  <c r="Z80" i="4"/>
  <c r="Z130" i="4"/>
  <c r="Z77" i="4"/>
  <c r="Z73" i="4"/>
  <c r="AA107" i="4"/>
  <c r="AG107" i="4" s="1"/>
  <c r="AP107" i="4" s="1"/>
  <c r="AA115" i="4"/>
  <c r="AG115" i="4" s="1"/>
  <c r="AA83" i="4"/>
  <c r="Y83" i="4" s="1"/>
  <c r="AB83" i="4" s="1"/>
  <c r="AD83" i="4" s="1"/>
  <c r="AE83" i="4" s="1"/>
  <c r="AA43" i="4"/>
  <c r="Y43" i="4" s="1"/>
  <c r="AA47" i="4"/>
  <c r="AG47" i="4" s="1"/>
  <c r="AP47" i="4" s="1"/>
  <c r="AA23" i="4"/>
  <c r="Y23" i="4" s="1"/>
  <c r="AA63" i="4"/>
  <c r="AG63" i="4" s="1"/>
  <c r="AP63" i="4" s="1"/>
  <c r="Y21" i="4"/>
  <c r="AK21" i="4" s="1"/>
  <c r="Z102" i="4"/>
  <c r="Z40" i="4"/>
  <c r="Y24" i="4"/>
  <c r="AK24" i="4" s="1"/>
  <c r="Z79" i="4"/>
  <c r="Z38" i="4"/>
  <c r="AG153" i="4"/>
  <c r="AP153" i="4" s="1"/>
  <c r="AF54" i="4"/>
  <c r="Z54" i="4"/>
  <c r="Z58" i="4"/>
  <c r="Y29" i="4"/>
  <c r="AK29" i="4" s="1"/>
  <c r="Z88" i="4"/>
  <c r="Z141" i="4"/>
  <c r="Z42" i="4"/>
  <c r="AF50" i="4"/>
  <c r="Z50" i="4"/>
  <c r="Z103" i="4"/>
  <c r="Z34" i="4"/>
  <c r="Z78" i="4"/>
  <c r="Z156" i="4"/>
  <c r="AA51" i="4"/>
  <c r="Y51" i="4" s="1"/>
  <c r="AA27" i="4"/>
  <c r="AG27" i="4" s="1"/>
  <c r="AA123" i="4"/>
  <c r="AG123" i="4" s="1"/>
  <c r="AP123" i="4" s="1"/>
  <c r="AA59" i="4"/>
  <c r="AG59" i="4" s="1"/>
  <c r="AA35" i="4"/>
  <c r="Y35" i="4" s="1"/>
  <c r="AA152" i="4"/>
  <c r="AG152" i="4" s="1"/>
  <c r="AA99" i="4"/>
  <c r="AG99" i="4" s="1"/>
  <c r="AA95" i="4"/>
  <c r="AG95" i="4" s="1"/>
  <c r="AA91" i="4"/>
  <c r="Y91" i="4" s="1"/>
  <c r="Z87" i="4"/>
  <c r="Z112" i="4"/>
  <c r="Z116" i="4"/>
  <c r="Z49" i="4"/>
  <c r="Z132" i="4"/>
  <c r="Z140" i="4"/>
  <c r="Z100" i="4"/>
  <c r="Z150" i="4"/>
  <c r="AF127" i="4"/>
  <c r="Z127" i="4"/>
  <c r="AF93" i="4"/>
  <c r="Z93" i="4"/>
  <c r="AF52" i="4"/>
  <c r="Z52" i="4"/>
  <c r="Z84" i="4"/>
  <c r="Y85" i="4"/>
  <c r="AK85" i="4" s="1"/>
  <c r="AA86" i="4"/>
  <c r="AG86" i="4" s="1"/>
  <c r="AP86" i="4" s="1"/>
  <c r="AA19" i="4"/>
  <c r="AA119" i="4"/>
  <c r="AG119" i="4" s="1"/>
  <c r="AH119" i="4" s="1"/>
  <c r="AJ119" i="4" s="1"/>
  <c r="AA67" i="4"/>
  <c r="AG67" i="4" s="1"/>
  <c r="AH67" i="4" s="1"/>
  <c r="AJ67" i="4" s="1"/>
  <c r="AA71" i="4"/>
  <c r="Y71" i="4" s="1"/>
  <c r="AA39" i="4"/>
  <c r="Y39" i="4" s="1"/>
  <c r="AK39" i="4" s="1"/>
  <c r="Z128" i="4"/>
  <c r="Z131" i="4"/>
  <c r="Z148" i="4"/>
  <c r="AF145" i="4"/>
  <c r="Z149" i="4"/>
  <c r="Z30" i="4"/>
  <c r="Y151" i="4"/>
  <c r="AL151" i="4" s="1"/>
  <c r="Z155" i="4"/>
  <c r="AF73" i="4"/>
  <c r="AF30" i="4"/>
  <c r="AF42" i="4"/>
  <c r="AF149" i="4"/>
  <c r="Y108" i="4"/>
  <c r="AK108" i="4" s="1"/>
  <c r="AG101" i="4"/>
  <c r="AP101" i="4" s="1"/>
  <c r="AF8" i="4"/>
  <c r="AG89" i="4"/>
  <c r="AP89" i="4" s="1"/>
  <c r="AG48" i="4"/>
  <c r="AH48" i="4" s="1"/>
  <c r="AJ48" i="4" s="1"/>
  <c r="Y122" i="4"/>
  <c r="AK122" i="4" s="1"/>
  <c r="Y92" i="4"/>
  <c r="AK92" i="4" s="1"/>
  <c r="AG133" i="4"/>
  <c r="AH133" i="4" s="1"/>
  <c r="AJ133" i="4" s="1"/>
  <c r="Y36" i="4"/>
  <c r="AB36" i="4" s="1"/>
  <c r="AD36" i="4" s="1"/>
  <c r="AE36" i="4" s="1"/>
  <c r="Y137" i="4"/>
  <c r="AK137" i="4" s="1"/>
  <c r="AG108" i="4"/>
  <c r="AH108" i="4" s="1"/>
  <c r="AJ108" i="4" s="1"/>
  <c r="Y136" i="4"/>
  <c r="AK136" i="4" s="1"/>
  <c r="AF48" i="4"/>
  <c r="Y89" i="4"/>
  <c r="AK89" i="4" s="1"/>
  <c r="Y104" i="4"/>
  <c r="AK104" i="4" s="1"/>
  <c r="AG65" i="4"/>
  <c r="AP65" i="4" s="1"/>
  <c r="AG57" i="4"/>
  <c r="AP57" i="4" s="1"/>
  <c r="AF40" i="4"/>
  <c r="Y105" i="4"/>
  <c r="AK105" i="4" s="1"/>
  <c r="Y138" i="4"/>
  <c r="AK138" i="4" s="1"/>
  <c r="Y126" i="4"/>
  <c r="AK126" i="4" s="1"/>
  <c r="AF77" i="4"/>
  <c r="AF104" i="4"/>
  <c r="AG66" i="4"/>
  <c r="AF63" i="4"/>
  <c r="Y157" i="4"/>
  <c r="AK157" i="4" s="1"/>
  <c r="AG121" i="4"/>
  <c r="AH121" i="4" s="1"/>
  <c r="AJ121" i="4" s="1"/>
  <c r="Y117" i="4"/>
  <c r="AL117" i="4" s="1"/>
  <c r="Y96" i="4"/>
  <c r="AK96" i="4" s="1"/>
  <c r="AG136" i="4"/>
  <c r="AH136" i="4" s="1"/>
  <c r="AJ136" i="4" s="1"/>
  <c r="Y101" i="4"/>
  <c r="AK101" i="4" s="1"/>
  <c r="AF27" i="4"/>
  <c r="Y48" i="4"/>
  <c r="AL48" i="4" s="1"/>
  <c r="Y25" i="4"/>
  <c r="AB25" i="4" s="1"/>
  <c r="AD25" i="4" s="1"/>
  <c r="AE25" i="4" s="1"/>
  <c r="Y121" i="4"/>
  <c r="AK121" i="4" s="1"/>
  <c r="Y109" i="4"/>
  <c r="AB109" i="4" s="1"/>
  <c r="AD109" i="4" s="1"/>
  <c r="AE109" i="4" s="1"/>
  <c r="Y133" i="4"/>
  <c r="AB133" i="4" s="1"/>
  <c r="AD133" i="4" s="1"/>
  <c r="AE133" i="4" s="1"/>
  <c r="AF137" i="4"/>
  <c r="AG12" i="4"/>
  <c r="AH12" i="4" s="1"/>
  <c r="AJ12" i="4" s="1"/>
  <c r="Y12" i="4"/>
  <c r="AK12" i="4" s="1"/>
  <c r="Y15" i="4"/>
  <c r="AK15" i="4" s="1"/>
  <c r="AG15" i="4"/>
  <c r="AP15" i="4" s="1"/>
  <c r="AG154" i="4"/>
  <c r="AP154" i="4" s="1"/>
  <c r="Y124" i="4"/>
  <c r="AB124" i="4" s="1"/>
  <c r="AD124" i="4" s="1"/>
  <c r="AE124" i="4" s="1"/>
  <c r="Y72" i="4"/>
  <c r="AB72" i="4" s="1"/>
  <c r="AD72" i="4" s="1"/>
  <c r="AE72" i="4" s="1"/>
  <c r="Y65" i="4"/>
  <c r="AB65" i="4" s="1"/>
  <c r="AD65" i="4" s="1"/>
  <c r="AE65" i="4" s="1"/>
  <c r="Y20" i="4"/>
  <c r="AB20" i="4" s="1"/>
  <c r="AD20" i="4" s="1"/>
  <c r="AE20" i="4" s="1"/>
  <c r="AG145" i="4"/>
  <c r="AP145" i="4" s="1"/>
  <c r="AG37" i="4"/>
  <c r="AH37" i="4" s="1"/>
  <c r="AJ37" i="4" s="1"/>
  <c r="AG120" i="4"/>
  <c r="AP120" i="4" s="1"/>
  <c r="AF76" i="4"/>
  <c r="Y106" i="4"/>
  <c r="AB106" i="4" s="1"/>
  <c r="AD106" i="4" s="1"/>
  <c r="AE106" i="4" s="1"/>
  <c r="AG105" i="4"/>
  <c r="AP105" i="4" s="1"/>
  <c r="Y60" i="4"/>
  <c r="AB60" i="4" s="1"/>
  <c r="AD60" i="4" s="1"/>
  <c r="AE60" i="4" s="1"/>
  <c r="Y118" i="4"/>
  <c r="AB118" i="4" s="1"/>
  <c r="AD118" i="4" s="1"/>
  <c r="AE118" i="4" s="1"/>
  <c r="Y22" i="4"/>
  <c r="AB22" i="4" s="1"/>
  <c r="AD22" i="4" s="1"/>
  <c r="AE22" i="4" s="1"/>
  <c r="Y154" i="4"/>
  <c r="AB154" i="4" s="1"/>
  <c r="AD154" i="4" s="1"/>
  <c r="AE154" i="4" s="1"/>
  <c r="AG124" i="4"/>
  <c r="AP124" i="4" s="1"/>
  <c r="AF128" i="4"/>
  <c r="AG21" i="4"/>
  <c r="AP21" i="4" s="1"/>
  <c r="AG76" i="4"/>
  <c r="AP76" i="4" s="1"/>
  <c r="AG20" i="4"/>
  <c r="AH20" i="4" s="1"/>
  <c r="AJ20" i="4" s="1"/>
  <c r="AG64" i="4"/>
  <c r="AH64" i="4" s="1"/>
  <c r="AJ64" i="4" s="1"/>
  <c r="Y145" i="4"/>
  <c r="AB145" i="4" s="1"/>
  <c r="AD145" i="4" s="1"/>
  <c r="AE145" i="4" s="1"/>
  <c r="AG24" i="4"/>
  <c r="AP24" i="4" s="1"/>
  <c r="AG157" i="4"/>
  <c r="AH157" i="4" s="1"/>
  <c r="AJ157" i="4" s="1"/>
  <c r="AF150" i="4"/>
  <c r="Y69" i="4"/>
  <c r="AB69" i="4" s="1"/>
  <c r="AD69" i="4" s="1"/>
  <c r="AE69" i="4" s="1"/>
  <c r="AG8" i="4"/>
  <c r="AP8" i="4" s="1"/>
  <c r="AF116" i="4"/>
  <c r="Y76" i="4"/>
  <c r="AB76" i="4" s="1"/>
  <c r="AD76" i="4" s="1"/>
  <c r="AE76" i="4" s="1"/>
  <c r="Y32" i="4"/>
  <c r="AB32" i="4" s="1"/>
  <c r="AD32" i="4" s="1"/>
  <c r="AE32" i="4" s="1"/>
  <c r="Y110" i="4"/>
  <c r="AB110" i="4" s="1"/>
  <c r="AD110" i="4" s="1"/>
  <c r="AE110" i="4" s="1"/>
  <c r="Y125" i="4"/>
  <c r="AB125" i="4" s="1"/>
  <c r="AD125" i="4" s="1"/>
  <c r="AE125" i="4" s="1"/>
  <c r="AF56" i="4"/>
  <c r="Y56" i="4"/>
  <c r="AB56" i="4" s="1"/>
  <c r="AD56" i="4" s="1"/>
  <c r="AE56" i="4" s="1"/>
  <c r="AF46" i="4"/>
  <c r="Y46" i="4"/>
  <c r="AB46" i="4" s="1"/>
  <c r="AD46" i="4" s="1"/>
  <c r="AE46" i="4" s="1"/>
  <c r="Y8" i="4"/>
  <c r="AB8" i="4" s="1"/>
  <c r="AD8" i="4" s="1"/>
  <c r="AE8" i="4" s="1"/>
  <c r="AG82" i="4"/>
  <c r="AP82" i="4" s="1"/>
  <c r="Y13" i="4"/>
  <c r="AK13" i="4" s="1"/>
  <c r="AG13" i="4"/>
  <c r="AP13" i="4" s="1"/>
  <c r="Y74" i="4"/>
  <c r="AB74" i="4" s="1"/>
  <c r="AD74" i="4" s="1"/>
  <c r="AE74" i="4" s="1"/>
  <c r="Y142" i="4"/>
  <c r="AB142" i="4" s="1"/>
  <c r="AD142" i="4" s="1"/>
  <c r="AE142" i="4" s="1"/>
  <c r="Y94" i="4"/>
  <c r="AB94" i="4" s="1"/>
  <c r="AD94" i="4" s="1"/>
  <c r="AE94" i="4" s="1"/>
  <c r="AG9" i="4"/>
  <c r="AP9" i="4" s="1"/>
  <c r="Y28" i="4"/>
  <c r="AB28" i="4" s="1"/>
  <c r="AD28" i="4" s="1"/>
  <c r="AE28" i="4" s="1"/>
  <c r="AG97" i="4"/>
  <c r="AP97" i="4" s="1"/>
  <c r="AF72" i="4"/>
  <c r="Y113" i="4"/>
  <c r="AB113" i="4" s="1"/>
  <c r="AD113" i="4" s="1"/>
  <c r="AE113" i="4" s="1"/>
  <c r="Y146" i="4"/>
  <c r="AB146" i="4" s="1"/>
  <c r="AD146" i="4" s="1"/>
  <c r="AE146" i="4" s="1"/>
  <c r="Y10" i="4"/>
  <c r="AK10" i="4" s="1"/>
  <c r="AG10" i="4"/>
  <c r="AP10" i="4" s="1"/>
  <c r="Y26" i="4"/>
  <c r="AB26" i="4" s="1"/>
  <c r="AD26" i="4" s="1"/>
  <c r="AE26" i="4" s="1"/>
  <c r="Y64" i="4"/>
  <c r="AB64" i="4" s="1"/>
  <c r="AD64" i="4" s="1"/>
  <c r="AE64" i="4" s="1"/>
  <c r="AF11" i="4"/>
  <c r="AF41" i="4"/>
  <c r="Y97" i="4"/>
  <c r="AB97" i="4" s="1"/>
  <c r="AD97" i="4" s="1"/>
  <c r="AE97" i="4" s="1"/>
  <c r="AF83" i="4"/>
  <c r="AF87" i="4"/>
  <c r="Y62" i="4"/>
  <c r="AB62" i="4" s="1"/>
  <c r="AD62" i="4" s="1"/>
  <c r="AE62" i="4" s="1"/>
  <c r="Y9" i="4"/>
  <c r="AK9" i="4" s="1"/>
  <c r="Y14" i="4"/>
  <c r="AK14" i="4" s="1"/>
  <c r="AG14" i="4"/>
  <c r="AH14" i="4" s="1"/>
  <c r="AJ14" i="4" s="1"/>
  <c r="AG72" i="4"/>
  <c r="AP72" i="4" s="1"/>
  <c r="AF79" i="4"/>
  <c r="Y120" i="4"/>
  <c r="AB120" i="4" s="1"/>
  <c r="AD120" i="4" s="1"/>
  <c r="AE120" i="4" s="1"/>
  <c r="Y53" i="4"/>
  <c r="AB53" i="4" s="1"/>
  <c r="AD53" i="4" s="1"/>
  <c r="AE53" i="4" s="1"/>
  <c r="Y98" i="4"/>
  <c r="AB98" i="4" s="1"/>
  <c r="AD98" i="4" s="1"/>
  <c r="AE98" i="4" s="1"/>
  <c r="AF129" i="4"/>
  <c r="Y129" i="4"/>
  <c r="AB129" i="4" s="1"/>
  <c r="AD129" i="4" s="1"/>
  <c r="AE129" i="4" s="1"/>
  <c r="AG143" i="4"/>
  <c r="AP143" i="4" s="1"/>
  <c r="AF71" i="4"/>
  <c r="AG29" i="4"/>
  <c r="AP29" i="4" s="1"/>
  <c r="AG122" i="4"/>
  <c r="AP122" i="4" s="1"/>
  <c r="Y81" i="4"/>
  <c r="AB81" i="4" s="1"/>
  <c r="AD81" i="4" s="1"/>
  <c r="AE81" i="4" s="1"/>
  <c r="AG17" i="4"/>
  <c r="AH17" i="4" s="1"/>
  <c r="AJ17" i="4" s="1"/>
  <c r="AG92" i="4"/>
  <c r="AP92" i="4" s="1"/>
  <c r="AG104" i="4"/>
  <c r="AP104" i="4" s="1"/>
  <c r="AF138" i="4"/>
  <c r="AG109" i="4"/>
  <c r="AH109" i="4" s="1"/>
  <c r="AJ109" i="4" s="1"/>
  <c r="Y18" i="4"/>
  <c r="AB18" i="4" s="1"/>
  <c r="AD18" i="4" s="1"/>
  <c r="AE18" i="4" s="1"/>
  <c r="Y17" i="4"/>
  <c r="AB17" i="4" s="1"/>
  <c r="AD17" i="4" s="1"/>
  <c r="AE17" i="4" s="1"/>
  <c r="Y66" i="4"/>
  <c r="AB66" i="4" s="1"/>
  <c r="AD66" i="4" s="1"/>
  <c r="AE66" i="4" s="1"/>
  <c r="AG36" i="4"/>
  <c r="AP36" i="4" s="1"/>
  <c r="AF147" i="4"/>
  <c r="AF130" i="4"/>
  <c r="AF95" i="4"/>
  <c r="AG70" i="4"/>
  <c r="AP70" i="4" s="1"/>
  <c r="AG18" i="4"/>
  <c r="Y61" i="4"/>
  <c r="AB61" i="4" s="1"/>
  <c r="AD61" i="4" s="1"/>
  <c r="AE61" i="4" s="1"/>
  <c r="AF25" i="4"/>
  <c r="AG61" i="4"/>
  <c r="AG147" i="4"/>
  <c r="AP147" i="4" s="1"/>
  <c r="AF57" i="4"/>
  <c r="AG137" i="4"/>
  <c r="AH137" i="4" s="1"/>
  <c r="AJ137" i="4" s="1"/>
  <c r="AG138" i="4"/>
  <c r="AH138" i="4" s="1"/>
  <c r="AJ138" i="4" s="1"/>
  <c r="Y57" i="4"/>
  <c r="AB57" i="4" s="1"/>
  <c r="AD57" i="4" s="1"/>
  <c r="AE57" i="4" s="1"/>
  <c r="Y70" i="4"/>
  <c r="AB70" i="4" s="1"/>
  <c r="AD70" i="4" s="1"/>
  <c r="AE70" i="4" s="1"/>
  <c r="AG81" i="4"/>
  <c r="AP81" i="4" s="1"/>
  <c r="AG126" i="4"/>
  <c r="AH126" i="4" s="1"/>
  <c r="AJ126" i="4" s="1"/>
  <c r="Y147" i="4"/>
  <c r="AB147" i="4" s="1"/>
  <c r="AD147" i="4" s="1"/>
  <c r="AE147" i="4" s="1"/>
  <c r="AG117" i="4"/>
  <c r="AP117" i="4" s="1"/>
  <c r="AF66" i="4"/>
  <c r="AG151" i="4"/>
  <c r="AH151" i="4" s="1"/>
  <c r="AJ151" i="4" s="1"/>
  <c r="AG85" i="4"/>
  <c r="AH85" i="4" s="1"/>
  <c r="AJ85" i="4" s="1"/>
  <c r="Y7" i="4"/>
  <c r="AK7" i="4" s="1"/>
  <c r="AG7" i="4"/>
  <c r="AP7" i="4" s="1"/>
  <c r="AF12" i="4"/>
  <c r="AF107" i="4"/>
  <c r="AF31" i="4"/>
  <c r="AF112" i="4"/>
  <c r="AF15" i="4"/>
  <c r="AF65" i="4"/>
  <c r="AF148" i="4"/>
  <c r="AF24" i="4"/>
  <c r="AF16" i="4"/>
  <c r="AF97" i="4"/>
  <c r="AF34" i="4"/>
  <c r="AF32" i="4"/>
  <c r="AF125" i="4"/>
  <c r="AF126" i="4"/>
  <c r="AF113" i="4"/>
  <c r="AF146" i="4"/>
  <c r="AF35" i="4"/>
  <c r="AF10" i="4"/>
  <c r="AF64" i="4"/>
  <c r="AF157" i="4"/>
  <c r="AF119" i="4"/>
  <c r="AF96" i="4"/>
  <c r="AF68" i="4"/>
  <c r="AF122" i="4"/>
  <c r="AF81" i="4"/>
  <c r="AF85" i="4"/>
  <c r="AF143" i="4"/>
  <c r="AF105" i="4"/>
  <c r="AF18" i="4"/>
  <c r="AF74" i="4"/>
  <c r="AF23" i="4"/>
  <c r="AF133" i="4"/>
  <c r="AF152" i="4"/>
  <c r="AF14" i="4"/>
  <c r="AF84" i="4"/>
  <c r="AF47" i="4"/>
  <c r="AF61" i="4"/>
  <c r="AF124" i="4"/>
  <c r="AF55" i="4"/>
  <c r="AF49" i="4"/>
  <c r="AF43" i="4"/>
  <c r="AF123" i="4"/>
  <c r="AF45" i="4"/>
  <c r="AF90" i="4"/>
  <c r="AF28" i="4"/>
  <c r="AF102" i="4"/>
  <c r="AF62" i="4"/>
  <c r="AF94" i="4"/>
  <c r="AF156" i="4"/>
  <c r="AF70" i="4"/>
  <c r="AF67" i="4"/>
  <c r="AF60" i="4"/>
  <c r="AF106" i="4"/>
  <c r="AF22" i="4"/>
  <c r="AF9" i="4"/>
  <c r="AF120" i="4"/>
  <c r="AF44" i="4"/>
  <c r="AF78" i="4"/>
  <c r="AF7" i="4"/>
  <c r="AF108" i="4"/>
  <c r="AF59" i="4"/>
  <c r="AF111" i="4"/>
  <c r="AF144" i="4"/>
  <c r="AF19" i="4"/>
  <c r="AF101" i="4"/>
  <c r="AF132" i="4"/>
  <c r="AF151" i="4"/>
  <c r="AF155" i="4"/>
  <c r="AF17" i="4"/>
  <c r="AF99" i="4"/>
  <c r="AF26" i="4"/>
  <c r="AF136" i="4"/>
  <c r="AF154" i="4"/>
  <c r="AF21" i="4"/>
  <c r="AF38" i="4"/>
  <c r="AF20" i="4"/>
  <c r="AF135" i="4"/>
  <c r="AP25" i="4"/>
  <c r="AH25" i="4"/>
  <c r="AJ25" i="4" s="1"/>
  <c r="AF91" i="4"/>
  <c r="AF39" i="4"/>
  <c r="AF53" i="4"/>
  <c r="AF98" i="4"/>
  <c r="AF13" i="4"/>
  <c r="AF92" i="4"/>
  <c r="AF141" i="4"/>
  <c r="AF118" i="4"/>
  <c r="AF80" i="4"/>
  <c r="AF103" i="4"/>
  <c r="AF82" i="4"/>
  <c r="AF115" i="4"/>
  <c r="AF109" i="4"/>
  <c r="AF114" i="4"/>
  <c r="AF117" i="4"/>
  <c r="AF131" i="4"/>
  <c r="AF51" i="4"/>
  <c r="AF86" i="4"/>
  <c r="AF134" i="4"/>
  <c r="AF29" i="4"/>
  <c r="AF110" i="4"/>
  <c r="AF33" i="4"/>
  <c r="AF100" i="4"/>
  <c r="AF121" i="4"/>
  <c r="AF142" i="4"/>
  <c r="AF88" i="4"/>
  <c r="AF36" i="4"/>
  <c r="BE151" i="4"/>
  <c r="BQ151" i="4" s="1"/>
  <c r="BE22" i="4"/>
  <c r="BQ22" i="4" s="1"/>
  <c r="BE28" i="4"/>
  <c r="BQ28" i="4" s="1"/>
  <c r="BE157" i="4"/>
  <c r="BQ157" i="4" s="1"/>
  <c r="BE123" i="4"/>
  <c r="BQ123" i="4" s="1"/>
  <c r="BE110" i="4"/>
  <c r="BQ110" i="4" s="1"/>
  <c r="BE40" i="4"/>
  <c r="BH40" i="4" s="1"/>
  <c r="BJ40" i="4" s="1"/>
  <c r="BK40" i="4" s="1"/>
  <c r="BE93" i="4"/>
  <c r="BH93" i="4" s="1"/>
  <c r="BJ93" i="4" s="1"/>
  <c r="BK93" i="4" s="1"/>
  <c r="BE42" i="4"/>
  <c r="BQ42" i="4" s="1"/>
  <c r="BE51" i="4"/>
  <c r="BQ51" i="4" s="1"/>
  <c r="BE138" i="4"/>
  <c r="BQ138" i="4" s="1"/>
  <c r="BE146" i="4"/>
  <c r="BQ146" i="4" s="1"/>
  <c r="BE8" i="4"/>
  <c r="BQ8" i="4" s="1"/>
  <c r="BE153" i="4"/>
  <c r="BQ153" i="4" s="1"/>
  <c r="BE26" i="4"/>
  <c r="BQ26" i="4" s="1"/>
  <c r="BE36" i="4"/>
  <c r="BH36" i="4" s="1"/>
  <c r="BJ36" i="4" s="1"/>
  <c r="BK36" i="4" s="1"/>
  <c r="BE129" i="4"/>
  <c r="BQ129" i="4" s="1"/>
  <c r="BE19" i="4"/>
  <c r="BE59" i="4"/>
  <c r="BQ59" i="4" s="1"/>
  <c r="BE48" i="4"/>
  <c r="BQ48" i="4" s="1"/>
  <c r="BE117" i="4"/>
  <c r="BH117" i="4" s="1"/>
  <c r="BJ117" i="4" s="1"/>
  <c r="BK117" i="4" s="1"/>
  <c r="BE115" i="4"/>
  <c r="BQ115" i="4" s="1"/>
  <c r="BE121" i="4"/>
  <c r="BQ121" i="4" s="1"/>
  <c r="BE60" i="4"/>
  <c r="BQ60" i="4" s="1"/>
  <c r="BE126" i="4"/>
  <c r="BQ126" i="4" s="1"/>
  <c r="BE80" i="4"/>
  <c r="BQ80" i="4" s="1"/>
  <c r="BE147" i="4"/>
  <c r="BQ147" i="4" s="1"/>
  <c r="BE82" i="4"/>
  <c r="BH82" i="4" s="1"/>
  <c r="BJ82" i="4" s="1"/>
  <c r="BK82" i="4" s="1"/>
  <c r="BE20" i="4"/>
  <c r="BE30" i="4"/>
  <c r="BQ30" i="4" s="1"/>
  <c r="BE44" i="4"/>
  <c r="BQ44" i="4" s="1"/>
  <c r="BE132" i="4"/>
  <c r="BQ132" i="4" s="1"/>
  <c r="BE127" i="4"/>
  <c r="BH127" i="4" s="1"/>
  <c r="BJ127" i="4" s="1"/>
  <c r="BK127" i="4" s="1"/>
  <c r="BE27" i="4"/>
  <c r="BQ27" i="4" s="1"/>
  <c r="BE15" i="4"/>
  <c r="BE67" i="4"/>
  <c r="BQ67" i="4" s="1"/>
  <c r="BE9" i="4"/>
  <c r="BE50" i="4"/>
  <c r="BQ50" i="4" s="1"/>
  <c r="BE125" i="4"/>
  <c r="BQ125" i="4" s="1"/>
  <c r="BE66" i="4"/>
  <c r="BH66" i="4" s="1"/>
  <c r="BJ66" i="4" s="1"/>
  <c r="BK66" i="4" s="1"/>
  <c r="BE63" i="4"/>
  <c r="BQ63" i="4" s="1"/>
  <c r="BE134" i="4"/>
  <c r="BQ134" i="4" s="1"/>
  <c r="BE112" i="4"/>
  <c r="BH112" i="4" s="1"/>
  <c r="BJ112" i="4" s="1"/>
  <c r="BK112" i="4" s="1"/>
  <c r="BE12" i="4"/>
  <c r="BE78" i="4"/>
  <c r="BH78" i="4" s="1"/>
  <c r="BJ78" i="4" s="1"/>
  <c r="BK78" i="4" s="1"/>
  <c r="BE77" i="4"/>
  <c r="BQ77" i="4" s="1"/>
  <c r="BE11" i="4"/>
  <c r="BQ11" i="4" s="1"/>
  <c r="BE71" i="4"/>
  <c r="BQ71" i="4" s="1"/>
  <c r="BE52" i="4"/>
  <c r="BQ52" i="4" s="1"/>
  <c r="BE97" i="4"/>
  <c r="BQ97" i="4" s="1"/>
  <c r="BE114" i="4"/>
  <c r="BH114" i="4" s="1"/>
  <c r="BJ114" i="4" s="1"/>
  <c r="BK114" i="4" s="1"/>
  <c r="BE13" i="4"/>
  <c r="BQ13" i="4" s="1"/>
  <c r="BE96" i="4"/>
  <c r="BQ96" i="4" s="1"/>
  <c r="BE18" i="4"/>
  <c r="BE61" i="4"/>
  <c r="BQ61" i="4" s="1"/>
  <c r="BE38" i="4"/>
  <c r="BQ38" i="4" s="1"/>
  <c r="BE14" i="4"/>
  <c r="BQ14" i="4" s="1"/>
  <c r="BE43" i="4"/>
  <c r="BH43" i="4" s="1"/>
  <c r="BJ43" i="4" s="1"/>
  <c r="BK43" i="4" s="1"/>
  <c r="AS536" i="5"/>
  <c r="AT536" i="5" s="1"/>
  <c r="AE536" i="5"/>
  <c r="AE10" i="5"/>
  <c r="AE378" i="5"/>
  <c r="AE13" i="5"/>
  <c r="AD475" i="5"/>
  <c r="AT7" i="5"/>
  <c r="AU7" i="5"/>
  <c r="AE475" i="5"/>
  <c r="H60" i="1"/>
  <c r="BL106" i="4"/>
  <c r="BL85" i="4"/>
  <c r="BL103" i="4"/>
  <c r="BL65" i="4"/>
  <c r="BL77" i="4"/>
  <c r="BL70" i="4"/>
  <c r="BL14" i="4"/>
  <c r="BL80" i="4"/>
  <c r="BL42" i="4"/>
  <c r="BL121" i="4"/>
  <c r="BL115" i="4"/>
  <c r="BL44" i="4"/>
  <c r="BL78" i="4"/>
  <c r="BL119" i="4"/>
  <c r="BL73" i="4"/>
  <c r="BL114" i="4"/>
  <c r="BL108" i="4"/>
  <c r="BL96" i="4"/>
  <c r="BL129" i="4"/>
  <c r="BL113" i="4"/>
  <c r="BL22" i="4"/>
  <c r="BL100" i="4"/>
  <c r="BL26" i="4"/>
  <c r="BL32" i="4"/>
  <c r="BL109" i="4"/>
  <c r="BL82" i="4"/>
  <c r="BL43" i="4"/>
  <c r="BL148" i="4"/>
  <c r="BL67" i="4"/>
  <c r="BL24" i="4"/>
  <c r="BL13" i="4"/>
  <c r="BL19" i="4"/>
  <c r="BL29" i="4"/>
  <c r="BL141" i="4"/>
  <c r="BL89" i="4"/>
  <c r="BL140" i="4"/>
  <c r="BL142" i="4"/>
  <c r="BL128" i="4"/>
  <c r="BL135" i="4"/>
  <c r="BL136" i="4"/>
  <c r="BL137" i="4"/>
  <c r="BL49" i="4"/>
  <c r="BL17" i="4"/>
  <c r="BL156" i="4"/>
  <c r="BL124" i="4"/>
  <c r="BL36" i="4"/>
  <c r="BL64" i="4"/>
  <c r="BL126" i="4"/>
  <c r="BL154" i="4"/>
  <c r="BL149" i="4"/>
  <c r="BL66" i="4"/>
  <c r="BL61" i="4"/>
  <c r="BL105" i="4"/>
  <c r="BL30" i="4"/>
  <c r="BL63" i="4"/>
  <c r="BL93" i="4"/>
  <c r="BL74" i="4"/>
  <c r="BL101" i="4"/>
  <c r="BL59" i="4"/>
  <c r="BL50" i="4"/>
  <c r="BL18" i="4"/>
  <c r="BL86" i="4"/>
  <c r="BL23" i="4"/>
  <c r="BL27" i="4"/>
  <c r="BL90" i="4"/>
  <c r="BL97" i="4"/>
  <c r="BL38" i="4"/>
  <c r="BL112" i="4"/>
  <c r="BL11" i="4"/>
  <c r="BL47" i="4"/>
  <c r="BL51" i="4"/>
  <c r="BL147" i="4"/>
  <c r="BL9" i="4"/>
  <c r="BL15" i="4"/>
  <c r="BL118" i="4"/>
  <c r="BL132" i="4"/>
  <c r="BL94" i="4"/>
  <c r="BL117" i="4"/>
  <c r="BL145" i="4"/>
  <c r="BL123" i="4"/>
  <c r="BL110" i="4"/>
  <c r="BL102" i="4"/>
  <c r="BL40" i="4"/>
  <c r="BL35" i="4"/>
  <c r="BL125" i="4"/>
  <c r="BL71" i="4"/>
  <c r="BL53" i="4"/>
  <c r="BL21" i="4"/>
  <c r="BL28" i="4"/>
  <c r="BL138" i="4"/>
  <c r="BL122" i="4"/>
  <c r="BL48" i="4"/>
  <c r="BL20" i="4"/>
  <c r="BL81" i="4"/>
  <c r="BL98" i="4"/>
  <c r="BL157" i="4"/>
  <c r="BL153" i="4"/>
  <c r="BL92" i="4"/>
  <c r="BL144" i="4"/>
  <c r="BL88" i="4"/>
  <c r="BL127" i="4"/>
  <c r="BL151" i="4"/>
  <c r="BL111" i="4"/>
  <c r="BL60" i="4"/>
  <c r="BL12" i="4"/>
  <c r="BL131" i="4"/>
  <c r="BL84" i="4"/>
  <c r="BL52" i="4"/>
  <c r="BL143" i="4"/>
  <c r="BL146" i="4"/>
  <c r="BL134" i="4"/>
  <c r="BL8" i="4"/>
  <c r="BL7" i="4"/>
  <c r="BG84" i="4"/>
  <c r="BM84" i="4" s="1"/>
  <c r="BF7" i="4"/>
  <c r="BG7" i="4" s="1"/>
  <c r="BG118" i="4"/>
  <c r="BM118" i="4" s="1"/>
  <c r="BG92" i="4"/>
  <c r="BM92" i="4" s="1"/>
  <c r="BG81" i="4"/>
  <c r="BM81" i="4" s="1"/>
  <c r="BG106" i="4"/>
  <c r="BM106" i="4" s="1"/>
  <c r="BG111" i="4"/>
  <c r="BM111" i="4" s="1"/>
  <c r="BG85" i="4"/>
  <c r="BM85" i="4" s="1"/>
  <c r="BF17" i="4"/>
  <c r="BG17" i="4" s="1"/>
  <c r="BG74" i="4"/>
  <c r="BM74" i="4" s="1"/>
  <c r="BG102" i="4"/>
  <c r="BM102" i="4" s="1"/>
  <c r="BG156" i="4"/>
  <c r="BM156" i="4" s="1"/>
  <c r="BG136" i="4"/>
  <c r="BM136" i="4" s="1"/>
  <c r="BG137" i="4"/>
  <c r="BM137" i="4" s="1"/>
  <c r="BG86" i="4"/>
  <c r="BM86" i="4" s="1"/>
  <c r="BG100" i="4"/>
  <c r="BM100" i="4" s="1"/>
  <c r="BG145" i="4"/>
  <c r="BM145" i="4" s="1"/>
  <c r="BG119" i="4"/>
  <c r="BM119" i="4" s="1"/>
  <c r="BG149" i="4"/>
  <c r="BM149" i="4" s="1"/>
  <c r="BF130" i="4"/>
  <c r="BG140" i="4"/>
  <c r="BM140" i="4" s="1"/>
  <c r="BF154" i="4"/>
  <c r="BF152" i="4"/>
  <c r="BF120" i="4"/>
  <c r="BF155" i="4"/>
  <c r="BF46" i="4"/>
  <c r="BF56" i="4"/>
  <c r="BF54" i="4"/>
  <c r="BF139" i="4"/>
  <c r="BG139" i="4" s="1"/>
  <c r="BM139" i="4" s="1"/>
  <c r="BF16" i="4"/>
  <c r="BG16" i="4" s="1"/>
  <c r="BF62" i="4"/>
  <c r="BF68" i="4"/>
  <c r="BG68" i="4" s="1"/>
  <c r="BM68" i="4" s="1"/>
  <c r="BG113" i="4"/>
  <c r="BM113" i="4" s="1"/>
  <c r="BF89" i="4"/>
  <c r="BG32" i="4"/>
  <c r="BF72" i="4"/>
  <c r="BF133" i="4"/>
  <c r="BF135" i="4"/>
  <c r="BG103" i="4"/>
  <c r="BM103" i="4" s="1"/>
  <c r="BF34" i="4"/>
  <c r="BG34" i="4" s="1"/>
  <c r="BM34" i="4" s="1"/>
  <c r="BG65" i="4"/>
  <c r="BM65" i="4" s="1"/>
  <c r="BF37" i="4"/>
  <c r="BF150" i="4"/>
  <c r="BF76" i="4"/>
  <c r="BU17" i="4"/>
  <c r="BF69" i="4"/>
  <c r="BG24" i="4"/>
  <c r="BF116" i="4"/>
  <c r="BF10" i="4"/>
  <c r="BG10" i="4" s="1"/>
  <c r="BG98" i="4"/>
  <c r="BM98" i="4" s="1"/>
  <c r="BG141" i="4"/>
  <c r="BM141" i="4" s="1"/>
  <c r="BG90" i="4"/>
  <c r="BM90" i="4" s="1"/>
  <c r="BG53" i="4"/>
  <c r="BM53" i="4" s="1"/>
  <c r="BG143" i="4"/>
  <c r="BM143" i="4" s="1"/>
  <c r="BG70" i="4"/>
  <c r="BM70" i="4" s="1"/>
  <c r="BF41" i="4"/>
  <c r="BG73" i="4"/>
  <c r="BM73" i="4" s="1"/>
  <c r="BG101" i="4"/>
  <c r="BM101" i="4" s="1"/>
  <c r="BG122" i="4"/>
  <c r="BM122" i="4" s="1"/>
  <c r="BF107" i="4"/>
  <c r="BG35" i="4"/>
  <c r="BM35" i="4" s="1"/>
  <c r="BF109" i="4"/>
  <c r="BF91" i="4"/>
  <c r="BG23" i="4"/>
  <c r="BF142" i="4"/>
  <c r="BG144" i="4"/>
  <c r="BM144" i="4" s="1"/>
  <c r="BG128" i="4"/>
  <c r="BM128" i="4" s="1"/>
  <c r="BG131" i="4"/>
  <c r="BM131" i="4" s="1"/>
  <c r="BG108" i="4"/>
  <c r="BM108" i="4" s="1"/>
  <c r="BF87" i="4"/>
  <c r="BF29" i="4"/>
  <c r="BF95" i="4"/>
  <c r="BG64" i="4"/>
  <c r="BM64" i="4" s="1"/>
  <c r="BF99" i="4"/>
  <c r="BF55" i="4"/>
  <c r="BF57" i="4"/>
  <c r="BF25" i="4"/>
  <c r="BF105" i="4"/>
  <c r="BG148" i="4"/>
  <c r="BM148" i="4" s="1"/>
  <c r="BF104" i="4"/>
  <c r="BG21" i="4"/>
  <c r="BG124" i="4"/>
  <c r="BM124" i="4" s="1"/>
  <c r="BF83" i="4"/>
  <c r="BG88" i="4"/>
  <c r="BM88" i="4" s="1"/>
  <c r="BF58" i="4"/>
  <c r="BF31" i="4"/>
  <c r="BF45" i="4"/>
  <c r="BG47" i="4"/>
  <c r="BM47" i="4" s="1"/>
  <c r="BG94" i="4"/>
  <c r="BM94" i="4" s="1"/>
  <c r="BF75" i="4"/>
  <c r="BF39" i="4"/>
  <c r="BF79" i="4"/>
  <c r="BF49" i="4"/>
  <c r="BF33" i="4"/>
  <c r="AD238" i="5"/>
  <c r="AE376" i="5"/>
  <c r="AS427" i="5"/>
  <c r="AU427" i="5" s="1"/>
  <c r="AU447" i="5"/>
  <c r="AD447" i="5"/>
  <c r="AU468" i="5"/>
  <c r="AE468" i="5"/>
  <c r="AD468" i="5"/>
  <c r="AE238" i="5"/>
  <c r="AS376" i="5"/>
  <c r="AU376" i="5" s="1"/>
  <c r="AE537" i="5"/>
  <c r="AE447" i="5"/>
  <c r="AS537" i="5"/>
  <c r="AU537" i="5" s="1"/>
  <c r="AE486" i="5"/>
  <c r="AU484" i="5"/>
  <c r="AD281" i="5"/>
  <c r="AE515" i="5"/>
  <c r="AS456" i="5"/>
  <c r="AT456" i="5" s="1"/>
  <c r="AD554" i="5"/>
  <c r="AE57" i="5"/>
  <c r="AU384" i="5"/>
  <c r="AS421" i="5"/>
  <c r="AT421" i="5" s="1"/>
  <c r="AX421" i="5" s="1"/>
  <c r="AY421" i="5" s="1"/>
  <c r="AD427" i="5"/>
  <c r="AT66" i="5"/>
  <c r="AD27" i="5"/>
  <c r="AS310" i="5"/>
  <c r="AU310" i="5" s="1"/>
  <c r="AS554" i="5"/>
  <c r="AU554" i="5" s="1"/>
  <c r="AS492" i="5"/>
  <c r="AT492" i="5" s="1"/>
  <c r="AX492" i="5" s="1"/>
  <c r="AY492" i="5" s="1"/>
  <c r="AS189" i="5"/>
  <c r="AT189" i="5" s="1"/>
  <c r="AS515" i="5"/>
  <c r="AT515" i="5" s="1"/>
  <c r="AS547" i="5"/>
  <c r="AU547" i="5" s="1"/>
  <c r="AS414" i="5"/>
  <c r="AT414" i="5" s="1"/>
  <c r="AE290" i="5"/>
  <c r="AS411" i="5"/>
  <c r="AU411" i="5" s="1"/>
  <c r="AS514" i="5"/>
  <c r="AU514" i="5" s="1"/>
  <c r="AE281" i="5"/>
  <c r="AE479" i="5"/>
  <c r="AE391" i="5"/>
  <c r="AS490" i="5"/>
  <c r="AT490" i="5" s="1"/>
  <c r="AE497" i="5"/>
  <c r="AD44" i="5"/>
  <c r="AS44" i="5"/>
  <c r="AT44" i="5" s="1"/>
  <c r="AX43" i="5" s="1"/>
  <c r="AY43" i="5" s="1"/>
  <c r="AU553" i="5"/>
  <c r="AU493" i="5"/>
  <c r="AE547" i="5"/>
  <c r="AD290" i="5"/>
  <c r="AE323" i="5"/>
  <c r="AD478" i="5"/>
  <c r="AD360" i="5"/>
  <c r="AD514" i="5"/>
  <c r="AE395" i="5"/>
  <c r="AD446" i="5"/>
  <c r="AD450" i="5"/>
  <c r="AE206" i="5"/>
  <c r="AE446" i="5"/>
  <c r="AD206" i="5"/>
  <c r="AD500" i="5"/>
  <c r="AD508" i="5"/>
  <c r="AS58" i="5"/>
  <c r="AT58" i="5" s="1"/>
  <c r="AS509" i="5"/>
  <c r="AT509" i="5" s="1"/>
  <c r="AE455" i="5"/>
  <c r="AS351" i="5"/>
  <c r="AT351" i="5" s="1"/>
  <c r="AS463" i="5"/>
  <c r="AT463" i="5" s="1"/>
  <c r="AX462" i="5" s="1"/>
  <c r="AY462" i="5" s="1"/>
  <c r="AS500" i="5"/>
  <c r="AT500" i="5" s="1"/>
  <c r="AE25" i="5"/>
  <c r="AS377" i="5"/>
  <c r="AT377" i="5" s="1"/>
  <c r="AS486" i="5"/>
  <c r="AU486" i="5" s="1"/>
  <c r="AE35" i="5"/>
  <c r="AD259" i="5"/>
  <c r="AD484" i="5"/>
  <c r="AE487" i="5"/>
  <c r="AS300" i="5"/>
  <c r="AT300" i="5" s="1"/>
  <c r="AX299" i="5" s="1"/>
  <c r="AE353" i="5"/>
  <c r="AS487" i="5"/>
  <c r="AT487" i="5" s="1"/>
  <c r="AS336" i="5"/>
  <c r="AT336" i="5" s="1"/>
  <c r="AD462" i="5"/>
  <c r="AU462" i="5"/>
  <c r="AS388" i="5"/>
  <c r="AU388" i="5" s="1"/>
  <c r="AE397" i="5"/>
  <c r="AD300" i="5"/>
  <c r="AE462" i="5"/>
  <c r="AE553" i="5"/>
  <c r="AD58" i="5"/>
  <c r="AD490" i="5"/>
  <c r="AS455" i="5"/>
  <c r="AU455" i="5" s="1"/>
  <c r="AE34" i="5"/>
  <c r="AD70" i="5"/>
  <c r="AU308" i="5"/>
  <c r="AT450" i="5"/>
  <c r="AX450" i="5" s="1"/>
  <c r="AY450" i="5" s="1"/>
  <c r="AE509" i="5"/>
  <c r="AD308" i="5"/>
  <c r="AD553" i="5"/>
  <c r="AE97" i="5"/>
  <c r="AE493" i="5"/>
  <c r="AD266" i="5"/>
  <c r="AE351" i="5"/>
  <c r="AS526" i="5"/>
  <c r="AU526" i="5" s="1"/>
  <c r="AD493" i="5"/>
  <c r="AD411" i="5"/>
  <c r="AS540" i="5"/>
  <c r="AT540" i="5" s="1"/>
  <c r="AX540" i="5" s="1"/>
  <c r="AY540" i="5" s="1"/>
  <c r="AE375" i="5"/>
  <c r="AE557" i="5"/>
  <c r="AD279" i="5"/>
  <c r="AD251" i="5"/>
  <c r="AE498" i="5"/>
  <c r="AD276" i="5"/>
  <c r="AS556" i="5"/>
  <c r="AT556" i="5" s="1"/>
  <c r="AU395" i="5"/>
  <c r="AD395" i="5"/>
  <c r="AS186" i="5"/>
  <c r="AT186" i="5" s="1"/>
  <c r="AE440" i="5"/>
  <c r="AT152" i="5"/>
  <c r="AT498" i="5"/>
  <c r="AS406" i="5"/>
  <c r="AT406" i="5" s="1"/>
  <c r="AD186" i="5"/>
  <c r="AE349" i="5"/>
  <c r="AS391" i="5"/>
  <c r="AT391" i="5" s="1"/>
  <c r="AD250" i="5"/>
  <c r="AT489" i="5"/>
  <c r="AS378" i="5"/>
  <c r="AU378" i="5" s="1"/>
  <c r="AD57" i="5"/>
  <c r="AD492" i="5"/>
  <c r="AE279" i="5"/>
  <c r="AS363" i="5"/>
  <c r="AU363" i="5" s="1"/>
  <c r="AE384" i="5"/>
  <c r="AS349" i="5"/>
  <c r="AT349" i="5" s="1"/>
  <c r="AS375" i="5"/>
  <c r="AU375" i="5" s="1"/>
  <c r="AT279" i="5"/>
  <c r="AE456" i="5"/>
  <c r="AT550" i="5"/>
  <c r="AU43" i="5"/>
  <c r="AE484" i="5"/>
  <c r="AE66" i="5"/>
  <c r="AS345" i="5"/>
  <c r="AT345" i="5" s="1"/>
  <c r="AE152" i="5"/>
  <c r="AE226" i="5"/>
  <c r="AS542" i="5"/>
  <c r="AU542" i="5" s="1"/>
  <c r="AS226" i="5"/>
  <c r="AT226" i="5" s="1"/>
  <c r="AS320" i="5"/>
  <c r="AT320" i="5" s="1"/>
  <c r="AS405" i="5"/>
  <c r="AU405" i="5" s="1"/>
  <c r="AS496" i="5"/>
  <c r="AT496" i="5" s="1"/>
  <c r="AD248" i="5"/>
  <c r="AE27" i="5"/>
  <c r="AE357" i="5"/>
  <c r="AE310" i="5"/>
  <c r="AD421" i="5"/>
  <c r="AE289" i="5"/>
  <c r="AE189" i="5"/>
  <c r="AD320" i="5"/>
  <c r="AD489" i="5"/>
  <c r="AE248" i="5"/>
  <c r="AD150" i="5"/>
  <c r="AE414" i="5"/>
  <c r="AE377" i="5"/>
  <c r="AE53" i="5"/>
  <c r="AS35" i="5"/>
  <c r="AT35" i="5" s="1"/>
  <c r="AS272" i="5"/>
  <c r="AU272" i="5" s="1"/>
  <c r="AE272" i="5"/>
  <c r="AD417" i="5"/>
  <c r="AT134" i="5"/>
  <c r="AD479" i="5"/>
  <c r="AS402" i="5"/>
  <c r="AT402" i="5" s="1"/>
  <c r="AE505" i="5"/>
  <c r="AS367" i="5"/>
  <c r="AU367" i="5" s="1"/>
  <c r="AS355" i="5"/>
  <c r="AT355" i="5" s="1"/>
  <c r="AE345" i="5"/>
  <c r="AS239" i="5"/>
  <c r="AU239" i="5" s="1"/>
  <c r="AD66" i="5"/>
  <c r="AD152" i="5"/>
  <c r="AD498" i="5"/>
  <c r="AS521" i="5"/>
  <c r="AU521" i="5" s="1"/>
  <c r="AS560" i="5"/>
  <c r="AU560" i="5" s="1"/>
  <c r="AE560" i="5"/>
  <c r="AT501" i="5"/>
  <c r="AU512" i="5"/>
  <c r="AU360" i="5"/>
  <c r="AD510" i="5"/>
  <c r="AD296" i="5"/>
  <c r="AD557" i="5"/>
  <c r="AS318" i="5"/>
  <c r="AU318" i="5" s="1"/>
  <c r="AE336" i="5"/>
  <c r="AD482" i="5"/>
  <c r="AS440" i="5"/>
  <c r="AT440" i="5" s="1"/>
  <c r="AT207" i="5"/>
  <c r="AE530" i="5"/>
  <c r="AS478" i="5"/>
  <c r="AU478" i="5" s="1"/>
  <c r="AD556" i="5"/>
  <c r="AE256" i="5"/>
  <c r="AE231" i="5"/>
  <c r="AT137" i="5"/>
  <c r="AU541" i="5"/>
  <c r="AS507" i="5"/>
  <c r="AT507" i="5" s="1"/>
  <c r="AD163" i="5"/>
  <c r="AD512" i="5"/>
  <c r="AD128" i="5"/>
  <c r="AD540" i="5"/>
  <c r="AD384" i="5"/>
  <c r="AS276" i="5"/>
  <c r="AT276" i="5" s="1"/>
  <c r="AE555" i="5"/>
  <c r="AD405" i="5"/>
  <c r="AE489" i="5"/>
  <c r="AD442" i="5"/>
  <c r="AD501" i="5"/>
  <c r="AS470" i="5"/>
  <c r="AT470" i="5" s="1"/>
  <c r="AX470" i="5" s="1"/>
  <c r="AY470" i="5" s="1"/>
  <c r="AS340" i="5"/>
  <c r="AT340" i="5" s="1"/>
  <c r="AD256" i="5"/>
  <c r="AE99" i="5"/>
  <c r="AT442" i="5"/>
  <c r="AU128" i="5"/>
  <c r="AD406" i="5"/>
  <c r="AE364" i="5"/>
  <c r="AS347" i="5"/>
  <c r="AT347" i="5" s="1"/>
  <c r="AD207" i="5"/>
  <c r="AS491" i="5"/>
  <c r="AT491" i="5" s="1"/>
  <c r="AD491" i="5"/>
  <c r="AD541" i="5"/>
  <c r="AD137" i="5"/>
  <c r="AE207" i="5"/>
  <c r="AE360" i="5"/>
  <c r="AS485" i="5"/>
  <c r="AU485" i="5" s="1"/>
  <c r="AS324" i="5"/>
  <c r="AT324" i="5" s="1"/>
  <c r="AE501" i="5"/>
  <c r="AD542" i="5"/>
  <c r="AE43" i="5"/>
  <c r="AE496" i="5"/>
  <c r="AS397" i="5"/>
  <c r="AT397" i="5" s="1"/>
  <c r="AD402" i="5"/>
  <c r="AE355" i="5"/>
  <c r="AU169" i="5"/>
  <c r="AE388" i="5"/>
  <c r="AS259" i="5"/>
  <c r="AT259" i="5" s="1"/>
  <c r="AD521" i="5"/>
  <c r="AS505" i="5"/>
  <c r="AT505" i="5" s="1"/>
  <c r="AX504" i="5" s="1"/>
  <c r="AY504" i="5" s="1"/>
  <c r="AS111" i="5"/>
  <c r="AU111" i="5" s="1"/>
  <c r="AS148" i="5"/>
  <c r="AT148" i="5" s="1"/>
  <c r="AD488" i="5"/>
  <c r="AS488" i="5"/>
  <c r="AT488" i="5" s="1"/>
  <c r="AD43" i="5"/>
  <c r="AE169" i="5"/>
  <c r="AS10" i="5"/>
  <c r="AT10" i="5" s="1"/>
  <c r="AD282" i="5"/>
  <c r="AD169" i="5"/>
  <c r="AE235" i="5"/>
  <c r="AS12" i="5"/>
  <c r="AT12" i="5" s="1"/>
  <c r="AS34" i="5"/>
  <c r="AT34" i="5" s="1"/>
  <c r="AX33" i="5" s="1"/>
  <c r="AY33" i="5" s="1"/>
  <c r="AU412" i="5"/>
  <c r="AD367" i="5"/>
  <c r="AS266" i="5"/>
  <c r="AT266" i="5" s="1"/>
  <c r="AS335" i="5"/>
  <c r="AT335" i="5" s="1"/>
  <c r="AE308" i="5"/>
  <c r="AS94" i="5"/>
  <c r="AT94" i="5" s="1"/>
  <c r="AC9" i="5"/>
  <c r="AD9" i="5" s="1"/>
  <c r="AD160" i="5"/>
  <c r="AS530" i="5"/>
  <c r="AT530" i="5" s="1"/>
  <c r="AE470" i="5"/>
  <c r="AS380" i="5"/>
  <c r="AU380" i="5" s="1"/>
  <c r="AE436" i="5"/>
  <c r="AE76" i="5"/>
  <c r="AU146" i="5"/>
  <c r="AD364" i="5"/>
  <c r="AE318" i="5"/>
  <c r="AD49" i="5"/>
  <c r="AU520" i="5"/>
  <c r="AS497" i="5"/>
  <c r="AU497" i="5" s="1"/>
  <c r="AD335" i="5"/>
  <c r="AE473" i="5"/>
  <c r="AD127" i="5"/>
  <c r="AE541" i="5"/>
  <c r="AE512" i="5"/>
  <c r="AD467" i="5"/>
  <c r="AE520" i="5"/>
  <c r="AE288" i="5"/>
  <c r="AS370" i="5"/>
  <c r="AT370" i="5" s="1"/>
  <c r="AS409" i="5"/>
  <c r="AU409" i="5" s="1"/>
  <c r="AT467" i="5"/>
  <c r="AS482" i="5"/>
  <c r="AU482" i="5" s="1"/>
  <c r="AS288" i="5"/>
  <c r="AU288" i="5" s="1"/>
  <c r="AD409" i="5"/>
  <c r="AE394" i="5"/>
  <c r="AS394" i="5"/>
  <c r="AU394" i="5" s="1"/>
  <c r="AD94" i="5"/>
  <c r="AE442" i="5"/>
  <c r="AE370" i="5"/>
  <c r="AE472" i="5"/>
  <c r="AS472" i="5"/>
  <c r="AS76" i="5"/>
  <c r="AU76" i="5" s="1"/>
  <c r="AE49" i="5"/>
  <c r="AE508" i="5"/>
  <c r="AS473" i="5"/>
  <c r="AU473" i="5" s="1"/>
  <c r="AD463" i="5"/>
  <c r="AE412" i="5"/>
  <c r="AE467" i="5"/>
  <c r="AE160" i="5"/>
  <c r="AT251" i="5"/>
  <c r="AE128" i="5"/>
  <c r="AD412" i="5"/>
  <c r="AE110" i="5"/>
  <c r="AD110" i="5"/>
  <c r="AD520" i="5"/>
  <c r="AS97" i="5"/>
  <c r="AU97" i="5" s="1"/>
  <c r="AS323" i="5"/>
  <c r="AU323" i="5" s="1"/>
  <c r="AE12" i="5"/>
  <c r="AD13" i="5"/>
  <c r="AU223" i="5"/>
  <c r="AE137" i="5"/>
  <c r="AE450" i="5"/>
  <c r="AD148" i="5"/>
  <c r="AS417" i="5"/>
  <c r="AU417" i="5" s="1"/>
  <c r="AD69" i="5"/>
  <c r="AD495" i="5"/>
  <c r="AN9" i="5"/>
  <c r="AO9" i="5"/>
  <c r="AS150" i="5"/>
  <c r="AU150" i="5" s="1"/>
  <c r="AE258" i="5"/>
  <c r="AD408" i="5"/>
  <c r="AE340" i="5"/>
  <c r="AS282" i="5"/>
  <c r="AU282" i="5" s="1"/>
  <c r="AS85" i="5"/>
  <c r="AU85" i="5" s="1"/>
  <c r="AS449" i="5"/>
  <c r="AU449" i="5" s="1"/>
  <c r="AE510" i="5"/>
  <c r="AS131" i="5"/>
  <c r="AU131" i="5" s="1"/>
  <c r="AS99" i="5"/>
  <c r="AT99" i="5" s="1"/>
  <c r="AS29" i="5"/>
  <c r="AU29" i="5" s="1"/>
  <c r="AS289" i="5"/>
  <c r="AU289" i="5" s="1"/>
  <c r="AS163" i="5"/>
  <c r="AU163" i="5" s="1"/>
  <c r="AE363" i="5"/>
  <c r="AS250" i="5"/>
  <c r="AT250" i="5" s="1"/>
  <c r="AX249" i="5" s="1"/>
  <c r="AY249" i="5" s="1"/>
  <c r="AE422" i="5"/>
  <c r="X9" i="5"/>
  <c r="Y9" i="5"/>
  <c r="AU69" i="5"/>
  <c r="AD85" i="5"/>
  <c r="AD449" i="5"/>
  <c r="AD471" i="5"/>
  <c r="AE471" i="5"/>
  <c r="AD396" i="5"/>
  <c r="AS546" i="5"/>
  <c r="AU546" i="5" s="1"/>
  <c r="AS516" i="5"/>
  <c r="AT516" i="5" s="1"/>
  <c r="AS115" i="5"/>
  <c r="AT115" i="5" s="1"/>
  <c r="AD339" i="5"/>
  <c r="AD115" i="5"/>
  <c r="AS296" i="5"/>
  <c r="AT296" i="5" s="1"/>
  <c r="AE325" i="5"/>
  <c r="AD550" i="5"/>
  <c r="AE65" i="5"/>
  <c r="AE8" i="5"/>
  <c r="AD8" i="5"/>
  <c r="B165" i="2" s="1"/>
  <c r="B166" i="2" s="1"/>
  <c r="B167" i="2" s="1"/>
  <c r="B177" i="2" s="1"/>
  <c r="R9" i="5"/>
  <c r="S9" i="5"/>
  <c r="AD11" i="5"/>
  <c r="AE11" i="5"/>
  <c r="AS11" i="5"/>
  <c r="AI9" i="5"/>
  <c r="AH9" i="5"/>
  <c r="AP9" i="5"/>
  <c r="AS532" i="5"/>
  <c r="AT532" i="5" s="1"/>
  <c r="AS38" i="5"/>
  <c r="AT38" i="5" s="1"/>
  <c r="AD448" i="5"/>
  <c r="AE339" i="5"/>
  <c r="AU471" i="5"/>
  <c r="AE507" i="5"/>
  <c r="AE134" i="5"/>
  <c r="AS45" i="5"/>
  <c r="AT45" i="5" s="1"/>
  <c r="AS494" i="5"/>
  <c r="AU494" i="5" s="1"/>
  <c r="AB9" i="5"/>
  <c r="AA9" i="5"/>
  <c r="AU13" i="5"/>
  <c r="AT13" i="5"/>
  <c r="AE448" i="5"/>
  <c r="AE408" i="5"/>
  <c r="AD191" i="5"/>
  <c r="AD231" i="5"/>
  <c r="AD131" i="5"/>
  <c r="AS53" i="5"/>
  <c r="AT53" i="5" s="1"/>
  <c r="AE29" i="5"/>
  <c r="AT110" i="5"/>
  <c r="AE426" i="5"/>
  <c r="AD516" i="5"/>
  <c r="AE330" i="5"/>
  <c r="AD39" i="5"/>
  <c r="AT499" i="5"/>
  <c r="AU504" i="5"/>
  <c r="AD353" i="5"/>
  <c r="AS410" i="5"/>
  <c r="AT410" i="5" s="1"/>
  <c r="AD239" i="5"/>
  <c r="AS396" i="5"/>
  <c r="AT396" i="5" s="1"/>
  <c r="AX395" i="5" s="1"/>
  <c r="AY395" i="5" s="1"/>
  <c r="AE251" i="5"/>
  <c r="AS325" i="5"/>
  <c r="AE550" i="5"/>
  <c r="AS235" i="5"/>
  <c r="AT235" i="5" s="1"/>
  <c r="AE69" i="5"/>
  <c r="AQ11" i="5"/>
  <c r="AR11" i="5"/>
  <c r="AK9" i="5"/>
  <c r="AL9" i="5"/>
  <c r="U9" i="5"/>
  <c r="V9" i="5"/>
  <c r="AS154" i="5"/>
  <c r="AT154" i="5" s="1"/>
  <c r="AE130" i="5"/>
  <c r="AT96" i="5"/>
  <c r="AS219" i="5"/>
  <c r="AU219" i="5" s="1"/>
  <c r="AE366" i="5"/>
  <c r="AS382" i="5"/>
  <c r="AU382" i="5" s="1"/>
  <c r="AE499" i="5"/>
  <c r="AS555" i="5"/>
  <c r="AT555" i="5" s="1"/>
  <c r="AE159" i="5"/>
  <c r="AU434" i="5"/>
  <c r="AE96" i="5"/>
  <c r="AS175" i="5"/>
  <c r="AU175" i="5" s="1"/>
  <c r="AE103" i="5"/>
  <c r="AD347" i="5"/>
  <c r="AE334" i="5"/>
  <c r="AS64" i="5"/>
  <c r="AU64" i="5" s="1"/>
  <c r="AS50" i="5"/>
  <c r="AT50" i="5" s="1"/>
  <c r="AD195" i="5"/>
  <c r="AS436" i="5"/>
  <c r="AT436" i="5" s="1"/>
  <c r="AS524" i="5"/>
  <c r="AU524" i="5" s="1"/>
  <c r="AE212" i="5"/>
  <c r="AS83" i="5"/>
  <c r="AT83" i="5" s="1"/>
  <c r="AU46" i="5"/>
  <c r="AS443" i="5"/>
  <c r="AU443" i="5" s="1"/>
  <c r="AS203" i="5"/>
  <c r="AU203" i="5" s="1"/>
  <c r="AE548" i="5"/>
  <c r="AE46" i="5"/>
  <c r="AD273" i="5"/>
  <c r="AU372" i="5"/>
  <c r="AE223" i="5"/>
  <c r="AT495" i="5"/>
  <c r="AE255" i="5"/>
  <c r="AS273" i="5"/>
  <c r="AU273" i="5" s="1"/>
  <c r="AD107" i="5"/>
  <c r="AE457" i="5"/>
  <c r="AD328" i="5"/>
  <c r="AE70" i="5"/>
  <c r="AD223" i="5"/>
  <c r="AE495" i="5"/>
  <c r="AS130" i="5"/>
  <c r="AU130" i="5" s="1"/>
  <c r="AT241" i="5"/>
  <c r="AU8" i="5"/>
  <c r="AT8" i="5"/>
  <c r="AS330" i="5"/>
  <c r="AT330" i="5" s="1"/>
  <c r="AE142" i="5"/>
  <c r="AD443" i="5"/>
  <c r="AE373" i="5"/>
  <c r="AD96" i="5"/>
  <c r="AT373" i="5"/>
  <c r="AX372" i="5" s="1"/>
  <c r="AY372" i="5" s="1"/>
  <c r="AD538" i="5"/>
  <c r="AS22" i="5"/>
  <c r="AU22" i="5" s="1"/>
  <c r="AE331" i="5"/>
  <c r="AD366" i="5"/>
  <c r="AT71" i="5"/>
  <c r="AE538" i="5"/>
  <c r="AD278" i="5"/>
  <c r="AS127" i="5"/>
  <c r="AT127" i="5" s="1"/>
  <c r="AD326" i="5"/>
  <c r="AS331" i="5"/>
  <c r="AT331" i="5" s="1"/>
  <c r="AE83" i="5"/>
  <c r="AS25" i="5"/>
  <c r="AU25" i="5" s="1"/>
  <c r="AD146" i="5"/>
  <c r="AE241" i="5"/>
  <c r="AD22" i="5"/>
  <c r="AD499" i="5"/>
  <c r="AD373" i="5"/>
  <c r="AE321" i="5"/>
  <c r="AS268" i="5"/>
  <c r="AU268" i="5" s="1"/>
  <c r="AE200" i="5"/>
  <c r="AE146" i="5"/>
  <c r="AE203" i="5"/>
  <c r="AS278" i="5"/>
  <c r="AT278" i="5" s="1"/>
  <c r="AD241" i="5"/>
  <c r="AS326" i="5"/>
  <c r="AT326" i="5" s="1"/>
  <c r="AS321" i="5"/>
  <c r="AT321" i="5" s="1"/>
  <c r="AS381" i="5"/>
  <c r="AU381" i="5" s="1"/>
  <c r="AD141" i="5"/>
  <c r="AU299" i="5"/>
  <c r="AD548" i="5"/>
  <c r="AU548" i="5"/>
  <c r="AS551" i="5"/>
  <c r="AT551" i="5" s="1"/>
  <c r="AE301" i="5"/>
  <c r="AS107" i="5"/>
  <c r="AU107" i="5" s="1"/>
  <c r="AD178" i="5"/>
  <c r="AE524" i="5"/>
  <c r="AS354" i="5"/>
  <c r="AU354" i="5" s="1"/>
  <c r="AE551" i="5"/>
  <c r="AS19" i="5"/>
  <c r="AT19" i="5" s="1"/>
  <c r="AD19" i="5"/>
  <c r="AS328" i="5"/>
  <c r="AT328" i="5" s="1"/>
  <c r="AD78" i="5"/>
  <c r="AT144" i="5"/>
  <c r="AD385" i="5"/>
  <c r="AD64" i="5"/>
  <c r="AD313" i="5"/>
  <c r="AE354" i="5"/>
  <c r="AU201" i="5"/>
  <c r="AD301" i="5"/>
  <c r="AS333" i="5"/>
  <c r="AU333" i="5" s="1"/>
  <c r="AE247" i="5"/>
  <c r="AS255" i="5"/>
  <c r="AU255" i="5" s="1"/>
  <c r="AS534" i="5"/>
  <c r="AT534" i="5" s="1"/>
  <c r="AD142" i="5"/>
  <c r="AE372" i="5"/>
  <c r="AD88" i="5"/>
  <c r="AE144" i="5"/>
  <c r="AS342" i="5"/>
  <c r="AT342" i="5" s="1"/>
  <c r="AS457" i="5"/>
  <c r="AT457" i="5" s="1"/>
  <c r="AE227" i="5"/>
  <c r="AD33" i="5"/>
  <c r="AE460" i="5"/>
  <c r="AS220" i="5"/>
  <c r="AU220" i="5" s="1"/>
  <c r="AS425" i="5"/>
  <c r="AT425" i="5" s="1"/>
  <c r="AX424" i="5" s="1"/>
  <c r="AY424" i="5" s="1"/>
  <c r="AE202" i="5"/>
  <c r="AS438" i="5"/>
  <c r="AU438" i="5" s="1"/>
  <c r="AD247" i="5"/>
  <c r="AE180" i="5"/>
  <c r="AT61" i="5"/>
  <c r="AD344" i="5"/>
  <c r="AD200" i="5"/>
  <c r="AD116" i="5"/>
  <c r="AU253" i="5"/>
  <c r="AD365" i="5"/>
  <c r="AD202" i="5"/>
  <c r="AD253" i="5"/>
  <c r="AD108" i="5"/>
  <c r="AS385" i="5"/>
  <c r="AT385" i="5" s="1"/>
  <c r="AX384" i="5" s="1"/>
  <c r="AY384" i="5" s="1"/>
  <c r="AD161" i="5"/>
  <c r="AD249" i="5"/>
  <c r="AE253" i="5"/>
  <c r="AD134" i="5"/>
  <c r="AS523" i="5"/>
  <c r="AU523" i="5" s="1"/>
  <c r="AD46" i="5"/>
  <c r="AE113" i="5"/>
  <c r="AD175" i="5"/>
  <c r="AS197" i="5"/>
  <c r="AT197" i="5" s="1"/>
  <c r="AT178" i="5"/>
  <c r="AX178" i="5" s="1"/>
  <c r="AY178" i="5" s="1"/>
  <c r="AE438" i="5"/>
  <c r="AD42" i="5"/>
  <c r="AT108" i="5"/>
  <c r="AD368" i="5"/>
  <c r="AE209" i="5"/>
  <c r="AT88" i="5"/>
  <c r="AD433" i="5"/>
  <c r="AE36" i="5"/>
  <c r="AE108" i="5"/>
  <c r="AS161" i="5"/>
  <c r="AU161" i="5" s="1"/>
  <c r="AS298" i="5"/>
  <c r="AU298" i="5" s="1"/>
  <c r="AD283" i="5"/>
  <c r="AS533" i="5"/>
  <c r="AT533" i="5" s="1"/>
  <c r="AE21" i="5"/>
  <c r="AS426" i="5"/>
  <c r="AT426" i="5" s="1"/>
  <c r="AE78" i="5"/>
  <c r="AU418" i="5"/>
  <c r="AT480" i="5"/>
  <c r="AU81" i="5"/>
  <c r="AE283" i="5"/>
  <c r="AS549" i="5"/>
  <c r="AU549" i="5" s="1"/>
  <c r="AE546" i="5"/>
  <c r="AE179" i="5"/>
  <c r="AD132" i="5"/>
  <c r="AE201" i="5"/>
  <c r="AD341" i="5"/>
  <c r="AE485" i="5"/>
  <c r="AD558" i="5"/>
  <c r="AE338" i="5"/>
  <c r="AU174" i="5"/>
  <c r="AT174" i="5"/>
  <c r="AD193" i="5"/>
  <c r="AD393" i="5"/>
  <c r="AD410" i="5"/>
  <c r="AE494" i="5"/>
  <c r="AS65" i="5"/>
  <c r="AU65" i="5" s="1"/>
  <c r="AD324" i="5"/>
  <c r="AS390" i="5"/>
  <c r="AU390" i="5" s="1"/>
  <c r="AE390" i="5"/>
  <c r="AT260" i="5"/>
  <c r="AU216" i="5"/>
  <c r="AS194" i="5"/>
  <c r="AU194" i="5" s="1"/>
  <c r="AE437" i="5"/>
  <c r="AD418" i="5"/>
  <c r="AS522" i="5"/>
  <c r="AU522" i="5" s="1"/>
  <c r="AD45" i="5"/>
  <c r="AS559" i="5"/>
  <c r="AT559" i="5" s="1"/>
  <c r="AD258" i="5"/>
  <c r="AE365" i="5"/>
  <c r="AE342" i="5"/>
  <c r="AS229" i="5"/>
  <c r="AU229" i="5" s="1"/>
  <c r="AD227" i="5"/>
  <c r="AE178" i="5"/>
  <c r="AD90" i="5"/>
  <c r="AS209" i="5"/>
  <c r="AD350" i="5"/>
  <c r="AD428" i="5"/>
  <c r="AE532" i="5"/>
  <c r="AS159" i="5"/>
  <c r="AT159" i="5" s="1"/>
  <c r="AD38" i="5"/>
  <c r="AS103" i="5"/>
  <c r="AT103" i="5" s="1"/>
  <c r="AE292" i="5"/>
  <c r="AD298" i="5"/>
  <c r="AE190" i="5"/>
  <c r="AD434" i="5"/>
  <c r="AS399" i="5"/>
  <c r="AU399" i="5" s="1"/>
  <c r="AE72" i="5"/>
  <c r="AU249" i="5"/>
  <c r="AD332" i="5"/>
  <c r="AS403" i="5"/>
  <c r="AT403" i="5" s="1"/>
  <c r="AE220" i="5"/>
  <c r="AE111" i="5"/>
  <c r="AU218" i="5"/>
  <c r="AE229" i="5"/>
  <c r="AS90" i="5"/>
  <c r="AT90" i="5" s="1"/>
  <c r="AS350" i="5"/>
  <c r="AT350" i="5" s="1"/>
  <c r="AE332" i="5"/>
  <c r="AE534" i="5"/>
  <c r="AT430" i="5"/>
  <c r="AE116" i="5"/>
  <c r="AU424" i="5"/>
  <c r="AS269" i="5"/>
  <c r="AT269" i="5" s="1"/>
  <c r="AE424" i="5"/>
  <c r="AD269" i="5"/>
  <c r="AE434" i="5"/>
  <c r="AD504" i="5"/>
  <c r="AE559" i="5"/>
  <c r="AS313" i="5"/>
  <c r="AT313" i="5" s="1"/>
  <c r="AE433" i="5"/>
  <c r="AT227" i="5"/>
  <c r="AE314" i="5"/>
  <c r="AS191" i="5"/>
  <c r="AU191" i="5" s="1"/>
  <c r="AS125" i="5"/>
  <c r="AU125" i="5" s="1"/>
  <c r="AD87" i="5"/>
  <c r="AD416" i="5"/>
  <c r="AD372" i="5"/>
  <c r="AS429" i="5"/>
  <c r="AU429" i="5" s="1"/>
  <c r="AD382" i="5"/>
  <c r="AD424" i="5"/>
  <c r="AE208" i="5"/>
  <c r="AD526" i="5"/>
  <c r="AE218" i="5"/>
  <c r="AD218" i="5"/>
  <c r="AS294" i="5"/>
  <c r="AT294" i="5" s="1"/>
  <c r="AE504" i="5"/>
  <c r="AS72" i="5"/>
  <c r="AD389" i="5"/>
  <c r="AS265" i="5"/>
  <c r="AT265" i="5" s="1"/>
  <c r="AD126" i="5"/>
  <c r="AE393" i="5"/>
  <c r="AS190" i="5"/>
  <c r="AU190" i="5" s="1"/>
  <c r="AE358" i="5"/>
  <c r="AD422" i="5"/>
  <c r="AE249" i="5"/>
  <c r="AD430" i="5"/>
  <c r="AE430" i="5"/>
  <c r="AE88" i="5"/>
  <c r="AS416" i="5"/>
  <c r="AU416" i="5" s="1"/>
  <c r="AD144" i="5"/>
  <c r="AD52" i="5"/>
  <c r="AS334" i="5"/>
  <c r="AS428" i="5"/>
  <c r="AD337" i="5"/>
  <c r="AD205" i="5"/>
  <c r="AE197" i="5"/>
  <c r="AT341" i="5"/>
  <c r="AT234" i="5"/>
  <c r="AS481" i="5"/>
  <c r="AT481" i="5" s="1"/>
  <c r="AD92" i="5"/>
  <c r="AD71" i="5"/>
  <c r="AS445" i="5"/>
  <c r="AT445" i="5" s="1"/>
  <c r="AS132" i="5"/>
  <c r="AT132" i="5" s="1"/>
  <c r="AE139" i="5"/>
  <c r="AS466" i="5"/>
  <c r="AT466" i="5" s="1"/>
  <c r="AD182" i="5"/>
  <c r="AD461" i="5"/>
  <c r="AS461" i="5"/>
  <c r="AE461" i="5"/>
  <c r="AS102" i="5"/>
  <c r="AT102" i="5" s="1"/>
  <c r="AE506" i="5"/>
  <c r="AD196" i="5"/>
  <c r="AT454" i="5"/>
  <c r="AE81" i="5"/>
  <c r="AE389" i="5"/>
  <c r="AE337" i="5"/>
  <c r="AE102" i="5"/>
  <c r="AE185" i="5"/>
  <c r="AT117" i="5"/>
  <c r="AD297" i="5"/>
  <c r="AS95" i="5"/>
  <c r="AT95" i="5" s="1"/>
  <c r="AE280" i="5"/>
  <c r="AS464" i="5"/>
  <c r="AU464" i="5" s="1"/>
  <c r="AD481" i="5"/>
  <c r="AD158" i="5"/>
  <c r="AS92" i="5"/>
  <c r="AT92" i="5" s="1"/>
  <c r="AE469" i="5"/>
  <c r="AE431" i="5"/>
  <c r="AE287" i="5"/>
  <c r="AD454" i="5"/>
  <c r="AS41" i="5"/>
  <c r="AU41" i="5" s="1"/>
  <c r="AD445" i="5"/>
  <c r="AE454" i="5"/>
  <c r="AE61" i="5"/>
  <c r="AS368" i="5"/>
  <c r="AT368" i="5" s="1"/>
  <c r="AS477" i="5"/>
  <c r="AT477" i="5" s="1"/>
  <c r="AE418" i="5"/>
  <c r="AE71" i="5"/>
  <c r="AE552" i="5"/>
  <c r="AD51" i="5"/>
  <c r="AE439" i="5"/>
  <c r="AU118" i="5"/>
  <c r="AD480" i="5"/>
  <c r="AD523" i="5"/>
  <c r="AD59" i="5"/>
  <c r="AE466" i="5"/>
  <c r="AS52" i="5"/>
  <c r="AE228" i="5"/>
  <c r="AE182" i="5"/>
  <c r="AS37" i="5"/>
  <c r="AU37" i="5" s="1"/>
  <c r="AU182" i="5"/>
  <c r="AD95" i="5"/>
  <c r="AD392" i="5"/>
  <c r="AE464" i="5"/>
  <c r="AT338" i="5"/>
  <c r="AD61" i="5"/>
  <c r="AS77" i="5"/>
  <c r="AT77" i="5" s="1"/>
  <c r="AE533" i="5"/>
  <c r="AS204" i="5"/>
  <c r="AU204" i="5" s="1"/>
  <c r="AS439" i="5"/>
  <c r="AT439" i="5" s="1"/>
  <c r="AD117" i="5"/>
  <c r="AS401" i="5"/>
  <c r="AT401" i="5" s="1"/>
  <c r="AE55" i="5"/>
  <c r="AS558" i="5"/>
  <c r="AT558" i="5" s="1"/>
  <c r="AD118" i="5"/>
  <c r="AU413" i="5"/>
  <c r="AT413" i="5"/>
  <c r="AX412" i="5" s="1"/>
  <c r="AD525" i="5"/>
  <c r="AS525" i="5"/>
  <c r="AT525" i="5" s="1"/>
  <c r="AD257" i="5"/>
  <c r="AS257" i="5"/>
  <c r="AU257" i="5" s="1"/>
  <c r="AE257" i="5"/>
  <c r="AS543" i="5"/>
  <c r="AU543" i="5" s="1"/>
  <c r="AD543" i="5"/>
  <c r="AE47" i="5"/>
  <c r="AS47" i="5"/>
  <c r="AT47" i="5" s="1"/>
  <c r="AX46" i="5" s="1"/>
  <c r="AY46" i="5" s="1"/>
  <c r="AD47" i="5"/>
  <c r="AD359" i="5"/>
  <c r="AE359" i="5"/>
  <c r="AS274" i="5"/>
  <c r="AD274" i="5"/>
  <c r="AE274" i="5"/>
  <c r="AS60" i="5"/>
  <c r="AD60" i="5"/>
  <c r="AE60" i="5"/>
  <c r="AE327" i="5"/>
  <c r="AD327" i="5"/>
  <c r="AS327" i="5"/>
  <c r="AU327" i="5" s="1"/>
  <c r="AS136" i="5"/>
  <c r="AU136" i="5" s="1"/>
  <c r="AD136" i="5"/>
  <c r="AS177" i="5"/>
  <c r="AD177" i="5"/>
  <c r="AE177" i="5"/>
  <c r="AS262" i="5"/>
  <c r="AD262" i="5"/>
  <c r="AE262" i="5"/>
  <c r="AD149" i="5"/>
  <c r="AS149" i="5"/>
  <c r="AU149" i="5" s="1"/>
  <c r="AD232" i="5"/>
  <c r="AS232" i="5"/>
  <c r="AU232" i="5" s="1"/>
  <c r="AE356" i="5"/>
  <c r="AS356" i="5"/>
  <c r="AU356" i="5" s="1"/>
  <c r="AD356" i="5"/>
  <c r="AD483" i="5"/>
  <c r="AS483" i="5"/>
  <c r="AT483" i="5" s="1"/>
  <c r="AS329" i="5"/>
  <c r="AT329" i="5" s="1"/>
  <c r="AD329" i="5"/>
  <c r="AS315" i="5"/>
  <c r="AU315" i="5" s="1"/>
  <c r="AD315" i="5"/>
  <c r="AT281" i="5"/>
  <c r="AU281" i="5"/>
  <c r="AS193" i="5"/>
  <c r="AU193" i="5" s="1"/>
  <c r="AD268" i="5"/>
  <c r="AD219" i="5"/>
  <c r="AE543" i="5"/>
  <c r="AE483" i="5"/>
  <c r="AE232" i="5"/>
  <c r="AD75" i="5"/>
  <c r="AS75" i="5"/>
  <c r="AU75" i="5" s="1"/>
  <c r="AD531" i="5"/>
  <c r="AS531" i="5"/>
  <c r="AT531" i="5" s="1"/>
  <c r="AS271" i="5"/>
  <c r="AT271" i="5" s="1"/>
  <c r="AE271" i="5"/>
  <c r="AD271" i="5"/>
  <c r="AS156" i="5"/>
  <c r="AD156" i="5"/>
  <c r="AT188" i="5"/>
  <c r="AU188" i="5"/>
  <c r="AE135" i="5"/>
  <c r="AS135" i="5"/>
  <c r="AT135" i="5" s="1"/>
  <c r="AS362" i="5"/>
  <c r="AT362" i="5" s="1"/>
  <c r="AE362" i="5"/>
  <c r="AD233" i="5"/>
  <c r="AS233" i="5"/>
  <c r="AT233" i="5" s="1"/>
  <c r="AD224" i="5"/>
  <c r="AS224" i="5"/>
  <c r="AT224" i="5" s="1"/>
  <c r="AX223" i="5" s="1"/>
  <c r="AY223" i="5" s="1"/>
  <c r="AE413" i="5"/>
  <c r="AD413" i="5"/>
  <c r="AD174" i="5"/>
  <c r="AE174" i="5"/>
  <c r="AE84" i="5"/>
  <c r="AS84" i="5"/>
  <c r="AT84" i="5" s="1"/>
  <c r="AD84" i="5"/>
  <c r="AD48" i="5"/>
  <c r="AS48" i="5"/>
  <c r="AU48" i="5" s="1"/>
  <c r="AD309" i="5"/>
  <c r="AE309" i="5"/>
  <c r="AS309" i="5"/>
  <c r="AT309" i="5" s="1"/>
  <c r="AX308" i="5" s="1"/>
  <c r="AS20" i="5"/>
  <c r="AU20" i="5" s="1"/>
  <c r="AE20" i="5"/>
  <c r="AE30" i="5"/>
  <c r="AS30" i="5"/>
  <c r="AT30" i="5" s="1"/>
  <c r="AD30" i="5"/>
  <c r="AD270" i="5"/>
  <c r="AE270" i="5"/>
  <c r="AS270" i="5"/>
  <c r="AT270" i="5" s="1"/>
  <c r="AE222" i="5"/>
  <c r="AD222" i="5"/>
  <c r="AS222" i="5"/>
  <c r="AT222" i="5" s="1"/>
  <c r="AX222" i="5" s="1"/>
  <c r="AY222" i="5" s="1"/>
  <c r="AE237" i="5"/>
  <c r="AS237" i="5"/>
  <c r="AT237" i="5" s="1"/>
  <c r="AE303" i="5"/>
  <c r="AS303" i="5"/>
  <c r="AU303" i="5" s="1"/>
  <c r="AD303" i="5"/>
  <c r="AE89" i="5"/>
  <c r="AS89" i="5"/>
  <c r="AS441" i="5"/>
  <c r="AT441" i="5" s="1"/>
  <c r="AD441" i="5"/>
  <c r="AD379" i="5"/>
  <c r="AE379" i="5"/>
  <c r="AS153" i="5"/>
  <c r="AE153" i="5"/>
  <c r="AD435" i="5"/>
  <c r="AS435" i="5"/>
  <c r="AE435" i="5"/>
  <c r="AS458" i="5"/>
  <c r="AU458" i="5" s="1"/>
  <c r="AD458" i="5"/>
  <c r="AE452" i="5"/>
  <c r="AS452" i="5"/>
  <c r="AU452" i="5" s="1"/>
  <c r="AS212" i="5"/>
  <c r="AU212" i="5" s="1"/>
  <c r="AD154" i="5"/>
  <c r="AE275" i="5"/>
  <c r="AS359" i="5"/>
  <c r="AU359" i="5" s="1"/>
  <c r="AS244" i="5"/>
  <c r="AT244" i="5" s="1"/>
  <c r="AS39" i="5"/>
  <c r="AT39" i="5" s="1"/>
  <c r="AE136" i="5"/>
  <c r="AS379" i="5"/>
  <c r="AU379" i="5" s="1"/>
  <c r="AD275" i="5"/>
  <c r="AE525" i="5"/>
  <c r="AE343" i="5"/>
  <c r="AS343" i="5"/>
  <c r="AT343" i="5" s="1"/>
  <c r="AS460" i="5"/>
  <c r="AU460" i="5" s="1"/>
  <c r="AD286" i="5"/>
  <c r="AD506" i="5"/>
  <c r="AT109" i="5"/>
  <c r="AE381" i="5"/>
  <c r="AD21" i="5"/>
  <c r="AD380" i="5"/>
  <c r="AD549" i="5"/>
  <c r="AS371" i="5"/>
  <c r="AU371" i="5" s="1"/>
  <c r="AD81" i="5"/>
  <c r="AE341" i="5"/>
  <c r="AD105" i="5"/>
  <c r="AD204" i="5"/>
  <c r="AD477" i="5"/>
  <c r="AE77" i="5"/>
  <c r="AE109" i="5"/>
  <c r="AS198" i="5"/>
  <c r="AT198" i="5" s="1"/>
  <c r="AD198" i="5"/>
  <c r="AE118" i="5"/>
  <c r="AS59" i="5"/>
  <c r="AT59" i="5" s="1"/>
  <c r="AS228" i="5"/>
  <c r="AD145" i="5"/>
  <c r="AE145" i="5"/>
  <c r="AS420" i="5"/>
  <c r="AE420" i="5"/>
  <c r="AD188" i="5"/>
  <c r="AE188" i="5"/>
  <c r="AE403" i="5"/>
  <c r="AS230" i="5"/>
  <c r="AT230" i="5" s="1"/>
  <c r="AE173" i="5"/>
  <c r="AE459" i="5"/>
  <c r="AE480" i="5"/>
  <c r="AD401" i="5"/>
  <c r="AD338" i="5"/>
  <c r="AD109" i="5"/>
  <c r="AE79" i="5"/>
  <c r="AS79" i="5"/>
  <c r="AD539" i="5"/>
  <c r="AS539" i="5"/>
  <c r="AE539" i="5"/>
  <c r="AD444" i="5"/>
  <c r="AS444" i="5"/>
  <c r="AD465" i="5"/>
  <c r="AS465" i="5"/>
  <c r="AE465" i="5"/>
  <c r="AT157" i="5"/>
  <c r="AE519" i="5"/>
  <c r="AE151" i="5"/>
  <c r="AE214" i="5"/>
  <c r="AS87" i="5"/>
  <c r="AU87" i="5" s="1"/>
  <c r="AT147" i="5"/>
  <c r="AX146" i="5" s="1"/>
  <c r="AY146" i="5" s="1"/>
  <c r="AU105" i="5"/>
  <c r="AU62" i="5"/>
  <c r="AS431" i="5"/>
  <c r="AU431" i="5" s="1"/>
  <c r="AD50" i="5"/>
  <c r="AD400" i="5"/>
  <c r="AS86" i="5"/>
  <c r="AE141" i="5"/>
  <c r="AE121" i="5"/>
  <c r="AS74" i="5"/>
  <c r="AT74" i="5" s="1"/>
  <c r="AE260" i="5"/>
  <c r="AS195" i="5"/>
  <c r="AU195" i="5" s="1"/>
  <c r="AE62" i="5"/>
  <c r="AE164" i="5"/>
  <c r="AD399" i="5"/>
  <c r="AD215" i="5"/>
  <c r="AS513" i="5"/>
  <c r="AU513" i="5" s="1"/>
  <c r="AD183" i="5"/>
  <c r="AD129" i="5"/>
  <c r="AE105" i="5"/>
  <c r="AS374" i="5"/>
  <c r="AU374" i="5" s="1"/>
  <c r="AE265" i="5"/>
  <c r="AD93" i="5"/>
  <c r="AT141" i="5"/>
  <c r="AS185" i="5"/>
  <c r="AU185" i="5" s="1"/>
  <c r="AS180" i="5"/>
  <c r="AT180" i="5" s="1"/>
  <c r="AX179" i="5" s="1"/>
  <c r="AY179" i="5" s="1"/>
  <c r="AD151" i="5"/>
  <c r="AE264" i="5"/>
  <c r="AE317" i="5"/>
  <c r="AE187" i="5"/>
  <c r="AE286" i="5"/>
  <c r="AD357" i="5"/>
  <c r="AD517" i="5"/>
  <c r="AS93" i="5"/>
  <c r="AT93" i="5" s="1"/>
  <c r="AE138" i="5"/>
  <c r="AD277" i="5"/>
  <c r="AE267" i="5"/>
  <c r="AD192" i="5"/>
  <c r="AD62" i="5"/>
  <c r="AS42" i="5"/>
  <c r="AU42" i="5" s="1"/>
  <c r="AD41" i="5"/>
  <c r="AD260" i="5"/>
  <c r="AS129" i="5"/>
  <c r="AU129" i="5" s="1"/>
  <c r="AE86" i="5"/>
  <c r="AD374" i="5"/>
  <c r="AD201" i="5"/>
  <c r="AD112" i="5"/>
  <c r="AE216" i="5"/>
  <c r="AS453" i="5"/>
  <c r="AT453" i="5" s="1"/>
  <c r="AE147" i="5"/>
  <c r="AU54" i="5"/>
  <c r="AT54" i="5"/>
  <c r="AT100" i="5"/>
  <c r="AU100" i="5"/>
  <c r="AT162" i="5"/>
  <c r="AU162" i="5"/>
  <c r="AU213" i="5"/>
  <c r="AT213" i="5"/>
  <c r="AS143" i="5"/>
  <c r="AT143" i="5" s="1"/>
  <c r="AD113" i="5"/>
  <c r="AS432" i="5"/>
  <c r="AT432" i="5" s="1"/>
  <c r="AS387" i="5"/>
  <c r="AT387" i="5" s="1"/>
  <c r="AE392" i="5"/>
  <c r="AD317" i="5"/>
  <c r="AD267" i="5"/>
  <c r="AU33" i="5"/>
  <c r="AE344" i="5"/>
  <c r="AS106" i="5"/>
  <c r="AU106" i="5" s="1"/>
  <c r="AS469" i="5"/>
  <c r="AT469" i="5" s="1"/>
  <c r="AX468" i="5" s="1"/>
  <c r="AY468" i="5" s="1"/>
  <c r="AS511" i="5"/>
  <c r="AT511" i="5" s="1"/>
  <c r="AX511" i="5" s="1"/>
  <c r="AY511" i="5" s="1"/>
  <c r="AD425" i="5"/>
  <c r="AS172" i="5"/>
  <c r="AT172" i="5" s="1"/>
  <c r="AS55" i="5"/>
  <c r="AT55" i="5" s="1"/>
  <c r="AS139" i="5"/>
  <c r="AT139" i="5" s="1"/>
  <c r="AE293" i="5"/>
  <c r="AS306" i="5"/>
  <c r="AU306" i="5" s="1"/>
  <c r="AD263" i="5"/>
  <c r="AD319" i="5"/>
  <c r="AS121" i="5"/>
  <c r="AT121" i="5" s="1"/>
  <c r="AE24" i="5"/>
  <c r="AS225" i="5"/>
  <c r="AT225" i="5" s="1"/>
  <c r="AE319" i="5"/>
  <c r="AD453" i="5"/>
  <c r="AE33" i="5"/>
  <c r="AS236" i="5"/>
  <c r="AU236" i="5" s="1"/>
  <c r="AS167" i="5"/>
  <c r="AD162" i="5"/>
  <c r="AE162" i="5"/>
  <c r="AS312" i="5"/>
  <c r="AD312" i="5"/>
  <c r="AD210" i="5"/>
  <c r="AS210" i="5"/>
  <c r="AE210" i="5"/>
  <c r="AS31" i="5"/>
  <c r="AE31" i="5"/>
  <c r="AD31" i="5"/>
  <c r="AS23" i="5"/>
  <c r="AD23" i="5"/>
  <c r="AS246" i="5"/>
  <c r="AE246" i="5"/>
  <c r="AD246" i="5"/>
  <c r="AS383" i="5"/>
  <c r="AU383" i="5" s="1"/>
  <c r="AS277" i="5"/>
  <c r="AT277" i="5" s="1"/>
  <c r="AD37" i="5"/>
  <c r="AU528" i="5"/>
  <c r="AS205" i="5"/>
  <c r="AU205" i="5" s="1"/>
  <c r="AE211" i="5"/>
  <c r="AS138" i="5"/>
  <c r="AT138" i="5" s="1"/>
  <c r="AS264" i="5"/>
  <c r="AU264" i="5" s="1"/>
  <c r="AS293" i="5"/>
  <c r="AD236" i="5"/>
  <c r="AE167" i="5"/>
  <c r="AE104" i="5"/>
  <c r="AD104" i="5"/>
  <c r="AS104" i="5"/>
  <c r="AS423" i="5"/>
  <c r="AE423" i="5"/>
  <c r="AD348" i="5"/>
  <c r="AE348" i="5"/>
  <c r="AS348" i="5"/>
  <c r="AS211" i="5"/>
  <c r="AT211" i="5" s="1"/>
  <c r="AE322" i="5"/>
  <c r="AT319" i="5"/>
  <c r="AS196" i="5"/>
  <c r="AU196" i="5" s="1"/>
  <c r="AD383" i="5"/>
  <c r="AS322" i="5"/>
  <c r="AT322" i="5" s="1"/>
  <c r="AD432" i="5"/>
  <c r="AE217" i="5"/>
  <c r="AE106" i="5"/>
  <c r="AE511" i="5"/>
  <c r="AT305" i="5"/>
  <c r="AD528" i="5"/>
  <c r="AE242" i="5"/>
  <c r="AD216" i="5"/>
  <c r="AU422" i="5"/>
  <c r="AS545" i="5"/>
  <c r="AT545" i="5" s="1"/>
  <c r="AD217" i="5"/>
  <c r="AS112" i="5"/>
  <c r="AT112" i="5" s="1"/>
  <c r="AD234" i="5"/>
  <c r="AE528" i="5"/>
  <c r="AE120" i="5"/>
  <c r="AE234" i="5"/>
  <c r="AS120" i="5"/>
  <c r="AT120" i="5" s="1"/>
  <c r="AD67" i="5"/>
  <c r="AS208" i="5"/>
  <c r="AT208" i="5" s="1"/>
  <c r="AD306" i="5"/>
  <c r="AS67" i="5"/>
  <c r="AU67" i="5" s="1"/>
  <c r="AD172" i="5"/>
  <c r="AE117" i="5"/>
  <c r="AS358" i="5"/>
  <c r="AD294" i="5"/>
  <c r="AE224" i="5"/>
  <c r="AS26" i="5"/>
  <c r="AD26" i="5"/>
  <c r="AD415" i="5"/>
  <c r="AS415" i="5"/>
  <c r="AE527" i="5"/>
  <c r="AS527" i="5"/>
  <c r="AD527" i="5"/>
  <c r="AS535" i="5"/>
  <c r="AE535" i="5"/>
  <c r="AU252" i="5"/>
  <c r="AT252" i="5"/>
  <c r="AE245" i="5"/>
  <c r="AD245" i="5"/>
  <c r="AU451" i="5"/>
  <c r="AD502" i="5"/>
  <c r="AE75" i="5"/>
  <c r="AD343" i="5"/>
  <c r="AE143" i="5"/>
  <c r="AS314" i="5"/>
  <c r="AT314" i="5" s="1"/>
  <c r="AD82" i="5"/>
  <c r="AS158" i="5"/>
  <c r="AT158" i="5" s="1"/>
  <c r="AD135" i="5"/>
  <c r="AS552" i="5"/>
  <c r="AU552" i="5" s="1"/>
  <c r="AE502" i="5"/>
  <c r="AE419" i="5"/>
  <c r="AS261" i="5"/>
  <c r="AU261" i="5" s="1"/>
  <c r="AU179" i="5"/>
  <c r="AE517" i="5"/>
  <c r="AS519" i="5"/>
  <c r="AT519" i="5" s="1"/>
  <c r="AD244" i="5"/>
  <c r="AD194" i="5"/>
  <c r="AS297" i="5"/>
  <c r="AT297" i="5" s="1"/>
  <c r="AD230" i="5"/>
  <c r="AT215" i="5"/>
  <c r="AX214" i="5" s="1"/>
  <c r="AY214" i="5" s="1"/>
  <c r="AS82" i="5"/>
  <c r="AU82" i="5" s="1"/>
  <c r="AE545" i="5"/>
  <c r="AE166" i="5"/>
  <c r="AD371" i="5"/>
  <c r="AE192" i="5"/>
  <c r="AD173" i="5"/>
  <c r="AU214" i="5"/>
  <c r="AT183" i="5"/>
  <c r="AX182" i="5" s="1"/>
  <c r="AY182" i="5" s="1"/>
  <c r="AU51" i="5"/>
  <c r="AT311" i="5"/>
  <c r="AD513" i="5"/>
  <c r="AD362" i="5"/>
  <c r="AS119" i="5"/>
  <c r="AU119" i="5" s="1"/>
  <c r="AE114" i="5"/>
  <c r="AS400" i="5"/>
  <c r="AE225" i="5"/>
  <c r="AS73" i="5"/>
  <c r="AE299" i="5"/>
  <c r="AS287" i="5"/>
  <c r="AT287" i="5" s="1"/>
  <c r="AD179" i="5"/>
  <c r="AD214" i="5"/>
  <c r="AE156" i="5"/>
  <c r="AE429" i="5"/>
  <c r="AE522" i="5"/>
  <c r="AE305" i="5"/>
  <c r="AE215" i="5"/>
  <c r="AS164" i="5"/>
  <c r="AT164" i="5" s="1"/>
  <c r="AS245" i="5"/>
  <c r="AU245" i="5" s="1"/>
  <c r="AD295" i="5"/>
  <c r="AE295" i="5"/>
  <c r="AS295" i="5"/>
  <c r="AD199" i="5"/>
  <c r="AS199" i="5"/>
  <c r="AE199" i="5"/>
  <c r="AE284" i="5"/>
  <c r="AD284" i="5"/>
  <c r="AS284" i="5"/>
  <c r="AS168" i="5"/>
  <c r="AE168" i="5"/>
  <c r="AD168" i="5"/>
  <c r="AS419" i="5"/>
  <c r="AU419" i="5" s="1"/>
  <c r="AD261" i="5"/>
  <c r="AE126" i="5"/>
  <c r="AS36" i="5"/>
  <c r="AT36" i="5" s="1"/>
  <c r="AS114" i="5"/>
  <c r="AT114" i="5" s="1"/>
  <c r="AE316" i="5"/>
  <c r="AE68" i="5"/>
  <c r="AS68" i="5"/>
  <c r="AS459" i="5"/>
  <c r="AT459" i="5" s="1"/>
  <c r="AE51" i="5"/>
  <c r="AS291" i="5"/>
  <c r="AT291" i="5" s="1"/>
  <c r="AD291" i="5"/>
  <c r="AS240" i="5"/>
  <c r="AU240" i="5" s="1"/>
  <c r="AD73" i="5"/>
  <c r="AE133" i="5"/>
  <c r="AE240" i="5"/>
  <c r="AD157" i="5"/>
  <c r="AD311" i="5"/>
  <c r="AE157" i="5"/>
  <c r="AE183" i="5"/>
  <c r="AD147" i="5"/>
  <c r="AD54" i="5"/>
  <c r="AE54" i="5"/>
  <c r="AE100" i="5"/>
  <c r="AD100" i="5"/>
  <c r="AD285" i="5"/>
  <c r="AE285" i="5"/>
  <c r="AD474" i="5"/>
  <c r="AS474" i="5"/>
  <c r="AE474" i="5"/>
  <c r="AS292" i="5"/>
  <c r="AU292" i="5" s="1"/>
  <c r="AS187" i="5"/>
  <c r="AT187" i="5" s="1"/>
  <c r="AD125" i="5"/>
  <c r="AD304" i="5"/>
  <c r="AE74" i="5"/>
  <c r="AE171" i="5"/>
  <c r="AS285" i="5"/>
  <c r="AD40" i="5"/>
  <c r="AE40" i="5"/>
  <c r="AS40" i="5"/>
  <c r="AE213" i="5"/>
  <c r="AD213" i="5"/>
  <c r="AE28" i="5"/>
  <c r="AS28" i="5"/>
  <c r="AD28" i="5"/>
  <c r="AS170" i="5"/>
  <c r="AE170" i="5"/>
  <c r="AE124" i="5"/>
  <c r="AU145" i="5"/>
  <c r="AD80" i="5"/>
  <c r="AD171" i="5"/>
  <c r="AE531" i="5"/>
  <c r="AD369" i="5"/>
  <c r="AE165" i="5"/>
  <c r="AD252" i="5"/>
  <c r="AE252" i="5"/>
  <c r="AE518" i="5"/>
  <c r="AS518" i="5"/>
  <c r="AS124" i="5"/>
  <c r="AT124" i="5" s="1"/>
  <c r="AE387" i="5"/>
  <c r="AS304" i="5"/>
  <c r="AT304" i="5" s="1"/>
  <c r="AT171" i="5"/>
  <c r="AS80" i="5"/>
  <c r="AD170" i="5"/>
  <c r="AS165" i="5"/>
  <c r="AD518" i="5"/>
  <c r="AD305" i="5"/>
  <c r="AE333" i="5"/>
  <c r="AS369" i="5"/>
  <c r="AU369" i="5" s="1"/>
  <c r="AE529" i="5"/>
  <c r="AS529" i="5"/>
  <c r="AD529" i="5"/>
  <c r="AE254" i="5"/>
  <c r="AS254" i="5"/>
  <c r="AD123" i="5"/>
  <c r="AS123" i="5"/>
  <c r="AD346" i="5"/>
  <c r="AE346" i="5"/>
  <c r="AS346" i="5"/>
  <c r="AD398" i="5"/>
  <c r="AE398" i="5"/>
  <c r="AS398" i="5"/>
  <c r="AS386" i="5"/>
  <c r="AE386" i="5"/>
  <c r="AD386" i="5"/>
  <c r="AD56" i="5"/>
  <c r="AS56" i="5"/>
  <c r="AS91" i="5"/>
  <c r="AT91" i="5" s="1"/>
  <c r="AT339" i="5"/>
  <c r="AD184" i="5"/>
  <c r="AD155" i="5"/>
  <c r="AS155" i="5"/>
  <c r="AE352" i="5"/>
  <c r="AD352" i="5"/>
  <c r="AE544" i="5"/>
  <c r="AS544" i="5"/>
  <c r="AD544" i="5"/>
  <c r="AD221" i="5"/>
  <c r="AS166" i="5"/>
  <c r="AT166" i="5" s="1"/>
  <c r="AS437" i="5"/>
  <c r="AT437" i="5" s="1"/>
  <c r="AE32" i="5"/>
  <c r="AE184" i="5"/>
  <c r="AE119" i="5"/>
  <c r="AS242" i="5"/>
  <c r="AT242" i="5" s="1"/>
  <c r="AE140" i="5"/>
  <c r="AE155" i="5"/>
  <c r="AE451" i="5"/>
  <c r="AD407" i="5"/>
  <c r="AS263" i="5"/>
  <c r="AT263" i="5" s="1"/>
  <c r="AD299" i="5"/>
  <c r="AD361" i="5"/>
  <c r="AS361" i="5"/>
  <c r="AU361" i="5" s="1"/>
  <c r="AS181" i="5"/>
  <c r="AD181" i="5"/>
  <c r="AE181" i="5"/>
  <c r="AD101" i="5"/>
  <c r="AS101" i="5"/>
  <c r="AS122" i="5"/>
  <c r="AD122" i="5"/>
  <c r="AE122" i="5"/>
  <c r="AS503" i="5"/>
  <c r="AE503" i="5"/>
  <c r="AD503" i="5"/>
  <c r="AD63" i="5"/>
  <c r="AS221" i="5"/>
  <c r="AT221" i="5" s="1"/>
  <c r="AD280" i="5"/>
  <c r="AE404" i="5"/>
  <c r="AE123" i="5"/>
  <c r="AD451" i="5"/>
  <c r="AS316" i="5"/>
  <c r="AT316" i="5" s="1"/>
  <c r="AS407" i="5"/>
  <c r="AS140" i="5"/>
  <c r="AT140" i="5" s="1"/>
  <c r="AS24" i="5"/>
  <c r="AT24" i="5" s="1"/>
  <c r="AS133" i="5"/>
  <c r="AT133" i="5" s="1"/>
  <c r="AE311" i="5"/>
  <c r="AE476" i="5"/>
  <c r="AS476" i="5"/>
  <c r="AS243" i="5"/>
  <c r="AD243" i="5"/>
  <c r="AE243" i="5"/>
  <c r="AT352" i="5"/>
  <c r="AD98" i="5"/>
  <c r="AS98" i="5"/>
  <c r="AE98" i="5"/>
  <c r="AE302" i="5"/>
  <c r="AE91" i="5"/>
  <c r="AD32" i="5"/>
  <c r="AS404" i="5"/>
  <c r="AT404" i="5" s="1"/>
  <c r="AS176" i="5"/>
  <c r="AD176" i="5"/>
  <c r="AE176" i="5"/>
  <c r="AE63" i="5"/>
  <c r="AS302" i="5"/>
  <c r="AT302" i="5" s="1"/>
  <c r="AE307" i="5"/>
  <c r="AD307" i="5"/>
  <c r="AS307" i="5"/>
  <c r="AT160" i="5"/>
  <c r="AU160" i="5"/>
  <c r="AU389" i="5"/>
  <c r="AT389" i="5"/>
  <c r="AU57" i="5"/>
  <c r="AT57" i="5"/>
  <c r="AU433" i="5"/>
  <c r="AT433" i="5"/>
  <c r="AU506" i="5"/>
  <c r="AT506" i="5"/>
  <c r="AU301" i="5"/>
  <c r="AT301" i="5"/>
  <c r="AT70" i="5"/>
  <c r="AX69" i="5" s="1"/>
  <c r="AY69" i="5" s="1"/>
  <c r="AU70" i="5"/>
  <c r="AT63" i="5"/>
  <c r="AX62" i="5" s="1"/>
  <c r="AY62" i="5" s="1"/>
  <c r="AU63" i="5"/>
  <c r="AU475" i="5"/>
  <c r="AT475" i="5"/>
  <c r="AU258" i="5"/>
  <c r="AT258" i="5"/>
  <c r="AT126" i="5"/>
  <c r="AU126" i="5"/>
  <c r="AU142" i="5"/>
  <c r="AT142" i="5"/>
  <c r="AT78" i="5"/>
  <c r="AU78" i="5"/>
  <c r="AT317" i="5"/>
  <c r="AU317" i="5"/>
  <c r="AU283" i="5"/>
  <c r="AT283" i="5"/>
  <c r="AU280" i="5"/>
  <c r="AT280" i="5"/>
  <c r="AU538" i="5"/>
  <c r="AT538" i="5"/>
  <c r="AU353" i="5"/>
  <c r="AT353" i="5"/>
  <c r="AT49" i="5"/>
  <c r="AU49" i="5"/>
  <c r="AU202" i="5"/>
  <c r="AT202" i="5"/>
  <c r="AX201" i="5" s="1"/>
  <c r="AY201" i="5" s="1"/>
  <c r="AT27" i="5"/>
  <c r="AU27" i="5"/>
  <c r="AT557" i="5"/>
  <c r="AU557" i="5"/>
  <c r="AU267" i="5"/>
  <c r="AT267" i="5"/>
  <c r="AU357" i="5"/>
  <c r="AT357" i="5"/>
  <c r="AT479" i="5"/>
  <c r="AU479" i="5"/>
  <c r="AT113" i="5"/>
  <c r="AU113" i="5"/>
  <c r="AU256" i="5"/>
  <c r="AT256" i="5"/>
  <c r="AU231" i="5"/>
  <c r="AT231" i="5"/>
  <c r="AT366" i="5"/>
  <c r="AU366" i="5"/>
  <c r="AU344" i="5"/>
  <c r="AT344" i="5"/>
  <c r="AU217" i="5"/>
  <c r="AT217" i="5"/>
  <c r="AX216" i="5" s="1"/>
  <c r="AY216" i="5" s="1"/>
  <c r="AT192" i="5"/>
  <c r="AU192" i="5"/>
  <c r="AU173" i="5"/>
  <c r="AT173" i="5"/>
  <c r="AU116" i="5"/>
  <c r="AT116" i="5"/>
  <c r="AU364" i="5"/>
  <c r="AT364" i="5"/>
  <c r="AU393" i="5"/>
  <c r="AT393" i="5"/>
  <c r="AU502" i="5"/>
  <c r="AT502" i="5"/>
  <c r="AT446" i="5"/>
  <c r="AX445" i="5" s="1"/>
  <c r="AU446" i="5"/>
  <c r="AU448" i="5"/>
  <c r="AT448" i="5"/>
  <c r="AX447" i="5" s="1"/>
  <c r="AY447" i="5" s="1"/>
  <c r="AT392" i="5"/>
  <c r="AX391" i="5" s="1"/>
  <c r="AU392" i="5"/>
  <c r="AT238" i="5"/>
  <c r="AU238" i="5"/>
  <c r="AT286" i="5"/>
  <c r="AU286" i="5"/>
  <c r="AT206" i="5"/>
  <c r="AU206" i="5"/>
  <c r="AU517" i="5"/>
  <c r="AT517" i="5"/>
  <c r="AT337" i="5"/>
  <c r="AU337" i="5"/>
  <c r="AT248" i="5"/>
  <c r="AU248" i="5"/>
  <c r="AT247" i="5"/>
  <c r="AU247" i="5"/>
  <c r="AT332" i="5"/>
  <c r="AU332" i="5"/>
  <c r="AT408" i="5"/>
  <c r="AU408" i="5"/>
  <c r="AU151" i="5"/>
  <c r="AT151" i="5"/>
  <c r="AU510" i="5"/>
  <c r="AT510" i="5"/>
  <c r="AU21" i="5"/>
  <c r="AT21" i="5"/>
  <c r="AU200" i="5"/>
  <c r="AT200" i="5"/>
  <c r="AX200" i="5" s="1"/>
  <c r="AY200" i="5" s="1"/>
  <c r="AT290" i="5"/>
  <c r="AU290" i="5"/>
  <c r="AT32" i="5"/>
  <c r="AU32" i="5"/>
  <c r="AT275" i="5"/>
  <c r="AU275" i="5"/>
  <c r="AU508" i="5"/>
  <c r="AT508" i="5"/>
  <c r="AU365" i="5"/>
  <c r="AT365" i="5"/>
  <c r="AU184" i="5"/>
  <c r="AT184" i="5"/>
  <c r="B75" i="2"/>
  <c r="B76" i="2"/>
  <c r="BH153" i="4" l="1"/>
  <c r="BJ153" i="4" s="1"/>
  <c r="BK153" i="4" s="1"/>
  <c r="BR199" i="4"/>
  <c r="AY308" i="5"/>
  <c r="BE256" i="4"/>
  <c r="BQ256" i="4" s="1"/>
  <c r="Y200" i="4"/>
  <c r="AK200" i="4" s="1"/>
  <c r="BE222" i="4"/>
  <c r="BQ222" i="4" s="1"/>
  <c r="Y164" i="4"/>
  <c r="AK164" i="4" s="1"/>
  <c r="AB274" i="4"/>
  <c r="AD274" i="4" s="1"/>
  <c r="AE274" i="4" s="1"/>
  <c r="BH235" i="4"/>
  <c r="BJ235" i="4" s="1"/>
  <c r="BK235" i="4" s="1"/>
  <c r="BH226" i="4"/>
  <c r="BJ226" i="4" s="1"/>
  <c r="BK226" i="4" s="1"/>
  <c r="BE257" i="4"/>
  <c r="BQ257" i="4" s="1"/>
  <c r="Y255" i="4"/>
  <c r="AK255" i="4" s="1"/>
  <c r="BH241" i="4"/>
  <c r="BJ241" i="4" s="1"/>
  <c r="BK241" i="4" s="1"/>
  <c r="BE291" i="4"/>
  <c r="BQ291" i="4" s="1"/>
  <c r="Y225" i="4"/>
  <c r="AK225" i="4" s="1"/>
  <c r="Y279" i="4"/>
  <c r="AK279" i="4" s="1"/>
  <c r="BH278" i="4"/>
  <c r="BJ278" i="4" s="1"/>
  <c r="BK278" i="4" s="1"/>
  <c r="Y254" i="4"/>
  <c r="AB254" i="4" s="1"/>
  <c r="AD254" i="4" s="1"/>
  <c r="AE254" i="4" s="1"/>
  <c r="BE262" i="4"/>
  <c r="BQ262" i="4" s="1"/>
  <c r="AH234" i="4"/>
  <c r="AJ234" i="4" s="1"/>
  <c r="AS234" i="4" s="1"/>
  <c r="Y185" i="4"/>
  <c r="AK185" i="4" s="1"/>
  <c r="BH187" i="4"/>
  <c r="BJ187" i="4" s="1"/>
  <c r="BK187" i="4" s="1"/>
  <c r="BH132" i="4"/>
  <c r="BJ132" i="4" s="1"/>
  <c r="BK132" i="4" s="1"/>
  <c r="BH163" i="4"/>
  <c r="BJ163" i="4" s="1"/>
  <c r="BK163" i="4" s="1"/>
  <c r="Y161" i="4"/>
  <c r="AK161" i="4" s="1"/>
  <c r="Y159" i="4"/>
  <c r="AK159" i="4" s="1"/>
  <c r="BE179" i="4"/>
  <c r="BR179" i="4" s="1"/>
  <c r="Y217" i="4"/>
  <c r="AK217" i="4" s="1"/>
  <c r="Y238" i="4"/>
  <c r="AK238" i="4" s="1"/>
  <c r="BE253" i="4"/>
  <c r="BQ253" i="4" s="1"/>
  <c r="AX507" i="5"/>
  <c r="AY507" i="5" s="1"/>
  <c r="AX509" i="5"/>
  <c r="AY509" i="5" s="1"/>
  <c r="BH296" i="4"/>
  <c r="BJ296" i="4" s="1"/>
  <c r="BK296" i="4" s="1"/>
  <c r="AB257" i="4"/>
  <c r="AD257" i="4" s="1"/>
  <c r="AE257" i="4" s="1"/>
  <c r="Y300" i="4"/>
  <c r="AK300" i="4" s="1"/>
  <c r="BH311" i="4"/>
  <c r="BJ311" i="4" s="1"/>
  <c r="BK311" i="4" s="1"/>
  <c r="AB305" i="4"/>
  <c r="AD305" i="4" s="1"/>
  <c r="AE305" i="4" s="1"/>
  <c r="AB311" i="4"/>
  <c r="AD311" i="4" s="1"/>
  <c r="AE311" i="4" s="1"/>
  <c r="AB252" i="4"/>
  <c r="AD252" i="4" s="1"/>
  <c r="AE252" i="4" s="1"/>
  <c r="BH308" i="4"/>
  <c r="BJ308" i="4" s="1"/>
  <c r="BK308" i="4" s="1"/>
  <c r="BE316" i="4"/>
  <c r="BQ316" i="4" s="1"/>
  <c r="BE188" i="4"/>
  <c r="BQ188" i="4" s="1"/>
  <c r="Y160" i="4"/>
  <c r="AB160" i="4" s="1"/>
  <c r="AD160" i="4" s="1"/>
  <c r="AE160" i="4" s="1"/>
  <c r="BE229" i="4"/>
  <c r="BH229" i="4" s="1"/>
  <c r="BJ229" i="4" s="1"/>
  <c r="BK229" i="4" s="1"/>
  <c r="Y184" i="4"/>
  <c r="AK184" i="4" s="1"/>
  <c r="AB215" i="4"/>
  <c r="AD215" i="4" s="1"/>
  <c r="AE215" i="4" s="1"/>
  <c r="BE224" i="4"/>
  <c r="BQ224" i="4" s="1"/>
  <c r="AB204" i="4"/>
  <c r="AD204" i="4" s="1"/>
  <c r="AE204" i="4" s="1"/>
  <c r="BH206" i="4"/>
  <c r="BJ206" i="4" s="1"/>
  <c r="BK206" i="4" s="1"/>
  <c r="AK299" i="4"/>
  <c r="AB299" i="4"/>
  <c r="AD299" i="4" s="1"/>
  <c r="AE299" i="4" s="1"/>
  <c r="BQ323" i="4"/>
  <c r="BH323" i="4"/>
  <c r="BJ323" i="4" s="1"/>
  <c r="BK323" i="4" s="1"/>
  <c r="BE301" i="4"/>
  <c r="BR301" i="4" s="1"/>
  <c r="BE298" i="4"/>
  <c r="BH298" i="4" s="1"/>
  <c r="BJ298" i="4" s="1"/>
  <c r="BK298" i="4" s="1"/>
  <c r="BE319" i="4"/>
  <c r="BQ319" i="4" s="1"/>
  <c r="BH287" i="4"/>
  <c r="BJ287" i="4" s="1"/>
  <c r="BK287" i="4" s="1"/>
  <c r="AB181" i="4"/>
  <c r="AD181" i="4" s="1"/>
  <c r="AE181" i="4" s="1"/>
  <c r="BH246" i="4"/>
  <c r="BJ246" i="4" s="1"/>
  <c r="BK246" i="4" s="1"/>
  <c r="BH274" i="4"/>
  <c r="BJ274" i="4" s="1"/>
  <c r="BK274" i="4" s="1"/>
  <c r="BE260" i="4"/>
  <c r="BQ260" i="4" s="1"/>
  <c r="Y292" i="4"/>
  <c r="AK292" i="4" s="1"/>
  <c r="BE288" i="4"/>
  <c r="BQ288" i="4" s="1"/>
  <c r="BH250" i="4"/>
  <c r="BJ250" i="4" s="1"/>
  <c r="BK250" i="4" s="1"/>
  <c r="BE174" i="4"/>
  <c r="BQ174" i="4" s="1"/>
  <c r="BH270" i="4"/>
  <c r="BJ270" i="4" s="1"/>
  <c r="BK270" i="4" s="1"/>
  <c r="AB260" i="4"/>
  <c r="AD260" i="4" s="1"/>
  <c r="AE260" i="4" s="1"/>
  <c r="BH245" i="4"/>
  <c r="BJ245" i="4" s="1"/>
  <c r="BK245" i="4" s="1"/>
  <c r="BH242" i="4"/>
  <c r="BJ242" i="4" s="1"/>
  <c r="BK242" i="4" s="1"/>
  <c r="AB143" i="4"/>
  <c r="AD143" i="4" s="1"/>
  <c r="AE143" i="4" s="1"/>
  <c r="BE195" i="4"/>
  <c r="BH195" i="4" s="1"/>
  <c r="BJ195" i="4" s="1"/>
  <c r="BK195" i="4" s="1"/>
  <c r="Y169" i="4"/>
  <c r="AB169" i="4" s="1"/>
  <c r="AD169" i="4" s="1"/>
  <c r="AE169" i="4" s="1"/>
  <c r="BE268" i="4"/>
  <c r="BQ268" i="4" s="1"/>
  <c r="AB189" i="4"/>
  <c r="AD189" i="4" s="1"/>
  <c r="AE189" i="4" s="1"/>
  <c r="AB319" i="4"/>
  <c r="AD319" i="4" s="1"/>
  <c r="AE319" i="4" s="1"/>
  <c r="AB269" i="4"/>
  <c r="AD269" i="4" s="1"/>
  <c r="AE269" i="4" s="1"/>
  <c r="BH315" i="4"/>
  <c r="BJ315" i="4" s="1"/>
  <c r="BK315" i="4" s="1"/>
  <c r="AB285" i="4"/>
  <c r="AD285" i="4" s="1"/>
  <c r="AE285" i="4" s="1"/>
  <c r="BH310" i="4"/>
  <c r="BJ310" i="4" s="1"/>
  <c r="BK310" i="4" s="1"/>
  <c r="Y263" i="4"/>
  <c r="AK263" i="4" s="1"/>
  <c r="BE258" i="4"/>
  <c r="BQ258" i="4" s="1"/>
  <c r="BH314" i="4"/>
  <c r="BJ314" i="4" s="1"/>
  <c r="BK314" i="4" s="1"/>
  <c r="BH271" i="4"/>
  <c r="BJ271" i="4" s="1"/>
  <c r="BK271" i="4" s="1"/>
  <c r="BE209" i="4"/>
  <c r="BQ209" i="4" s="1"/>
  <c r="BE173" i="4"/>
  <c r="BQ173" i="4" s="1"/>
  <c r="AB266" i="4"/>
  <c r="AD266" i="4" s="1"/>
  <c r="AE266" i="4" s="1"/>
  <c r="BE279" i="4"/>
  <c r="BQ279" i="4" s="1"/>
  <c r="BH290" i="4"/>
  <c r="BJ290" i="4" s="1"/>
  <c r="BK290" i="4" s="1"/>
  <c r="Y183" i="4"/>
  <c r="AB183" i="4" s="1"/>
  <c r="AD183" i="4" s="1"/>
  <c r="AE183" i="4" s="1"/>
  <c r="AB167" i="4"/>
  <c r="AD167" i="4" s="1"/>
  <c r="AE167" i="4" s="1"/>
  <c r="BE320" i="4"/>
  <c r="BQ320" i="4" s="1"/>
  <c r="BE236" i="4"/>
  <c r="BQ236" i="4" s="1"/>
  <c r="AB304" i="4"/>
  <c r="AD304" i="4" s="1"/>
  <c r="AE304" i="4" s="1"/>
  <c r="AB318" i="4"/>
  <c r="AD318" i="4" s="1"/>
  <c r="AE318" i="4" s="1"/>
  <c r="BE321" i="4"/>
  <c r="BQ321" i="4" s="1"/>
  <c r="BH272" i="4"/>
  <c r="BJ272" i="4" s="1"/>
  <c r="BK272" i="4" s="1"/>
  <c r="BH325" i="4"/>
  <c r="BJ325" i="4" s="1"/>
  <c r="BK325" i="4" s="1"/>
  <c r="BE249" i="4"/>
  <c r="BQ249" i="4" s="1"/>
  <c r="BH292" i="4"/>
  <c r="BJ292" i="4" s="1"/>
  <c r="BK292" i="4" s="1"/>
  <c r="Y291" i="4"/>
  <c r="AK291" i="4" s="1"/>
  <c r="AB275" i="4"/>
  <c r="AD275" i="4" s="1"/>
  <c r="AE275" i="4" s="1"/>
  <c r="AB259" i="4"/>
  <c r="AD259" i="4" s="1"/>
  <c r="AE259" i="4" s="1"/>
  <c r="BE221" i="4"/>
  <c r="BH221" i="4" s="1"/>
  <c r="BJ221" i="4" s="1"/>
  <c r="BK221" i="4" s="1"/>
  <c r="Y253" i="4"/>
  <c r="AK253" i="4" s="1"/>
  <c r="BE263" i="4"/>
  <c r="BH263" i="4" s="1"/>
  <c r="BJ263" i="4" s="1"/>
  <c r="BK263" i="4" s="1"/>
  <c r="BE273" i="4"/>
  <c r="BQ273" i="4" s="1"/>
  <c r="Y234" i="4"/>
  <c r="AK234" i="4" s="1"/>
  <c r="AB255" i="4"/>
  <c r="AD255" i="4" s="1"/>
  <c r="AE255" i="4" s="1"/>
  <c r="AB267" i="4"/>
  <c r="AD267" i="4" s="1"/>
  <c r="AE267" i="4" s="1"/>
  <c r="Y314" i="4"/>
  <c r="AB314" i="4" s="1"/>
  <c r="AD314" i="4" s="1"/>
  <c r="AE314" i="4" s="1"/>
  <c r="Y270" i="4"/>
  <c r="AB270" i="4" s="1"/>
  <c r="AD270" i="4" s="1"/>
  <c r="AE270" i="4" s="1"/>
  <c r="Y250" i="4"/>
  <c r="AK250" i="4" s="1"/>
  <c r="BH161" i="4"/>
  <c r="BJ161" i="4" s="1"/>
  <c r="BK161" i="4" s="1"/>
  <c r="BE283" i="4"/>
  <c r="BR283" i="4" s="1"/>
  <c r="Y295" i="4"/>
  <c r="AK295" i="4" s="1"/>
  <c r="Y325" i="4"/>
  <c r="AK325" i="4" s="1"/>
  <c r="BE295" i="4"/>
  <c r="BQ295" i="4" s="1"/>
  <c r="AB288" i="4"/>
  <c r="AD288" i="4" s="1"/>
  <c r="AE288" i="4" s="1"/>
  <c r="BH291" i="4"/>
  <c r="BJ291" i="4" s="1"/>
  <c r="BK291" i="4" s="1"/>
  <c r="BH307" i="4"/>
  <c r="BJ307" i="4" s="1"/>
  <c r="BK307" i="4" s="1"/>
  <c r="BH257" i="4"/>
  <c r="BJ257" i="4" s="1"/>
  <c r="BK257" i="4" s="1"/>
  <c r="AK227" i="4"/>
  <c r="AB227" i="4"/>
  <c r="AD227" i="4" s="1"/>
  <c r="AE227" i="4" s="1"/>
  <c r="Y152" i="4"/>
  <c r="AK152" i="4" s="1"/>
  <c r="BE166" i="4"/>
  <c r="BR166" i="4" s="1"/>
  <c r="BE205" i="4"/>
  <c r="BQ205" i="4" s="1"/>
  <c r="BH237" i="4"/>
  <c r="BJ237" i="4" s="1"/>
  <c r="BK237" i="4" s="1"/>
  <c r="BH219" i="4"/>
  <c r="BJ219" i="4" s="1"/>
  <c r="BK219" i="4" s="1"/>
  <c r="Y190" i="4"/>
  <c r="AL190" i="4" s="1"/>
  <c r="Y210" i="4"/>
  <c r="AL210" i="4" s="1"/>
  <c r="AB219" i="4"/>
  <c r="AD219" i="4" s="1"/>
  <c r="AE219" i="4" s="1"/>
  <c r="AB198" i="4"/>
  <c r="AD198" i="4" s="1"/>
  <c r="AE198" i="4" s="1"/>
  <c r="AB225" i="4"/>
  <c r="AD225" i="4" s="1"/>
  <c r="AE225" i="4" s="1"/>
  <c r="BH179" i="4"/>
  <c r="BJ179" i="4" s="1"/>
  <c r="BK179" i="4" s="1"/>
  <c r="AB195" i="4"/>
  <c r="AD195" i="4" s="1"/>
  <c r="AE195" i="4" s="1"/>
  <c r="BH162" i="4"/>
  <c r="BJ162" i="4" s="1"/>
  <c r="BK162" i="4" s="1"/>
  <c r="BH205" i="4"/>
  <c r="BJ205" i="4" s="1"/>
  <c r="BK205" i="4" s="1"/>
  <c r="Y213" i="4"/>
  <c r="AK213" i="4" s="1"/>
  <c r="Y230" i="4"/>
  <c r="AL230" i="4" s="1"/>
  <c r="BH171" i="4"/>
  <c r="BJ171" i="4" s="1"/>
  <c r="BK171" i="4" s="1"/>
  <c r="AB200" i="4"/>
  <c r="AD200" i="4" s="1"/>
  <c r="AE200" i="4" s="1"/>
  <c r="BH214" i="4"/>
  <c r="BJ214" i="4" s="1"/>
  <c r="BK214" i="4" s="1"/>
  <c r="AB236" i="4"/>
  <c r="AD236" i="4" s="1"/>
  <c r="AE236" i="4" s="1"/>
  <c r="BE198" i="4"/>
  <c r="BH198" i="4" s="1"/>
  <c r="BJ198" i="4" s="1"/>
  <c r="BK198" i="4" s="1"/>
  <c r="BR278" i="4"/>
  <c r="Y179" i="4"/>
  <c r="AB179" i="4" s="1"/>
  <c r="AD179" i="4" s="1"/>
  <c r="AE179" i="4" s="1"/>
  <c r="AB192" i="4"/>
  <c r="AD192" i="4" s="1"/>
  <c r="AE192" i="4" s="1"/>
  <c r="AB162" i="4"/>
  <c r="AD162" i="4" s="1"/>
  <c r="AE162" i="4" s="1"/>
  <c r="AB193" i="4"/>
  <c r="AD193" i="4" s="1"/>
  <c r="AE193" i="4" s="1"/>
  <c r="AB161" i="4"/>
  <c r="AD161" i="4" s="1"/>
  <c r="AE161" i="4" s="1"/>
  <c r="AB216" i="4"/>
  <c r="AD216" i="4" s="1"/>
  <c r="AE216" i="4" s="1"/>
  <c r="AB232" i="4"/>
  <c r="AD232" i="4" s="1"/>
  <c r="AE232" i="4" s="1"/>
  <c r="Y176" i="4"/>
  <c r="AB176" i="4" s="1"/>
  <c r="AD176" i="4" s="1"/>
  <c r="AE176" i="4" s="1"/>
  <c r="Y194" i="4"/>
  <c r="AL194" i="4" s="1"/>
  <c r="BE164" i="4"/>
  <c r="BH164" i="4" s="1"/>
  <c r="BJ164" i="4" s="1"/>
  <c r="BK164" i="4" s="1"/>
  <c r="Y186" i="4"/>
  <c r="AK186" i="4" s="1"/>
  <c r="BE208" i="4"/>
  <c r="BQ208" i="4" s="1"/>
  <c r="BH222" i="4"/>
  <c r="BJ222" i="4" s="1"/>
  <c r="BK222" i="4" s="1"/>
  <c r="BE156" i="4"/>
  <c r="BQ156" i="4" s="1"/>
  <c r="AB175" i="4"/>
  <c r="AD175" i="4" s="1"/>
  <c r="AE175" i="4" s="1"/>
  <c r="Y173" i="4"/>
  <c r="AK173" i="4" s="1"/>
  <c r="BE185" i="4"/>
  <c r="BQ185" i="4" s="1"/>
  <c r="BE168" i="4"/>
  <c r="BH168" i="4" s="1"/>
  <c r="BJ168" i="4" s="1"/>
  <c r="BK168" i="4" s="1"/>
  <c r="AB165" i="4"/>
  <c r="AD165" i="4" s="1"/>
  <c r="AE165" i="4" s="1"/>
  <c r="AB229" i="4"/>
  <c r="AD229" i="4" s="1"/>
  <c r="AE229" i="4" s="1"/>
  <c r="AB196" i="4"/>
  <c r="AD196" i="4" s="1"/>
  <c r="AE196" i="4" s="1"/>
  <c r="BH227" i="4"/>
  <c r="BJ227" i="4" s="1"/>
  <c r="BK227" i="4" s="1"/>
  <c r="AP254" i="4"/>
  <c r="AS254" i="4" s="1"/>
  <c r="AB223" i="4"/>
  <c r="AD223" i="4" s="1"/>
  <c r="AE223" i="4" s="1"/>
  <c r="BE216" i="4"/>
  <c r="BQ216" i="4" s="1"/>
  <c r="BH210" i="4"/>
  <c r="BJ210" i="4" s="1"/>
  <c r="BK210" i="4" s="1"/>
  <c r="AB191" i="4"/>
  <c r="AD191" i="4" s="1"/>
  <c r="AE191" i="4" s="1"/>
  <c r="AB238" i="4"/>
  <c r="AD238" i="4" s="1"/>
  <c r="AE238" i="4" s="1"/>
  <c r="Y107" i="4"/>
  <c r="AK107" i="4" s="1"/>
  <c r="BE144" i="4"/>
  <c r="BQ144" i="4" s="1"/>
  <c r="BE140" i="4"/>
  <c r="BQ140" i="4" s="1"/>
  <c r="AB136" i="4"/>
  <c r="AD136" i="4" s="1"/>
  <c r="AE136" i="4" s="1"/>
  <c r="Y123" i="4"/>
  <c r="AK123" i="4" s="1"/>
  <c r="AB153" i="4"/>
  <c r="AD153" i="4" s="1"/>
  <c r="AE153" i="4" s="1"/>
  <c r="BE139" i="4"/>
  <c r="BQ139" i="4" s="1"/>
  <c r="Y99" i="4"/>
  <c r="AL99" i="4" s="1"/>
  <c r="Y119" i="4"/>
  <c r="AK119" i="4" s="1"/>
  <c r="Y59" i="4"/>
  <c r="AK59" i="4" s="1"/>
  <c r="AX207" i="5"/>
  <c r="AY207" i="5" s="1"/>
  <c r="Y111" i="4"/>
  <c r="AK111" i="4" s="1"/>
  <c r="AX172" i="5"/>
  <c r="AY172" i="5" s="1"/>
  <c r="AL324" i="4"/>
  <c r="AP167" i="4"/>
  <c r="AS167" i="4" s="1"/>
  <c r="AT167" i="4" s="1"/>
  <c r="AU167" i="4" s="1"/>
  <c r="AP192" i="4"/>
  <c r="AS192" i="4" s="1"/>
  <c r="AW192" i="4" s="1"/>
  <c r="AH285" i="4"/>
  <c r="AJ285" i="4" s="1"/>
  <c r="AS285" i="4" s="1"/>
  <c r="AH165" i="4"/>
  <c r="AJ165" i="4" s="1"/>
  <c r="AS165" i="4" s="1"/>
  <c r="AT165" i="4" s="1"/>
  <c r="AU165" i="4" s="1"/>
  <c r="AP232" i="4"/>
  <c r="AS232" i="4" s="1"/>
  <c r="AP236" i="4"/>
  <c r="AS236" i="4" s="1"/>
  <c r="AL193" i="4"/>
  <c r="AH320" i="4"/>
  <c r="AJ320" i="4" s="1"/>
  <c r="AS320" i="4" s="1"/>
  <c r="BR325" i="4"/>
  <c r="AP265" i="4"/>
  <c r="AS265" i="4" s="1"/>
  <c r="AH196" i="4"/>
  <c r="AJ196" i="4" s="1"/>
  <c r="AS196" i="4" s="1"/>
  <c r="AT196" i="4" s="1"/>
  <c r="AU196" i="4" s="1"/>
  <c r="BR210" i="4"/>
  <c r="Y67" i="4"/>
  <c r="AB67" i="4" s="1"/>
  <c r="AD67" i="4" s="1"/>
  <c r="AE67" i="4" s="1"/>
  <c r="BR270" i="4"/>
  <c r="Y63" i="4"/>
  <c r="AK63" i="4" s="1"/>
  <c r="AH255" i="4"/>
  <c r="AJ255" i="4" s="1"/>
  <c r="AS255" i="4" s="1"/>
  <c r="BR313" i="4"/>
  <c r="AH187" i="4"/>
  <c r="AJ187" i="4" s="1"/>
  <c r="AS187" i="4" s="1"/>
  <c r="AL275" i="4"/>
  <c r="AP238" i="4"/>
  <c r="AS238" i="4" s="1"/>
  <c r="AT238" i="4" s="1"/>
  <c r="AU238" i="4" s="1"/>
  <c r="AH263" i="4"/>
  <c r="AJ263" i="4" s="1"/>
  <c r="AS263" i="4" s="1"/>
  <c r="AT263" i="4" s="1"/>
  <c r="AU263" i="4" s="1"/>
  <c r="BN263" i="4" s="1"/>
  <c r="BP263" i="4" s="1"/>
  <c r="AH319" i="4"/>
  <c r="AJ319" i="4" s="1"/>
  <c r="AS319" i="4" s="1"/>
  <c r="AP303" i="4"/>
  <c r="AS303" i="4" s="1"/>
  <c r="AL288" i="4"/>
  <c r="AP300" i="4"/>
  <c r="AS300" i="4" s="1"/>
  <c r="AH247" i="4"/>
  <c r="AJ247" i="4" s="1"/>
  <c r="AS247" i="4" s="1"/>
  <c r="AP213" i="4"/>
  <c r="AH213" i="4"/>
  <c r="AJ213" i="4" s="1"/>
  <c r="AP200" i="4"/>
  <c r="AH200" i="4"/>
  <c r="AJ200" i="4" s="1"/>
  <c r="AL165" i="4"/>
  <c r="AP169" i="4"/>
  <c r="AS169" i="4" s="1"/>
  <c r="AP161" i="4"/>
  <c r="AS161" i="4" s="1"/>
  <c r="AH274" i="4"/>
  <c r="AJ274" i="4" s="1"/>
  <c r="AS274" i="4" s="1"/>
  <c r="BR292" i="4"/>
  <c r="BR308" i="4"/>
  <c r="BR264" i="4"/>
  <c r="AL285" i="4"/>
  <c r="BR189" i="4"/>
  <c r="AL311" i="4"/>
  <c r="AL200" i="4"/>
  <c r="BR287" i="4"/>
  <c r="AK215" i="4"/>
  <c r="AH217" i="4"/>
  <c r="AJ217" i="4" s="1"/>
  <c r="AS217" i="4" s="1"/>
  <c r="BR274" i="4"/>
  <c r="AL266" i="4"/>
  <c r="BR306" i="4"/>
  <c r="AH225" i="4"/>
  <c r="AJ225" i="4" s="1"/>
  <c r="AS225" i="4" s="1"/>
  <c r="AL317" i="4"/>
  <c r="BR235" i="4"/>
  <c r="AL219" i="4"/>
  <c r="BR226" i="4"/>
  <c r="BR271" i="4"/>
  <c r="AL167" i="4"/>
  <c r="AH304" i="4"/>
  <c r="AJ304" i="4" s="1"/>
  <c r="AS304" i="4" s="1"/>
  <c r="AP259" i="4"/>
  <c r="AS259" i="4" s="1"/>
  <c r="AW259" i="4" s="1"/>
  <c r="BR222" i="4"/>
  <c r="AL299" i="4"/>
  <c r="BM308" i="4"/>
  <c r="BV308" i="4" s="1"/>
  <c r="AH283" i="4"/>
  <c r="AJ283" i="4" s="1"/>
  <c r="AS283" i="4" s="1"/>
  <c r="AL318" i="4"/>
  <c r="BR197" i="4"/>
  <c r="AP250" i="4"/>
  <c r="AS250" i="4" s="1"/>
  <c r="AG325" i="4"/>
  <c r="AP325" i="4" s="1"/>
  <c r="AL225" i="4"/>
  <c r="BR296" i="4"/>
  <c r="AL304" i="4"/>
  <c r="AX336" i="5"/>
  <c r="AH324" i="4"/>
  <c r="AJ324" i="4" s="1"/>
  <c r="AS324" i="4" s="1"/>
  <c r="AL223" i="4"/>
  <c r="BR163" i="4"/>
  <c r="AH291" i="4"/>
  <c r="AJ291" i="4" s="1"/>
  <c r="AS291" i="4" s="1"/>
  <c r="BR227" i="4"/>
  <c r="AH181" i="4"/>
  <c r="AJ181" i="4" s="1"/>
  <c r="AS181" i="4" s="1"/>
  <c r="AT181" i="4" s="1"/>
  <c r="AU181" i="4" s="1"/>
  <c r="AH279" i="4"/>
  <c r="AJ279" i="4" s="1"/>
  <c r="AS279" i="4" s="1"/>
  <c r="BR187" i="4"/>
  <c r="AP216" i="4"/>
  <c r="AH216" i="4"/>
  <c r="AJ216" i="4" s="1"/>
  <c r="AG275" i="4"/>
  <c r="AP275" i="4" s="1"/>
  <c r="BQ175" i="4"/>
  <c r="BR175" i="4"/>
  <c r="AS175" i="4"/>
  <c r="AW175" i="4" s="1"/>
  <c r="AP184" i="4"/>
  <c r="AH184" i="4"/>
  <c r="AJ184" i="4" s="1"/>
  <c r="AH257" i="4"/>
  <c r="AJ257" i="4" s="1"/>
  <c r="AS257" i="4" s="1"/>
  <c r="AT257" i="4" s="1"/>
  <c r="AU257" i="4" s="1"/>
  <c r="BN257" i="4" s="1"/>
  <c r="BP257" i="4" s="1"/>
  <c r="CB257" i="4" s="1"/>
  <c r="CC257" i="4" s="1"/>
  <c r="BR237" i="4"/>
  <c r="BR302" i="4"/>
  <c r="AL204" i="4"/>
  <c r="BR206" i="4"/>
  <c r="BR241" i="4"/>
  <c r="AL274" i="4"/>
  <c r="AP237" i="4"/>
  <c r="AS237" i="4" s="1"/>
  <c r="AL229" i="4"/>
  <c r="AK320" i="4"/>
  <c r="AL320" i="4"/>
  <c r="AL195" i="4"/>
  <c r="AH267" i="4"/>
  <c r="AJ267" i="4" s="1"/>
  <c r="AS267" i="4" s="1"/>
  <c r="BR161" i="4"/>
  <c r="AL305" i="4"/>
  <c r="AS193" i="4"/>
  <c r="AW193" i="4" s="1"/>
  <c r="AS163" i="4"/>
  <c r="AT163" i="4" s="1"/>
  <c r="AU163" i="4" s="1"/>
  <c r="BN163" i="4" s="1"/>
  <c r="BP163" i="4" s="1"/>
  <c r="AS311" i="4"/>
  <c r="AW311" i="4" s="1"/>
  <c r="AL162" i="4"/>
  <c r="BQ297" i="4"/>
  <c r="BR297" i="4"/>
  <c r="BQ176" i="4"/>
  <c r="BR176" i="4"/>
  <c r="BR219" i="4"/>
  <c r="AH270" i="4"/>
  <c r="AJ270" i="4" s="1"/>
  <c r="AP270" i="4"/>
  <c r="AP160" i="4"/>
  <c r="AH160" i="4"/>
  <c r="AJ160" i="4" s="1"/>
  <c r="AG299" i="4"/>
  <c r="AH299" i="4" s="1"/>
  <c r="AJ299" i="4" s="1"/>
  <c r="AH173" i="4"/>
  <c r="AJ173" i="4" s="1"/>
  <c r="AS173" i="4" s="1"/>
  <c r="AP176" i="4"/>
  <c r="AS176" i="4" s="1"/>
  <c r="AL252" i="4"/>
  <c r="AK205" i="4"/>
  <c r="AL205" i="4"/>
  <c r="AK269" i="4"/>
  <c r="AL269" i="4"/>
  <c r="BQ248" i="4"/>
  <c r="BR248" i="4"/>
  <c r="AS266" i="4"/>
  <c r="AW266" i="4" s="1"/>
  <c r="AK286" i="4"/>
  <c r="AL286" i="4"/>
  <c r="AL192" i="4"/>
  <c r="AH185" i="4"/>
  <c r="AJ185" i="4" s="1"/>
  <c r="AS185" i="4" s="1"/>
  <c r="AL191" i="4"/>
  <c r="AS204" i="4"/>
  <c r="AT204" i="4" s="1"/>
  <c r="AU204" i="4" s="1"/>
  <c r="BN204" i="4" s="1"/>
  <c r="BP204" i="4" s="1"/>
  <c r="AS205" i="4"/>
  <c r="AW205" i="4" s="1"/>
  <c r="AL189" i="4"/>
  <c r="AS229" i="4"/>
  <c r="AT229" i="4" s="1"/>
  <c r="AU229" i="4" s="1"/>
  <c r="BN229" i="4" s="1"/>
  <c r="BP229" i="4" s="1"/>
  <c r="AS215" i="4"/>
  <c r="AW215" i="4" s="1"/>
  <c r="BQ217" i="4"/>
  <c r="BR217" i="4"/>
  <c r="BR311" i="4"/>
  <c r="AS308" i="4"/>
  <c r="AT308" i="4" s="1"/>
  <c r="AU308" i="4" s="1"/>
  <c r="BR171" i="4"/>
  <c r="BQ315" i="4"/>
  <c r="BR315" i="4"/>
  <c r="AS195" i="4"/>
  <c r="AT195" i="4" s="1"/>
  <c r="AU195" i="4" s="1"/>
  <c r="BN195" i="4" s="1"/>
  <c r="BP195" i="4" s="1"/>
  <c r="BQ317" i="4"/>
  <c r="BR317" i="4"/>
  <c r="AK202" i="4"/>
  <c r="AL202" i="4"/>
  <c r="AH183" i="4"/>
  <c r="AJ183" i="4" s="1"/>
  <c r="AP183" i="4"/>
  <c r="AA310" i="4"/>
  <c r="AA272" i="4"/>
  <c r="AA166" i="4"/>
  <c r="AA289" i="4"/>
  <c r="AP249" i="4"/>
  <c r="AH249" i="4"/>
  <c r="AJ249" i="4" s="1"/>
  <c r="BG178" i="4"/>
  <c r="BE178" i="4" s="1"/>
  <c r="BQ178" i="4" s="1"/>
  <c r="AL236" i="4"/>
  <c r="BG159" i="4"/>
  <c r="BQ220" i="4"/>
  <c r="BR220" i="4"/>
  <c r="AP190" i="4"/>
  <c r="AH190" i="4"/>
  <c r="AJ190" i="4" s="1"/>
  <c r="AA323" i="4"/>
  <c r="AL175" i="4"/>
  <c r="BG286" i="4"/>
  <c r="BG312" i="4"/>
  <c r="BE312" i="4" s="1"/>
  <c r="BQ312" i="4" s="1"/>
  <c r="BQ310" i="4"/>
  <c r="BR310" i="4"/>
  <c r="AK257" i="4"/>
  <c r="AL257" i="4"/>
  <c r="AP179" i="4"/>
  <c r="AH179" i="4"/>
  <c r="AJ179" i="4" s="1"/>
  <c r="AA207" i="4"/>
  <c r="Y207" i="4" s="1"/>
  <c r="AK207" i="4" s="1"/>
  <c r="BG234" i="4"/>
  <c r="AK281" i="4"/>
  <c r="AL281" i="4"/>
  <c r="AK237" i="4"/>
  <c r="AL237" i="4"/>
  <c r="AA271" i="4"/>
  <c r="BG167" i="4"/>
  <c r="BG192" i="4"/>
  <c r="AA282" i="4"/>
  <c r="AG198" i="4"/>
  <c r="AL198" i="4"/>
  <c r="AK309" i="4"/>
  <c r="AL309" i="4"/>
  <c r="AK258" i="4"/>
  <c r="AL258" i="4"/>
  <c r="AK308" i="4"/>
  <c r="AL308" i="4"/>
  <c r="BG212" i="4"/>
  <c r="BE212" i="4" s="1"/>
  <c r="BQ212" i="4" s="1"/>
  <c r="AA214" i="4"/>
  <c r="AS288" i="4"/>
  <c r="BG244" i="4"/>
  <c r="AS305" i="4"/>
  <c r="AA239" i="4"/>
  <c r="Y239" i="4" s="1"/>
  <c r="AK239" i="4" s="1"/>
  <c r="AS218" i="4"/>
  <c r="BG190" i="4"/>
  <c r="BG196" i="4"/>
  <c r="BE196" i="4" s="1"/>
  <c r="BQ196" i="4" s="1"/>
  <c r="AA224" i="4"/>
  <c r="BM242" i="4"/>
  <c r="BV242" i="4" s="1"/>
  <c r="BR242" i="4"/>
  <c r="AA322" i="4"/>
  <c r="AK259" i="4"/>
  <c r="AL259" i="4"/>
  <c r="AS219" i="4"/>
  <c r="AA174" i="4"/>
  <c r="BG160" i="4"/>
  <c r="AK220" i="4"/>
  <c r="AL220" i="4"/>
  <c r="AK216" i="4"/>
  <c r="AL216" i="4"/>
  <c r="AA228" i="4"/>
  <c r="Y228" i="4" s="1"/>
  <c r="AK228" i="4" s="1"/>
  <c r="AA244" i="4"/>
  <c r="Y244" i="4" s="1"/>
  <c r="AK244" i="4" s="1"/>
  <c r="BG285" i="4"/>
  <c r="AA256" i="4"/>
  <c r="BG280" i="4"/>
  <c r="BM246" i="4"/>
  <c r="BV246" i="4" s="1"/>
  <c r="BR246" i="4"/>
  <c r="BQ272" i="4"/>
  <c r="BR272" i="4"/>
  <c r="AP269" i="4"/>
  <c r="AH269" i="4"/>
  <c r="AJ269" i="4" s="1"/>
  <c r="BG158" i="4"/>
  <c r="AA316" i="4"/>
  <c r="Y316" i="4" s="1"/>
  <c r="AK316" i="4" s="1"/>
  <c r="AA261" i="4"/>
  <c r="AA248" i="4"/>
  <c r="Y248" i="4" s="1"/>
  <c r="AK248" i="4" s="1"/>
  <c r="BM236" i="4"/>
  <c r="BV236" i="4" s="1"/>
  <c r="BM323" i="4"/>
  <c r="BV323" i="4" s="1"/>
  <c r="BR323" i="4"/>
  <c r="AA188" i="4"/>
  <c r="AA158" i="4"/>
  <c r="Y158" i="4" s="1"/>
  <c r="AK158" i="4" s="1"/>
  <c r="BG165" i="4"/>
  <c r="BG304" i="4"/>
  <c r="BE304" i="4" s="1"/>
  <c r="BQ304" i="4" s="1"/>
  <c r="AA242" i="4"/>
  <c r="AA243" i="4"/>
  <c r="BG177" i="4"/>
  <c r="BV204" i="4"/>
  <c r="BG170" i="4"/>
  <c r="BE170" i="4" s="1"/>
  <c r="BQ170" i="4" s="1"/>
  <c r="AA211" i="4"/>
  <c r="AA178" i="4"/>
  <c r="AA298" i="4"/>
  <c r="AK249" i="4"/>
  <c r="AL249" i="4"/>
  <c r="AA222" i="4"/>
  <c r="AA197" i="4"/>
  <c r="Y197" i="4" s="1"/>
  <c r="AK197" i="4" s="1"/>
  <c r="BV209" i="4"/>
  <c r="BR290" i="4"/>
  <c r="BQ214" i="4"/>
  <c r="BR214" i="4"/>
  <c r="BG322" i="4"/>
  <c r="BE322" i="4" s="1"/>
  <c r="BQ322" i="4" s="1"/>
  <c r="AA241" i="4"/>
  <c r="AH168" i="4"/>
  <c r="AJ168" i="4" s="1"/>
  <c r="AP168" i="4"/>
  <c r="AG227" i="4"/>
  <c r="AL227" i="4"/>
  <c r="AP318" i="4"/>
  <c r="AH318" i="4"/>
  <c r="AJ318" i="4" s="1"/>
  <c r="AP253" i="4"/>
  <c r="AH253" i="4"/>
  <c r="AJ253" i="4" s="1"/>
  <c r="AS223" i="4"/>
  <c r="AA170" i="4"/>
  <c r="Y170" i="4" s="1"/>
  <c r="AK170" i="4" s="1"/>
  <c r="BQ162" i="4"/>
  <c r="BR162" i="4"/>
  <c r="AA290" i="4"/>
  <c r="AA180" i="4"/>
  <c r="Y180" i="4" s="1"/>
  <c r="AK180" i="4" s="1"/>
  <c r="BG203" i="4"/>
  <c r="AS258" i="4"/>
  <c r="BG201" i="4"/>
  <c r="BE201" i="4" s="1"/>
  <c r="BQ201" i="4" s="1"/>
  <c r="AH220" i="4"/>
  <c r="AJ220" i="4" s="1"/>
  <c r="AP220" i="4"/>
  <c r="BG194" i="4"/>
  <c r="AA231" i="4"/>
  <c r="AA276" i="4"/>
  <c r="BG294" i="4"/>
  <c r="BG231" i="4"/>
  <c r="AS286" i="4"/>
  <c r="AS202" i="4"/>
  <c r="AA264" i="4"/>
  <c r="BQ243" i="4"/>
  <c r="BR243" i="4"/>
  <c r="BG184" i="4"/>
  <c r="AA278" i="4"/>
  <c r="AA235" i="4"/>
  <c r="AA284" i="4"/>
  <c r="Y284" i="4" s="1"/>
  <c r="AK284" i="4" s="1"/>
  <c r="AA280" i="4"/>
  <c r="BQ213" i="4"/>
  <c r="BR213" i="4"/>
  <c r="AA199" i="4"/>
  <c r="Y199" i="4" s="1"/>
  <c r="AK199" i="4" s="1"/>
  <c r="AH317" i="4"/>
  <c r="AJ317" i="4" s="1"/>
  <c r="AP317" i="4"/>
  <c r="BG252" i="4"/>
  <c r="BG181" i="4"/>
  <c r="BE181" i="4" s="1"/>
  <c r="BQ181" i="4" s="1"/>
  <c r="AA287" i="4"/>
  <c r="Y287" i="4" s="1"/>
  <c r="AK287" i="4" s="1"/>
  <c r="BG267" i="4"/>
  <c r="AA251" i="4"/>
  <c r="AK293" i="4"/>
  <c r="AL293" i="4"/>
  <c r="AK303" i="4"/>
  <c r="AL303" i="4"/>
  <c r="AK187" i="4"/>
  <c r="AL187" i="4"/>
  <c r="AK168" i="4"/>
  <c r="AL168" i="4"/>
  <c r="AA171" i="4"/>
  <c r="BG182" i="4"/>
  <c r="BG238" i="4"/>
  <c r="BE238" i="4" s="1"/>
  <c r="BQ238" i="4" s="1"/>
  <c r="AA182" i="4"/>
  <c r="BG275" i="4"/>
  <c r="AA172" i="4"/>
  <c r="BG324" i="4"/>
  <c r="BG232" i="4"/>
  <c r="BG284" i="4"/>
  <c r="BG293" i="4"/>
  <c r="BG269" i="4"/>
  <c r="AA203" i="4"/>
  <c r="AH313" i="4"/>
  <c r="AJ313" i="4" s="1"/>
  <c r="AP313" i="4"/>
  <c r="BQ215" i="4"/>
  <c r="BR215" i="4"/>
  <c r="AP159" i="4"/>
  <c r="AH159" i="4"/>
  <c r="AJ159" i="4" s="1"/>
  <c r="AA245" i="4"/>
  <c r="AS293" i="4"/>
  <c r="AP221" i="4"/>
  <c r="AH221" i="4"/>
  <c r="AJ221" i="4" s="1"/>
  <c r="AK321" i="4"/>
  <c r="AL321" i="4"/>
  <c r="AK319" i="4"/>
  <c r="AL319" i="4"/>
  <c r="BG261" i="4"/>
  <c r="BG211" i="4"/>
  <c r="BG202" i="4"/>
  <c r="BE202" i="4" s="1"/>
  <c r="BQ202" i="4" s="1"/>
  <c r="AA177" i="4"/>
  <c r="BG318" i="4"/>
  <c r="AA209" i="4"/>
  <c r="Y209" i="4" s="1"/>
  <c r="AK209" i="4" s="1"/>
  <c r="AK163" i="4"/>
  <c r="AL163" i="4"/>
  <c r="BQ307" i="4"/>
  <c r="BR307" i="4"/>
  <c r="AA273" i="4"/>
  <c r="Y273" i="4" s="1"/>
  <c r="AK273" i="4" s="1"/>
  <c r="BG300" i="4"/>
  <c r="BE300" i="4" s="1"/>
  <c r="BQ300" i="4" s="1"/>
  <c r="BG277" i="4"/>
  <c r="BE277" i="4" s="1"/>
  <c r="BQ277" i="4" s="1"/>
  <c r="BG172" i="4"/>
  <c r="BG266" i="4"/>
  <c r="AP164" i="4"/>
  <c r="AH164" i="4"/>
  <c r="AJ164" i="4" s="1"/>
  <c r="AA297" i="4"/>
  <c r="AA226" i="4"/>
  <c r="AS309" i="4"/>
  <c r="AA312" i="4"/>
  <c r="BG251" i="4"/>
  <c r="AA240" i="4"/>
  <c r="BG200" i="4"/>
  <c r="AH189" i="4"/>
  <c r="AJ189" i="4" s="1"/>
  <c r="AP189" i="4"/>
  <c r="AK246" i="4"/>
  <c r="AL246" i="4"/>
  <c r="AG186" i="4"/>
  <c r="AA306" i="4"/>
  <c r="AS191" i="4"/>
  <c r="AK313" i="4"/>
  <c r="AL313" i="4"/>
  <c r="AK247" i="4"/>
  <c r="AL247" i="4"/>
  <c r="AK283" i="4"/>
  <c r="AL283" i="4"/>
  <c r="BG309" i="4"/>
  <c r="BE309" i="4" s="1"/>
  <c r="BQ309" i="4" s="1"/>
  <c r="BG276" i="4"/>
  <c r="BE276" i="4" s="1"/>
  <c r="BQ276" i="4" s="1"/>
  <c r="BQ225" i="4"/>
  <c r="BR225" i="4"/>
  <c r="AP210" i="4"/>
  <c r="AH210" i="4"/>
  <c r="AJ210" i="4" s="1"/>
  <c r="BG265" i="4"/>
  <c r="AA296" i="4"/>
  <c r="AK232" i="4"/>
  <c r="AL232" i="4"/>
  <c r="BQ223" i="4"/>
  <c r="BR223" i="4"/>
  <c r="BG305" i="4"/>
  <c r="BE305" i="4" s="1"/>
  <c r="BQ305" i="4" s="1"/>
  <c r="BQ180" i="4"/>
  <c r="BR180" i="4"/>
  <c r="AA201" i="4"/>
  <c r="BV225" i="4"/>
  <c r="AK181" i="4"/>
  <c r="AL181" i="4"/>
  <c r="AH230" i="4"/>
  <c r="AJ230" i="4" s="1"/>
  <c r="AP230" i="4"/>
  <c r="BQ183" i="4"/>
  <c r="BR183" i="4"/>
  <c r="BG259" i="4"/>
  <c r="BE259" i="4" s="1"/>
  <c r="BQ259" i="4" s="1"/>
  <c r="AA315" i="4"/>
  <c r="BG299" i="4"/>
  <c r="BG207" i="4"/>
  <c r="BG230" i="4"/>
  <c r="AK267" i="4"/>
  <c r="AL267" i="4"/>
  <c r="BQ193" i="4"/>
  <c r="BR193" i="4"/>
  <c r="AG292" i="4"/>
  <c r="AP314" i="4"/>
  <c r="AH314" i="4"/>
  <c r="AJ314" i="4" s="1"/>
  <c r="BQ204" i="4"/>
  <c r="BR204" i="4"/>
  <c r="BG289" i="4"/>
  <c r="AL260" i="4"/>
  <c r="AG260" i="4"/>
  <c r="AH295" i="4"/>
  <c r="AJ295" i="4" s="1"/>
  <c r="AP295" i="4"/>
  <c r="BG218" i="4"/>
  <c r="AK265" i="4"/>
  <c r="AL265" i="4"/>
  <c r="AA302" i="4"/>
  <c r="AH246" i="4"/>
  <c r="AJ246" i="4" s="1"/>
  <c r="AP246" i="4"/>
  <c r="AA268" i="4"/>
  <c r="AA233" i="4"/>
  <c r="BG186" i="4"/>
  <c r="BE186" i="4" s="1"/>
  <c r="BQ186" i="4" s="1"/>
  <c r="BG239" i="4"/>
  <c r="BG254" i="4"/>
  <c r="AK218" i="4"/>
  <c r="AL218" i="4"/>
  <c r="AP194" i="4"/>
  <c r="AH194" i="4"/>
  <c r="AJ194" i="4" s="1"/>
  <c r="AS281" i="4"/>
  <c r="BG303" i="4"/>
  <c r="BE303" i="4" s="1"/>
  <c r="BQ303" i="4" s="1"/>
  <c r="BQ245" i="4"/>
  <c r="BR245" i="4"/>
  <c r="AA294" i="4"/>
  <c r="Y294" i="4" s="1"/>
  <c r="AK294" i="4" s="1"/>
  <c r="BM314" i="4"/>
  <c r="BV314" i="4" s="1"/>
  <c r="BR314" i="4"/>
  <c r="BG228" i="4"/>
  <c r="AH321" i="4"/>
  <c r="AJ321" i="4" s="1"/>
  <c r="AP321" i="4"/>
  <c r="AK221" i="4"/>
  <c r="AL221" i="4"/>
  <c r="BV197" i="4"/>
  <c r="BG169" i="4"/>
  <c r="AA301" i="4"/>
  <c r="AK196" i="4"/>
  <c r="AL196" i="4"/>
  <c r="BG233" i="4"/>
  <c r="BE233" i="4" s="1"/>
  <c r="BQ233" i="4" s="1"/>
  <c r="BQ255" i="4"/>
  <c r="BR255" i="4"/>
  <c r="BQ250" i="4"/>
  <c r="BR250" i="4"/>
  <c r="BQ240" i="4"/>
  <c r="BR240" i="4"/>
  <c r="AA208" i="4"/>
  <c r="BG282" i="4"/>
  <c r="AA307" i="4"/>
  <c r="BG281" i="4"/>
  <c r="BE281" i="4" s="1"/>
  <c r="BQ281" i="4" s="1"/>
  <c r="AA277" i="4"/>
  <c r="Y277" i="4" s="1"/>
  <c r="AK277" i="4" s="1"/>
  <c r="AA262" i="4"/>
  <c r="BG191" i="4"/>
  <c r="BE191" i="4" s="1"/>
  <c r="BQ191" i="4" s="1"/>
  <c r="BG247" i="4"/>
  <c r="AS252" i="4"/>
  <c r="AA212" i="4"/>
  <c r="AA206" i="4"/>
  <c r="AS162" i="4"/>
  <c r="AB157" i="4"/>
  <c r="AD157" i="4" s="1"/>
  <c r="AE157" i="4" s="1"/>
  <c r="AB126" i="4"/>
  <c r="AD126" i="4" s="1"/>
  <c r="AE126" i="4" s="1"/>
  <c r="BE136" i="4"/>
  <c r="BQ136" i="4" s="1"/>
  <c r="Y114" i="4"/>
  <c r="AK114" i="4" s="1"/>
  <c r="AB151" i="4"/>
  <c r="AD151" i="4" s="1"/>
  <c r="AE151" i="4" s="1"/>
  <c r="BE113" i="4"/>
  <c r="BQ113" i="4" s="1"/>
  <c r="BH121" i="4"/>
  <c r="BJ121" i="4" s="1"/>
  <c r="BK121" i="4" s="1"/>
  <c r="BE149" i="4"/>
  <c r="BQ149" i="4" s="1"/>
  <c r="BE81" i="4"/>
  <c r="BQ81" i="4" s="1"/>
  <c r="AB122" i="4"/>
  <c r="AD122" i="4" s="1"/>
  <c r="AE122" i="4" s="1"/>
  <c r="AB152" i="4"/>
  <c r="AD152" i="4" s="1"/>
  <c r="AE152" i="4" s="1"/>
  <c r="BE111" i="4"/>
  <c r="BQ111" i="4" s="1"/>
  <c r="AB104" i="4"/>
  <c r="AD104" i="4" s="1"/>
  <c r="AE104" i="4" s="1"/>
  <c r="AB108" i="4"/>
  <c r="AD108" i="4" s="1"/>
  <c r="AE108" i="4" s="1"/>
  <c r="BE84" i="4"/>
  <c r="BQ84" i="4" s="1"/>
  <c r="BE85" i="4"/>
  <c r="BQ85" i="4" s="1"/>
  <c r="AB91" i="4"/>
  <c r="AD91" i="4" s="1"/>
  <c r="AE91" i="4" s="1"/>
  <c r="Y95" i="4"/>
  <c r="AK95" i="4" s="1"/>
  <c r="AB71" i="4"/>
  <c r="AD71" i="4" s="1"/>
  <c r="AE71" i="4" s="1"/>
  <c r="BE94" i="4"/>
  <c r="BH94" i="4" s="1"/>
  <c r="BJ94" i="4" s="1"/>
  <c r="BK94" i="4" s="1"/>
  <c r="BE101" i="4"/>
  <c r="BQ101" i="4" s="1"/>
  <c r="BE65" i="4"/>
  <c r="BQ65" i="4" s="1"/>
  <c r="BE148" i="4"/>
  <c r="BQ148" i="4" s="1"/>
  <c r="AB85" i="4"/>
  <c r="AD85" i="4" s="1"/>
  <c r="AE85" i="4" s="1"/>
  <c r="AB82" i="4"/>
  <c r="AD82" i="4" s="1"/>
  <c r="AE82" i="4" s="1"/>
  <c r="BE92" i="4"/>
  <c r="BQ92" i="4" s="1"/>
  <c r="BE143" i="4"/>
  <c r="BQ143" i="4" s="1"/>
  <c r="BE100" i="4"/>
  <c r="BQ100" i="4" s="1"/>
  <c r="BE124" i="4"/>
  <c r="BQ124" i="4" s="1"/>
  <c r="AB96" i="4"/>
  <c r="AD96" i="4" s="1"/>
  <c r="AE96" i="4" s="1"/>
  <c r="AB138" i="4"/>
  <c r="AD138" i="4" s="1"/>
  <c r="AE138" i="4" s="1"/>
  <c r="BE108" i="4"/>
  <c r="BQ108" i="4" s="1"/>
  <c r="BE128" i="4"/>
  <c r="BQ128" i="4" s="1"/>
  <c r="BE141" i="4"/>
  <c r="BQ141" i="4" s="1"/>
  <c r="AB117" i="4"/>
  <c r="AD117" i="4" s="1"/>
  <c r="AE117" i="4" s="1"/>
  <c r="AB101" i="4"/>
  <c r="AD101" i="4" s="1"/>
  <c r="AE101" i="4" s="1"/>
  <c r="AB137" i="4"/>
  <c r="AD137" i="4" s="1"/>
  <c r="AE137" i="4" s="1"/>
  <c r="AB92" i="4"/>
  <c r="AD92" i="4" s="1"/>
  <c r="AE92" i="4" s="1"/>
  <c r="BE64" i="4"/>
  <c r="BQ64" i="4" s="1"/>
  <c r="BE74" i="4"/>
  <c r="BQ74" i="4" s="1"/>
  <c r="BE68" i="4"/>
  <c r="BQ68" i="4" s="1"/>
  <c r="BE73" i="4"/>
  <c r="BR73" i="4" s="1"/>
  <c r="BE122" i="4"/>
  <c r="BQ122" i="4" s="1"/>
  <c r="BE90" i="4"/>
  <c r="BQ90" i="4" s="1"/>
  <c r="Y86" i="4"/>
  <c r="AB86" i="4" s="1"/>
  <c r="AD86" i="4" s="1"/>
  <c r="AE86" i="4" s="1"/>
  <c r="BE102" i="4"/>
  <c r="BQ102" i="4" s="1"/>
  <c r="BE98" i="4"/>
  <c r="BH98" i="4" s="1"/>
  <c r="BJ98" i="4" s="1"/>
  <c r="BK98" i="4" s="1"/>
  <c r="BE88" i="4"/>
  <c r="BH88" i="4" s="1"/>
  <c r="BJ88" i="4" s="1"/>
  <c r="BK88" i="4" s="1"/>
  <c r="BE103" i="4"/>
  <c r="BQ103" i="4" s="1"/>
  <c r="BE137" i="4"/>
  <c r="BQ137" i="4" s="1"/>
  <c r="BE118" i="4"/>
  <c r="BQ118" i="4" s="1"/>
  <c r="BE70" i="4"/>
  <c r="BQ70" i="4" s="1"/>
  <c r="BE119" i="4"/>
  <c r="BQ119" i="4" s="1"/>
  <c r="Y144" i="4"/>
  <c r="AB144" i="4" s="1"/>
  <c r="AD144" i="4" s="1"/>
  <c r="AE144" i="4" s="1"/>
  <c r="Y115" i="4"/>
  <c r="AK115" i="4" s="1"/>
  <c r="AB121" i="4"/>
  <c r="AD121" i="4" s="1"/>
  <c r="AE121" i="4" s="1"/>
  <c r="AB105" i="4"/>
  <c r="AD105" i="4" s="1"/>
  <c r="AE105" i="4" s="1"/>
  <c r="BE145" i="4"/>
  <c r="BQ145" i="4" s="1"/>
  <c r="BE131" i="4"/>
  <c r="BQ131" i="4" s="1"/>
  <c r="BE106" i="4"/>
  <c r="BQ106" i="4" s="1"/>
  <c r="BE86" i="4"/>
  <c r="BQ86" i="4" s="1"/>
  <c r="AB89" i="4"/>
  <c r="AD89" i="4" s="1"/>
  <c r="AE89" i="4" s="1"/>
  <c r="AX456" i="5"/>
  <c r="AY456" i="5" s="1"/>
  <c r="AX516" i="5"/>
  <c r="AY516" i="5" s="1"/>
  <c r="AX99" i="5"/>
  <c r="AY99" i="5" s="1"/>
  <c r="AX402" i="5"/>
  <c r="AY402" i="5" s="1"/>
  <c r="AX44" i="5"/>
  <c r="AY44" i="5" s="1"/>
  <c r="AX279" i="5"/>
  <c r="AY279" i="5" s="1"/>
  <c r="AX266" i="5"/>
  <c r="AY266" i="5" s="1"/>
  <c r="AX300" i="5"/>
  <c r="AY300" i="5" s="1"/>
  <c r="AX35" i="5"/>
  <c r="AY35" i="5" s="1"/>
  <c r="AX132" i="5"/>
  <c r="AY132" i="5" s="1"/>
  <c r="AX226" i="5"/>
  <c r="AY226" i="5" s="1"/>
  <c r="AX77" i="5"/>
  <c r="AY77" i="5" s="1"/>
  <c r="AX436" i="5"/>
  <c r="AY436" i="5" s="1"/>
  <c r="AX321" i="5"/>
  <c r="AX134" i="5"/>
  <c r="AY134" i="5" s="1"/>
  <c r="AX331" i="5"/>
  <c r="AY331" i="5" s="1"/>
  <c r="AX556" i="5"/>
  <c r="AY556" i="5" s="1"/>
  <c r="AX58" i="5"/>
  <c r="AY58" i="5" s="1"/>
  <c r="AX432" i="5"/>
  <c r="AY432" i="5" s="1"/>
  <c r="AX320" i="5"/>
  <c r="AX351" i="5"/>
  <c r="AY351" i="5" s="1"/>
  <c r="AY299" i="5"/>
  <c r="AX501" i="5"/>
  <c r="AY501" i="5" s="1"/>
  <c r="AX340" i="5"/>
  <c r="AY340" i="5" s="1"/>
  <c r="AX38" i="5"/>
  <c r="AY38" i="5" s="1"/>
  <c r="AX197" i="5"/>
  <c r="AY197" i="5" s="1"/>
  <c r="AX276" i="5"/>
  <c r="AY276" i="5" s="1"/>
  <c r="AX296" i="5"/>
  <c r="AX530" i="5"/>
  <c r="AY530" i="5" s="1"/>
  <c r="AX137" i="5"/>
  <c r="AY137" i="5" s="1"/>
  <c r="AX53" i="5"/>
  <c r="AY53" i="5" s="1"/>
  <c r="AX338" i="5"/>
  <c r="AY338" i="5" s="1"/>
  <c r="AX313" i="5"/>
  <c r="AX251" i="5"/>
  <c r="AY251" i="5" s="1"/>
  <c r="AX343" i="5"/>
  <c r="AX241" i="5"/>
  <c r="AY241" i="5" s="1"/>
  <c r="AX186" i="5"/>
  <c r="AY186" i="5" s="1"/>
  <c r="AY412" i="5"/>
  <c r="AX349" i="5"/>
  <c r="AX515" i="5"/>
  <c r="AY515" i="5" s="1"/>
  <c r="AX224" i="5"/>
  <c r="AY224" i="5" s="1"/>
  <c r="AX328" i="5"/>
  <c r="AX440" i="5"/>
  <c r="AY440" i="5" s="1"/>
  <c r="AX259" i="5"/>
  <c r="AX490" i="5"/>
  <c r="AY490" i="5" s="1"/>
  <c r="AX112" i="5"/>
  <c r="AY112" i="5" s="1"/>
  <c r="AX392" i="5"/>
  <c r="AY392" i="5" s="1"/>
  <c r="AX403" i="5"/>
  <c r="AX550" i="5"/>
  <c r="AY550" i="5" s="1"/>
  <c r="AX487" i="5"/>
  <c r="AY487" i="5" s="1"/>
  <c r="AX532" i="5"/>
  <c r="AY532" i="5" s="1"/>
  <c r="AX139" i="5"/>
  <c r="AY139" i="5" s="1"/>
  <c r="AX230" i="5"/>
  <c r="AY230" i="5" s="1"/>
  <c r="AX83" i="5"/>
  <c r="AY83" i="5" s="1"/>
  <c r="AX94" i="5"/>
  <c r="AY94" i="5" s="1"/>
  <c r="AX115" i="5"/>
  <c r="AY115" i="5" s="1"/>
  <c r="AX342" i="5"/>
  <c r="AY342" i="5" s="1"/>
  <c r="AX500" i="5"/>
  <c r="AY500" i="5" s="1"/>
  <c r="AX425" i="5"/>
  <c r="AY425" i="5" s="1"/>
  <c r="AX237" i="5"/>
  <c r="AY237" i="5" s="1"/>
  <c r="AX141" i="5"/>
  <c r="AY141" i="5" s="1"/>
  <c r="AX269" i="5"/>
  <c r="AY269" i="5" s="1"/>
  <c r="AX364" i="5"/>
  <c r="AY364" i="5" s="1"/>
  <c r="AX352" i="5"/>
  <c r="AY352" i="5" s="1"/>
  <c r="AX138" i="5"/>
  <c r="AY138" i="5" s="1"/>
  <c r="AX247" i="5"/>
  <c r="AY247" i="5" s="1"/>
  <c r="AX316" i="5"/>
  <c r="AY316" i="5" s="1"/>
  <c r="AX54" i="5"/>
  <c r="AY54" i="5" s="1"/>
  <c r="AX270" i="5"/>
  <c r="AY270" i="5" s="1"/>
  <c r="AX91" i="5"/>
  <c r="AY91" i="5" s="1"/>
  <c r="AX158" i="5"/>
  <c r="AY158" i="5" s="1"/>
  <c r="AX143" i="5"/>
  <c r="AY143" i="5" s="1"/>
  <c r="AX217" i="5"/>
  <c r="AY217" i="5" s="1"/>
  <c r="AX252" i="5"/>
  <c r="AY252" i="5" s="1"/>
  <c r="AX433" i="5"/>
  <c r="AY433" i="5" s="1"/>
  <c r="AX157" i="5"/>
  <c r="AY157" i="5" s="1"/>
  <c r="AX301" i="5"/>
  <c r="AY301" i="5" s="1"/>
  <c r="AX304" i="5"/>
  <c r="AY304" i="5" s="1"/>
  <c r="AX142" i="5"/>
  <c r="AY142" i="5" s="1"/>
  <c r="AX102" i="5"/>
  <c r="AY102" i="5" s="1"/>
  <c r="AX533" i="5"/>
  <c r="AY533" i="5" s="1"/>
  <c r="AX70" i="5"/>
  <c r="AY70" i="5" s="1"/>
  <c r="AX114" i="5"/>
  <c r="AY114" i="5" s="1"/>
  <c r="AX466" i="5"/>
  <c r="AY466" i="5" s="1"/>
  <c r="AX93" i="5"/>
  <c r="AY93" i="5" s="1"/>
  <c r="AX147" i="5"/>
  <c r="AY147" i="5" s="1"/>
  <c r="AX319" i="5"/>
  <c r="AY319" i="5" s="1"/>
  <c r="AX555" i="5"/>
  <c r="AY555" i="5" s="1"/>
  <c r="AX335" i="5"/>
  <c r="AY335" i="5" s="1"/>
  <c r="AX57" i="5"/>
  <c r="AY57" i="5" s="1"/>
  <c r="AX467" i="5"/>
  <c r="AY467" i="5" s="1"/>
  <c r="AX215" i="5"/>
  <c r="AY215" i="5" s="1"/>
  <c r="AX90" i="5"/>
  <c r="AY90" i="5" s="1"/>
  <c r="AX92" i="5"/>
  <c r="AY92" i="5" s="1"/>
  <c r="AX108" i="5"/>
  <c r="AY108" i="5" s="1"/>
  <c r="AX116" i="5"/>
  <c r="AY116" i="5" s="1"/>
  <c r="AX396" i="5"/>
  <c r="AX401" i="5"/>
  <c r="AY401" i="5" s="1"/>
  <c r="AX225" i="5"/>
  <c r="AY225" i="5" s="1"/>
  <c r="AX505" i="5"/>
  <c r="AY505" i="5" s="1"/>
  <c r="AX171" i="5"/>
  <c r="AY171" i="5" s="1"/>
  <c r="AX140" i="5"/>
  <c r="AY140" i="5" s="1"/>
  <c r="AX479" i="5"/>
  <c r="AY479" i="5" s="1"/>
  <c r="AX341" i="5"/>
  <c r="AY341" i="5" s="1"/>
  <c r="AX330" i="5"/>
  <c r="AY330" i="5" s="1"/>
  <c r="AX95" i="5"/>
  <c r="AY95" i="5" s="1"/>
  <c r="AX109" i="5"/>
  <c r="AY109" i="5" s="1"/>
  <c r="AX265" i="5"/>
  <c r="AY265" i="5" s="1"/>
  <c r="AX441" i="5"/>
  <c r="AY441" i="5" s="1"/>
  <c r="AX506" i="5"/>
  <c r="AY506" i="5" s="1"/>
  <c r="AX206" i="5"/>
  <c r="AY206" i="5" s="1"/>
  <c r="AX133" i="5"/>
  <c r="AY133" i="5" s="1"/>
  <c r="AX278" i="5"/>
  <c r="AY278" i="5" s="1"/>
  <c r="AX151" i="5"/>
  <c r="AY151" i="5" s="1"/>
  <c r="AX499" i="5"/>
  <c r="AY499" i="5" s="1"/>
  <c r="AX413" i="5"/>
  <c r="AY413" i="5" s="1"/>
  <c r="AX45" i="5"/>
  <c r="AY45" i="5" s="1"/>
  <c r="AX446" i="5"/>
  <c r="AY446" i="5" s="1"/>
  <c r="AX483" i="5"/>
  <c r="AY483" i="5" s="1"/>
  <c r="AX365" i="5"/>
  <c r="AY365" i="5" s="1"/>
  <c r="AX113" i="5"/>
  <c r="AY113" i="5" s="1"/>
  <c r="AX120" i="5"/>
  <c r="AY120" i="5" s="1"/>
  <c r="AX557" i="5"/>
  <c r="AY557" i="5" s="1"/>
  <c r="AX258" i="5"/>
  <c r="AY258" i="5" s="1"/>
  <c r="AX439" i="5"/>
  <c r="AY439" i="5" s="1"/>
  <c r="AX488" i="5"/>
  <c r="AY488" i="5" s="1"/>
  <c r="AX489" i="5"/>
  <c r="AY489" i="5" s="1"/>
  <c r="AX32" i="5"/>
  <c r="AY32" i="5" s="1"/>
  <c r="AX213" i="5"/>
  <c r="AY213" i="5" s="1"/>
  <c r="AX329" i="5"/>
  <c r="AY329" i="5" s="1"/>
  <c r="AX159" i="5"/>
  <c r="AY159" i="5" s="1"/>
  <c r="AX510" i="5"/>
  <c r="AY510" i="5" s="1"/>
  <c r="AX221" i="5"/>
  <c r="AY221" i="5" s="1"/>
  <c r="AX187" i="5"/>
  <c r="AY187" i="5" s="1"/>
  <c r="AX337" i="5"/>
  <c r="AY337" i="5" s="1"/>
  <c r="AX480" i="5"/>
  <c r="AY480" i="5" s="1"/>
  <c r="AX126" i="5"/>
  <c r="AY126" i="5" s="1"/>
  <c r="AX49" i="5"/>
  <c r="AY49" i="5" s="1"/>
  <c r="AX234" i="5"/>
  <c r="AY234" i="5" s="1"/>
  <c r="AX250" i="5"/>
  <c r="AY250" i="5" s="1"/>
  <c r="AX275" i="5"/>
  <c r="AY275" i="5" s="1"/>
  <c r="AX344" i="5"/>
  <c r="AY344" i="5" s="1"/>
  <c r="AX350" i="5"/>
  <c r="AY350" i="5" s="1"/>
  <c r="AX50" i="5"/>
  <c r="AY50" i="5" s="1"/>
  <c r="AX127" i="5"/>
  <c r="AY127" i="5" s="1"/>
  <c r="AX117" i="5"/>
  <c r="AY117" i="5" s="1"/>
  <c r="AX290" i="5"/>
  <c r="AY290" i="5" s="1"/>
  <c r="AX286" i="5"/>
  <c r="AY286" i="5" s="1"/>
  <c r="AX280" i="5"/>
  <c r="AY280" i="5" s="1"/>
  <c r="AX233" i="5"/>
  <c r="AY233" i="5" s="1"/>
  <c r="AX558" i="5"/>
  <c r="AY558" i="5" s="1"/>
  <c r="AX173" i="5"/>
  <c r="AY173" i="5" s="1"/>
  <c r="AX277" i="5"/>
  <c r="AY277" i="5" s="1"/>
  <c r="AX498" i="5"/>
  <c r="AY498" i="5" s="1"/>
  <c r="AX339" i="5"/>
  <c r="AY339" i="5" s="1"/>
  <c r="AX495" i="5"/>
  <c r="AY495" i="5" s="1"/>
  <c r="AX188" i="5"/>
  <c r="AY188" i="5" s="1"/>
  <c r="AX61" i="5"/>
  <c r="AY61" i="5" s="1"/>
  <c r="AX248" i="5"/>
  <c r="AY248" i="5" s="1"/>
  <c r="AX183" i="5"/>
  <c r="AY183" i="5" s="1"/>
  <c r="AX453" i="5"/>
  <c r="AX531" i="5"/>
  <c r="AY531" i="5" s="1"/>
  <c r="AX469" i="5"/>
  <c r="AY469" i="5" s="1"/>
  <c r="AX34" i="5"/>
  <c r="AY34" i="5" s="1"/>
  <c r="AX508" i="5"/>
  <c r="AY508" i="5" s="1"/>
  <c r="AX491" i="5"/>
  <c r="AY491" i="5" s="1"/>
  <c r="AX144" i="5"/>
  <c r="AY144" i="5" s="1"/>
  <c r="AX519" i="5"/>
  <c r="AY519" i="5" s="1"/>
  <c r="Y47" i="4"/>
  <c r="AL47" i="4" s="1"/>
  <c r="AB48" i="4"/>
  <c r="AD48" i="4" s="1"/>
  <c r="AE48" i="4" s="1"/>
  <c r="AB51" i="4"/>
  <c r="AD51" i="4" s="1"/>
  <c r="AE51" i="4" s="1"/>
  <c r="AB37" i="4"/>
  <c r="AD37" i="4" s="1"/>
  <c r="AE37" i="4" s="1"/>
  <c r="AB45" i="4"/>
  <c r="AD45" i="4" s="1"/>
  <c r="AE45" i="4" s="1"/>
  <c r="AL37" i="4"/>
  <c r="AP136" i="4"/>
  <c r="AS136" i="4" s="1"/>
  <c r="AH57" i="4"/>
  <c r="AJ57" i="4" s="1"/>
  <c r="AS57" i="4" s="1"/>
  <c r="AT57" i="4" s="1"/>
  <c r="AU57" i="4" s="1"/>
  <c r="AP64" i="4"/>
  <c r="AS64" i="4" s="1"/>
  <c r="AT64" i="4" s="1"/>
  <c r="AU64" i="4" s="1"/>
  <c r="AG51" i="4"/>
  <c r="AH51" i="4" s="1"/>
  <c r="AJ51" i="4" s="1"/>
  <c r="AP48" i="4"/>
  <c r="AS48" i="4" s="1"/>
  <c r="AL24" i="4"/>
  <c r="AH13" i="4"/>
  <c r="AJ13" i="4" s="1"/>
  <c r="AS13" i="4" s="1"/>
  <c r="AL126" i="4"/>
  <c r="AL45" i="4"/>
  <c r="AP114" i="4"/>
  <c r="AH114" i="4"/>
  <c r="AJ114" i="4" s="1"/>
  <c r="AH153" i="4"/>
  <c r="AJ153" i="4" s="1"/>
  <c r="AS153" i="4" s="1"/>
  <c r="AT153" i="4" s="1"/>
  <c r="AU153" i="4" s="1"/>
  <c r="AL21" i="4"/>
  <c r="AG45" i="4"/>
  <c r="AP45" i="4" s="1"/>
  <c r="AH92" i="4"/>
  <c r="AJ92" i="4" s="1"/>
  <c r="AS92" i="4" s="1"/>
  <c r="AT92" i="4" s="1"/>
  <c r="AU92" i="4" s="1"/>
  <c r="AH145" i="4"/>
  <c r="AJ145" i="4" s="1"/>
  <c r="AS145" i="4" s="1"/>
  <c r="AT145" i="4" s="1"/>
  <c r="AU145" i="4" s="1"/>
  <c r="AH97" i="4"/>
  <c r="AJ97" i="4" s="1"/>
  <c r="AS97" i="4" s="1"/>
  <c r="AB24" i="4"/>
  <c r="AD24" i="4" s="1"/>
  <c r="AE24" i="4" s="1"/>
  <c r="AP27" i="4"/>
  <c r="AH27" i="4"/>
  <c r="AJ27" i="4" s="1"/>
  <c r="AG31" i="4"/>
  <c r="AH31" i="4" s="1"/>
  <c r="AJ31" i="4" s="1"/>
  <c r="Y27" i="4"/>
  <c r="AK27" i="4" s="1"/>
  <c r="AL82" i="4"/>
  <c r="AL89" i="4"/>
  <c r="AH15" i="4"/>
  <c r="AJ15" i="4" s="1"/>
  <c r="AS15" i="4" s="1"/>
  <c r="AL143" i="4"/>
  <c r="AH76" i="4"/>
  <c r="AJ76" i="4" s="1"/>
  <c r="AS76" i="4" s="1"/>
  <c r="AT76" i="4" s="1"/>
  <c r="AU76" i="4" s="1"/>
  <c r="AH65" i="4"/>
  <c r="AJ65" i="4" s="1"/>
  <c r="AS65" i="4" s="1"/>
  <c r="AT65" i="4" s="1"/>
  <c r="AU65" i="4" s="1"/>
  <c r="AP37" i="4"/>
  <c r="AS37" i="4" s="1"/>
  <c r="AT37" i="4" s="1"/>
  <c r="AU37" i="4" s="1"/>
  <c r="AB39" i="4"/>
  <c r="AD39" i="4" s="1"/>
  <c r="AE39" i="4" s="1"/>
  <c r="AB43" i="4"/>
  <c r="AD43" i="4" s="1"/>
  <c r="AE43" i="4" s="1"/>
  <c r="AB35" i="4"/>
  <c r="AD35" i="4" s="1"/>
  <c r="AE35" i="4" s="1"/>
  <c r="AH95" i="4"/>
  <c r="AJ95" i="4" s="1"/>
  <c r="AP95" i="4"/>
  <c r="AH81" i="4"/>
  <c r="AJ81" i="4" s="1"/>
  <c r="AS81" i="4" s="1"/>
  <c r="AT81" i="4" s="1"/>
  <c r="AU81" i="4" s="1"/>
  <c r="AB31" i="4"/>
  <c r="AD31" i="4" s="1"/>
  <c r="AE31" i="4" s="1"/>
  <c r="AH24" i="4"/>
  <c r="AJ24" i="4" s="1"/>
  <c r="AS24" i="4" s="1"/>
  <c r="AT24" i="4" s="1"/>
  <c r="AU24" i="4" s="1"/>
  <c r="AB21" i="4"/>
  <c r="AD21" i="4" s="1"/>
  <c r="AE21" i="4" s="1"/>
  <c r="BV148" i="4"/>
  <c r="BV101" i="4"/>
  <c r="BV145" i="4"/>
  <c r="BV102" i="4"/>
  <c r="BV81" i="4"/>
  <c r="AP108" i="4"/>
  <c r="AS108" i="4" s="1"/>
  <c r="AP119" i="4"/>
  <c r="AS119" i="4" s="1"/>
  <c r="AT119" i="4" s="1"/>
  <c r="AU119" i="4" s="1"/>
  <c r="AL153" i="4"/>
  <c r="BV73" i="4"/>
  <c r="BV141" i="4"/>
  <c r="BV100" i="4"/>
  <c r="BV92" i="4"/>
  <c r="BV88" i="4"/>
  <c r="BV139" i="4"/>
  <c r="BV86" i="4"/>
  <c r="BV74" i="4"/>
  <c r="BV108" i="4"/>
  <c r="BV70" i="4"/>
  <c r="BV98" i="4"/>
  <c r="BV140" i="4"/>
  <c r="BV137" i="4"/>
  <c r="BV118" i="4"/>
  <c r="AP121" i="4"/>
  <c r="AS121" i="4" s="1"/>
  <c r="AT121" i="4" s="1"/>
  <c r="AU121" i="4" s="1"/>
  <c r="AB29" i="4"/>
  <c r="AD29" i="4" s="1"/>
  <c r="AE29" i="4" s="1"/>
  <c r="BV124" i="4"/>
  <c r="BV131" i="4"/>
  <c r="BV143" i="4"/>
  <c r="BV65" i="4"/>
  <c r="BV136" i="4"/>
  <c r="AL85" i="4"/>
  <c r="BV94" i="4"/>
  <c r="BV128" i="4"/>
  <c r="BV35" i="4"/>
  <c r="BV34" i="4"/>
  <c r="BV149" i="4"/>
  <c r="BV85" i="4"/>
  <c r="AP17" i="4"/>
  <c r="AS17" i="4" s="1"/>
  <c r="AT17" i="4" s="1"/>
  <c r="AU17" i="4" s="1"/>
  <c r="AK151" i="4"/>
  <c r="Y19" i="4"/>
  <c r="AK19" i="4" s="1"/>
  <c r="AB23" i="4"/>
  <c r="AD23" i="4" s="1"/>
  <c r="AE23" i="4" s="1"/>
  <c r="BV47" i="4"/>
  <c r="BV144" i="4"/>
  <c r="BV53" i="4"/>
  <c r="BV103" i="4"/>
  <c r="BV113" i="4"/>
  <c r="BV111" i="4"/>
  <c r="BV84" i="4"/>
  <c r="BV64" i="4"/>
  <c r="BV122" i="4"/>
  <c r="BV90" i="4"/>
  <c r="BV68" i="4"/>
  <c r="BV119" i="4"/>
  <c r="BV156" i="4"/>
  <c r="BV106" i="4"/>
  <c r="AP111" i="4"/>
  <c r="AH111" i="4"/>
  <c r="AJ111" i="4" s="1"/>
  <c r="AP126" i="4"/>
  <c r="AS126" i="4" s="1"/>
  <c r="AT126" i="4" s="1"/>
  <c r="AU126" i="4" s="1"/>
  <c r="AK48" i="4"/>
  <c r="AH29" i="4"/>
  <c r="AJ29" i="4" s="1"/>
  <c r="AS29" i="4" s="1"/>
  <c r="AH72" i="4"/>
  <c r="AJ72" i="4" s="1"/>
  <c r="AS72" i="4" s="1"/>
  <c r="AL157" i="4"/>
  <c r="AP67" i="4"/>
  <c r="AS67" i="4" s="1"/>
  <c r="AT67" i="4" s="1"/>
  <c r="AU67" i="4" s="1"/>
  <c r="AH120" i="4"/>
  <c r="AJ120" i="4" s="1"/>
  <c r="AS120" i="4" s="1"/>
  <c r="AG23" i="4"/>
  <c r="AP23" i="4" s="1"/>
  <c r="AG19" i="4"/>
  <c r="AH19" i="4" s="1"/>
  <c r="AJ19" i="4" s="1"/>
  <c r="AL138" i="4"/>
  <c r="AS25" i="4"/>
  <c r="AT25" i="4" s="1"/>
  <c r="AU25" i="4" s="1"/>
  <c r="AH115" i="4"/>
  <c r="AJ115" i="4" s="1"/>
  <c r="AP115" i="4"/>
  <c r="AP152" i="4"/>
  <c r="AH152" i="4"/>
  <c r="AJ152" i="4" s="1"/>
  <c r="AH59" i="4"/>
  <c r="AJ59" i="4" s="1"/>
  <c r="AP59" i="4"/>
  <c r="AP12" i="4"/>
  <c r="AS12" i="4" s="1"/>
  <c r="AT12" i="4" s="1"/>
  <c r="AU12" i="4" s="1"/>
  <c r="AP14" i="4"/>
  <c r="AS14" i="4" s="1"/>
  <c r="AT14" i="4" s="1"/>
  <c r="AU14" i="4" s="1"/>
  <c r="AH101" i="4"/>
  <c r="AJ101" i="4" s="1"/>
  <c r="AS101" i="4" s="1"/>
  <c r="AT101" i="4" s="1"/>
  <c r="AU101" i="4" s="1"/>
  <c r="AP133" i="4"/>
  <c r="AH144" i="4"/>
  <c r="AJ144" i="4" s="1"/>
  <c r="AS144" i="4" s="1"/>
  <c r="AH154" i="4"/>
  <c r="AJ154" i="4" s="1"/>
  <c r="AS154" i="4" s="1"/>
  <c r="AA141" i="4"/>
  <c r="AA40" i="4"/>
  <c r="Y40" i="4" s="1"/>
  <c r="AK40" i="4" s="1"/>
  <c r="AA139" i="4"/>
  <c r="AB14" i="4"/>
  <c r="AD14" i="4" s="1"/>
  <c r="AE14" i="4" s="1"/>
  <c r="AP151" i="4"/>
  <c r="AS151" i="4" s="1"/>
  <c r="AK117" i="4"/>
  <c r="AA155" i="4"/>
  <c r="Y155" i="4" s="1"/>
  <c r="AK155" i="4" s="1"/>
  <c r="AA148" i="4"/>
  <c r="AA52" i="4"/>
  <c r="AA100" i="4"/>
  <c r="Y100" i="4" s="1"/>
  <c r="AK100" i="4" s="1"/>
  <c r="AA116" i="4"/>
  <c r="Y116" i="4" s="1"/>
  <c r="AK116" i="4" s="1"/>
  <c r="AA156" i="4"/>
  <c r="AA103" i="4"/>
  <c r="AA77" i="4"/>
  <c r="Y77" i="4" s="1"/>
  <c r="AK77" i="4" s="1"/>
  <c r="AA135" i="4"/>
  <c r="Y135" i="4" s="1"/>
  <c r="AK135" i="4" s="1"/>
  <c r="AB7" i="4"/>
  <c r="AD7" i="4" s="1"/>
  <c r="AE7" i="4" s="1"/>
  <c r="AA88" i="4"/>
  <c r="AA102" i="4"/>
  <c r="AH8" i="4"/>
  <c r="AJ8" i="4" s="1"/>
  <c r="AS8" i="4" s="1"/>
  <c r="AH36" i="4"/>
  <c r="AJ36" i="4" s="1"/>
  <c r="AS36" i="4" s="1"/>
  <c r="AP157" i="4"/>
  <c r="AA131" i="4"/>
  <c r="Y131" i="4" s="1"/>
  <c r="AK131" i="4" s="1"/>
  <c r="AA93" i="4"/>
  <c r="AA140" i="4"/>
  <c r="AA112" i="4"/>
  <c r="AA78" i="4"/>
  <c r="AA50" i="4"/>
  <c r="AA38" i="4"/>
  <c r="AG38" i="4" s="1"/>
  <c r="AA130" i="4"/>
  <c r="AA16" i="4"/>
  <c r="Y16" i="4" s="1"/>
  <c r="AK16" i="4" s="1"/>
  <c r="AA90" i="4"/>
  <c r="AA30" i="4"/>
  <c r="Y30" i="4" s="1"/>
  <c r="AK30" i="4" s="1"/>
  <c r="AA134" i="4"/>
  <c r="AB15" i="4"/>
  <c r="AD15" i="4" s="1"/>
  <c r="AE15" i="4" s="1"/>
  <c r="AA128" i="4"/>
  <c r="Y128" i="4" s="1"/>
  <c r="AK128" i="4" s="1"/>
  <c r="AA127" i="4"/>
  <c r="AA132" i="4"/>
  <c r="AA87" i="4"/>
  <c r="Y87" i="4" s="1"/>
  <c r="AK87" i="4" s="1"/>
  <c r="AA34" i="4"/>
  <c r="AA42" i="4"/>
  <c r="AA58" i="4"/>
  <c r="Y58" i="4" s="1"/>
  <c r="AK58" i="4" s="1"/>
  <c r="AA79" i="4"/>
  <c r="Y79" i="4" s="1"/>
  <c r="AK79" i="4" s="1"/>
  <c r="AA80" i="4"/>
  <c r="Y80" i="4" s="1"/>
  <c r="AK80" i="4" s="1"/>
  <c r="AA68" i="4"/>
  <c r="Y68" i="4" s="1"/>
  <c r="AK68" i="4" s="1"/>
  <c r="AA41" i="4"/>
  <c r="AB12" i="4"/>
  <c r="AD12" i="4" s="1"/>
  <c r="AE12" i="4" s="1"/>
  <c r="AA149" i="4"/>
  <c r="Y149" i="4" s="1"/>
  <c r="AK149" i="4" s="1"/>
  <c r="AA44" i="4"/>
  <c r="Y44" i="4" s="1"/>
  <c r="AK44" i="4" s="1"/>
  <c r="AB10" i="4"/>
  <c r="AD10" i="4" s="1"/>
  <c r="AE10" i="4" s="1"/>
  <c r="AH147" i="4"/>
  <c r="AJ147" i="4" s="1"/>
  <c r="AS147" i="4" s="1"/>
  <c r="AL14" i="4"/>
  <c r="AA84" i="4"/>
  <c r="AA150" i="4"/>
  <c r="AA49" i="4"/>
  <c r="Y49" i="4" s="1"/>
  <c r="AK49" i="4" s="1"/>
  <c r="AA54" i="4"/>
  <c r="AA73" i="4"/>
  <c r="Y73" i="4" s="1"/>
  <c r="AK73" i="4" s="1"/>
  <c r="AA75" i="4"/>
  <c r="AA55" i="4"/>
  <c r="AB9" i="4"/>
  <c r="AD9" i="4" s="1"/>
  <c r="AE9" i="4" s="1"/>
  <c r="AB13" i="4"/>
  <c r="AD13" i="4" s="1"/>
  <c r="AE13" i="4" s="1"/>
  <c r="AP138" i="4"/>
  <c r="AS138" i="4" s="1"/>
  <c r="AL121" i="4"/>
  <c r="AL96" i="4"/>
  <c r="AH70" i="4"/>
  <c r="AJ70" i="4" s="1"/>
  <c r="AS70" i="4" s="1"/>
  <c r="AH105" i="4"/>
  <c r="AJ105" i="4" s="1"/>
  <c r="AS105" i="4" s="1"/>
  <c r="AH9" i="4"/>
  <c r="AJ9" i="4" s="1"/>
  <c r="AS9" i="4" s="1"/>
  <c r="AT9" i="4" s="1"/>
  <c r="AU9" i="4" s="1"/>
  <c r="AL108" i="4"/>
  <c r="AH123" i="4"/>
  <c r="AJ123" i="4" s="1"/>
  <c r="AS123" i="4" s="1"/>
  <c r="AL9" i="4"/>
  <c r="AH82" i="4"/>
  <c r="AJ82" i="4" s="1"/>
  <c r="AS82" i="4" s="1"/>
  <c r="AT82" i="4" s="1"/>
  <c r="AU82" i="4" s="1"/>
  <c r="AH89" i="4"/>
  <c r="AJ89" i="4" s="1"/>
  <c r="AS89" i="4" s="1"/>
  <c r="AH47" i="4"/>
  <c r="AJ47" i="4" s="1"/>
  <c r="AS47" i="4" s="1"/>
  <c r="AH66" i="4"/>
  <c r="AJ66" i="4" s="1"/>
  <c r="AP66" i="4"/>
  <c r="AH63" i="4"/>
  <c r="AJ63" i="4" s="1"/>
  <c r="AH10" i="4"/>
  <c r="AJ10" i="4" s="1"/>
  <c r="AS10" i="4" s="1"/>
  <c r="AT10" i="4" s="1"/>
  <c r="AU10" i="4" s="1"/>
  <c r="AL39" i="4"/>
  <c r="AL101" i="4"/>
  <c r="AL105" i="4"/>
  <c r="AK25" i="4"/>
  <c r="AL25" i="4"/>
  <c r="AP109" i="4"/>
  <c r="AH122" i="4"/>
  <c r="AJ122" i="4" s="1"/>
  <c r="AS122" i="4" s="1"/>
  <c r="AL137" i="4"/>
  <c r="AK36" i="4"/>
  <c r="AL36" i="4"/>
  <c r="AP137" i="4"/>
  <c r="AS137" i="4" s="1"/>
  <c r="AH143" i="4"/>
  <c r="AJ143" i="4" s="1"/>
  <c r="AS143" i="4" s="1"/>
  <c r="AH86" i="4"/>
  <c r="AJ86" i="4" s="1"/>
  <c r="AS86" i="4" s="1"/>
  <c r="AG96" i="4"/>
  <c r="AL15" i="4"/>
  <c r="AL136" i="4"/>
  <c r="AK133" i="4"/>
  <c r="AL133" i="4"/>
  <c r="AK109" i="4"/>
  <c r="AL109" i="4"/>
  <c r="AP99" i="4"/>
  <c r="AH99" i="4"/>
  <c r="AJ99" i="4" s="1"/>
  <c r="AH61" i="4"/>
  <c r="AJ61" i="4" s="1"/>
  <c r="AP61" i="4"/>
  <c r="AP18" i="4"/>
  <c r="AH18" i="4"/>
  <c r="AJ18" i="4" s="1"/>
  <c r="AH117" i="4"/>
  <c r="AJ117" i="4" s="1"/>
  <c r="AS117" i="4" s="1"/>
  <c r="AT117" i="4" s="1"/>
  <c r="AU117" i="4" s="1"/>
  <c r="AP20" i="4"/>
  <c r="AP85" i="4"/>
  <c r="AH21" i="4"/>
  <c r="AJ21" i="4" s="1"/>
  <c r="AH107" i="4"/>
  <c r="AJ107" i="4" s="1"/>
  <c r="AS107" i="4" s="1"/>
  <c r="AT107" i="4" s="1"/>
  <c r="AU107" i="4" s="1"/>
  <c r="AH124" i="4"/>
  <c r="AJ124" i="4" s="1"/>
  <c r="AS124" i="4" s="1"/>
  <c r="AT124" i="4" s="1"/>
  <c r="AU124" i="4" s="1"/>
  <c r="AK147" i="4"/>
  <c r="AL147" i="4"/>
  <c r="AK66" i="4"/>
  <c r="AL66" i="4"/>
  <c r="AK91" i="4"/>
  <c r="AL91" i="4"/>
  <c r="AG28" i="4"/>
  <c r="AK142" i="4"/>
  <c r="AK69" i="4"/>
  <c r="AK145" i="4"/>
  <c r="AL145" i="4"/>
  <c r="AG118" i="4"/>
  <c r="AG106" i="4"/>
  <c r="AK20" i="4"/>
  <c r="AL20" i="4"/>
  <c r="AK98" i="4"/>
  <c r="AK83" i="4"/>
  <c r="AK33" i="4"/>
  <c r="AG11" i="4"/>
  <c r="Y11" i="4"/>
  <c r="AG91" i="4"/>
  <c r="AK146" i="4"/>
  <c r="AG142" i="4"/>
  <c r="AK8" i="4"/>
  <c r="AK56" i="4"/>
  <c r="AG74" i="4"/>
  <c r="AG69" i="4"/>
  <c r="AK60" i="4"/>
  <c r="AK72" i="4"/>
  <c r="AL72" i="4"/>
  <c r="AK129" i="4"/>
  <c r="AG98" i="4"/>
  <c r="AG33" i="4"/>
  <c r="AK64" i="4"/>
  <c r="AL64" i="4"/>
  <c r="AK26" i="4"/>
  <c r="AG146" i="4"/>
  <c r="AK74" i="4"/>
  <c r="AL74" i="4"/>
  <c r="AK31" i="4"/>
  <c r="AL31" i="4"/>
  <c r="AG60" i="4"/>
  <c r="AH104" i="4"/>
  <c r="AJ104" i="4" s="1"/>
  <c r="AG39" i="4"/>
  <c r="AL104" i="4"/>
  <c r="AK17" i="4"/>
  <c r="AL17" i="4"/>
  <c r="AK71" i="4"/>
  <c r="AL29" i="4"/>
  <c r="AK62" i="4"/>
  <c r="AG26" i="4"/>
  <c r="AG56" i="4"/>
  <c r="AK125" i="4"/>
  <c r="AK32" i="4"/>
  <c r="AK43" i="4"/>
  <c r="AL12" i="4"/>
  <c r="AK61" i="4"/>
  <c r="AL61" i="4"/>
  <c r="AK18" i="4"/>
  <c r="AL18" i="4"/>
  <c r="AG129" i="4"/>
  <c r="AK120" i="4"/>
  <c r="AL120" i="4"/>
  <c r="AG62" i="4"/>
  <c r="AG83" i="4"/>
  <c r="AK113" i="4"/>
  <c r="AK94" i="4"/>
  <c r="AG125" i="4"/>
  <c r="AG32" i="4"/>
  <c r="AG43" i="4"/>
  <c r="AK70" i="4"/>
  <c r="AL70" i="4"/>
  <c r="AK23" i="4"/>
  <c r="AL23" i="4"/>
  <c r="AG71" i="4"/>
  <c r="AG113" i="4"/>
  <c r="AL92" i="4"/>
  <c r="AG94" i="4"/>
  <c r="AK46" i="4"/>
  <c r="AK110" i="4"/>
  <c r="AK154" i="4"/>
  <c r="AL154" i="4"/>
  <c r="AK22" i="4"/>
  <c r="AL8" i="4"/>
  <c r="AK81" i="4"/>
  <c r="AL81" i="4"/>
  <c r="AK53" i="4"/>
  <c r="AK97" i="4"/>
  <c r="AL97" i="4"/>
  <c r="AK51" i="4"/>
  <c r="AL51" i="4"/>
  <c r="AG110" i="4"/>
  <c r="AK76" i="4"/>
  <c r="AL76" i="4"/>
  <c r="AK35" i="4"/>
  <c r="AG22" i="4"/>
  <c r="AK65" i="4"/>
  <c r="AL65" i="4"/>
  <c r="AK124" i="4"/>
  <c r="AL124" i="4"/>
  <c r="AK57" i="4"/>
  <c r="AL57" i="4"/>
  <c r="AG53" i="4"/>
  <c r="AL10" i="4"/>
  <c r="AK28" i="4"/>
  <c r="AL28" i="4"/>
  <c r="AL122" i="4"/>
  <c r="AG46" i="4"/>
  <c r="AG35" i="4"/>
  <c r="AK118" i="4"/>
  <c r="AL118" i="4"/>
  <c r="AK106" i="4"/>
  <c r="AL13" i="4"/>
  <c r="AH7" i="4"/>
  <c r="AJ7" i="4" s="1"/>
  <c r="AS7" i="4" s="1"/>
  <c r="AL7" i="4"/>
  <c r="BE53" i="4"/>
  <c r="BQ53" i="4" s="1"/>
  <c r="BE35" i="4"/>
  <c r="BQ35" i="4" s="1"/>
  <c r="BE47" i="4"/>
  <c r="BH47" i="4" s="1"/>
  <c r="BJ47" i="4" s="1"/>
  <c r="BK47" i="4" s="1"/>
  <c r="BE34" i="4"/>
  <c r="BQ34" i="4" s="1"/>
  <c r="BM24" i="4"/>
  <c r="BE24" i="4"/>
  <c r="BQ24" i="4" s="1"/>
  <c r="BM17" i="4"/>
  <c r="BE17" i="4"/>
  <c r="BQ17" i="4" s="1"/>
  <c r="BM7" i="4"/>
  <c r="BE7" i="4"/>
  <c r="BQ7" i="4" s="1"/>
  <c r="BM32" i="4"/>
  <c r="BE32" i="4"/>
  <c r="BQ32" i="4" s="1"/>
  <c r="BM21" i="4"/>
  <c r="BE21" i="4"/>
  <c r="BQ21" i="4" s="1"/>
  <c r="BM10" i="4"/>
  <c r="BE10" i="4"/>
  <c r="BQ10" i="4" s="1"/>
  <c r="BM16" i="4"/>
  <c r="BE16" i="4"/>
  <c r="BQ16" i="4" s="1"/>
  <c r="BM23" i="4"/>
  <c r="BE23" i="4"/>
  <c r="BQ23" i="4" s="1"/>
  <c r="BH126" i="4"/>
  <c r="BJ126" i="4" s="1"/>
  <c r="BK126" i="4" s="1"/>
  <c r="BH115" i="4"/>
  <c r="BJ115" i="4" s="1"/>
  <c r="BK115" i="4" s="1"/>
  <c r="BH63" i="4"/>
  <c r="BJ63" i="4" s="1"/>
  <c r="BK63" i="4" s="1"/>
  <c r="BH123" i="4"/>
  <c r="BJ123" i="4" s="1"/>
  <c r="BK123" i="4" s="1"/>
  <c r="BH136" i="4"/>
  <c r="BJ136" i="4" s="1"/>
  <c r="BK136" i="4" s="1"/>
  <c r="BH140" i="4"/>
  <c r="BJ140" i="4" s="1"/>
  <c r="BK140" i="4" s="1"/>
  <c r="BH138" i="4"/>
  <c r="BJ138" i="4" s="1"/>
  <c r="BK138" i="4" s="1"/>
  <c r="BH143" i="4"/>
  <c r="BJ143" i="4" s="1"/>
  <c r="BK143" i="4" s="1"/>
  <c r="BH146" i="4"/>
  <c r="BJ146" i="4" s="1"/>
  <c r="BK146" i="4" s="1"/>
  <c r="BH125" i="4"/>
  <c r="BJ125" i="4" s="1"/>
  <c r="BK125" i="4" s="1"/>
  <c r="BH67" i="4"/>
  <c r="BJ67" i="4" s="1"/>
  <c r="BK67" i="4" s="1"/>
  <c r="BH134" i="4"/>
  <c r="BJ134" i="4" s="1"/>
  <c r="BK134" i="4" s="1"/>
  <c r="BH71" i="4"/>
  <c r="BJ71" i="4" s="1"/>
  <c r="BK71" i="4" s="1"/>
  <c r="BH77" i="4"/>
  <c r="BJ77" i="4" s="1"/>
  <c r="BK77" i="4" s="1"/>
  <c r="BH61" i="4"/>
  <c r="BJ61" i="4" s="1"/>
  <c r="BK61" i="4" s="1"/>
  <c r="BH50" i="4"/>
  <c r="BJ50" i="4" s="1"/>
  <c r="BK50" i="4" s="1"/>
  <c r="BH147" i="4"/>
  <c r="BJ147" i="4" s="1"/>
  <c r="BK147" i="4" s="1"/>
  <c r="BH129" i="4"/>
  <c r="BJ129" i="4" s="1"/>
  <c r="BK129" i="4" s="1"/>
  <c r="BH151" i="4"/>
  <c r="BJ151" i="4" s="1"/>
  <c r="BK151" i="4" s="1"/>
  <c r="BH157" i="4"/>
  <c r="BJ157" i="4" s="1"/>
  <c r="BK157" i="4" s="1"/>
  <c r="BH60" i="4"/>
  <c r="BJ60" i="4" s="1"/>
  <c r="BK60" i="4" s="1"/>
  <c r="BH80" i="4"/>
  <c r="BJ80" i="4" s="1"/>
  <c r="BK80" i="4" s="1"/>
  <c r="BH96" i="4"/>
  <c r="BJ96" i="4" s="1"/>
  <c r="BK96" i="4" s="1"/>
  <c r="BH110" i="4"/>
  <c r="BJ110" i="4" s="1"/>
  <c r="BK110" i="4" s="1"/>
  <c r="BH97" i="4"/>
  <c r="BJ97" i="4" s="1"/>
  <c r="BK97" i="4" s="1"/>
  <c r="AS9" i="5"/>
  <c r="AT9" i="5" s="1"/>
  <c r="AT378" i="5"/>
  <c r="AX377" i="5" s="1"/>
  <c r="AY377" i="5" s="1"/>
  <c r="AU496" i="5"/>
  <c r="AT394" i="5"/>
  <c r="AT547" i="5"/>
  <c r="AU536" i="5"/>
  <c r="BH59" i="4"/>
  <c r="BJ59" i="4" s="1"/>
  <c r="BK59" i="4" s="1"/>
  <c r="BH51" i="4"/>
  <c r="BJ51" i="4" s="1"/>
  <c r="BK51" i="4" s="1"/>
  <c r="BH52" i="4"/>
  <c r="BJ52" i="4" s="1"/>
  <c r="BK52" i="4" s="1"/>
  <c r="BH48" i="4"/>
  <c r="BJ48" i="4" s="1"/>
  <c r="BK48" i="4" s="1"/>
  <c r="BH42" i="4"/>
  <c r="BJ42" i="4" s="1"/>
  <c r="BK42" i="4" s="1"/>
  <c r="BH22" i="4"/>
  <c r="BJ22" i="4" s="1"/>
  <c r="BK22" i="4" s="1"/>
  <c r="BH26" i="4"/>
  <c r="BJ26" i="4" s="1"/>
  <c r="BK26" i="4" s="1"/>
  <c r="BH44" i="4"/>
  <c r="BJ44" i="4" s="1"/>
  <c r="BK44" i="4" s="1"/>
  <c r="BH38" i="4"/>
  <c r="BJ38" i="4" s="1"/>
  <c r="BK38" i="4" s="1"/>
  <c r="BH30" i="4"/>
  <c r="BJ30" i="4" s="1"/>
  <c r="BK30" i="4" s="1"/>
  <c r="BH28" i="4"/>
  <c r="BJ28" i="4" s="1"/>
  <c r="BK28" i="4" s="1"/>
  <c r="BH27" i="4"/>
  <c r="BJ27" i="4" s="1"/>
  <c r="BK27" i="4" s="1"/>
  <c r="BR18" i="4"/>
  <c r="BQ18" i="4"/>
  <c r="BU119" i="4"/>
  <c r="BU66" i="4"/>
  <c r="BQ66" i="4"/>
  <c r="BU112" i="4"/>
  <c r="BQ112" i="4"/>
  <c r="BU81" i="4"/>
  <c r="BU93" i="4"/>
  <c r="BQ93" i="4"/>
  <c r="BU117" i="4"/>
  <c r="BQ117" i="4"/>
  <c r="BU7" i="4"/>
  <c r="BU20" i="4"/>
  <c r="BQ20" i="4"/>
  <c r="BR15" i="4"/>
  <c r="BQ15" i="4"/>
  <c r="BU12" i="4"/>
  <c r="BQ12" i="4"/>
  <c r="BU43" i="4"/>
  <c r="BQ43" i="4"/>
  <c r="BU127" i="4"/>
  <c r="BQ127" i="4"/>
  <c r="BU137" i="4"/>
  <c r="BU36" i="4"/>
  <c r="BQ36" i="4"/>
  <c r="BU88" i="4"/>
  <c r="BU84" i="4"/>
  <c r="BU47" i="4"/>
  <c r="BU101" i="4"/>
  <c r="BU98" i="4"/>
  <c r="BU10" i="4"/>
  <c r="BU19" i="4"/>
  <c r="BQ19" i="4"/>
  <c r="BU78" i="4"/>
  <c r="BQ78" i="4"/>
  <c r="BU82" i="4"/>
  <c r="BQ82" i="4"/>
  <c r="BU40" i="4"/>
  <c r="BQ40" i="4"/>
  <c r="BU94" i="4"/>
  <c r="BU9" i="4"/>
  <c r="BQ9" i="4"/>
  <c r="BU73" i="4"/>
  <c r="BR114" i="4"/>
  <c r="BQ114" i="4"/>
  <c r="BH19" i="4"/>
  <c r="BJ19" i="4" s="1"/>
  <c r="BK19" i="4" s="1"/>
  <c r="BU114" i="4"/>
  <c r="BR117" i="4"/>
  <c r="BR93" i="4"/>
  <c r="BR66" i="4"/>
  <c r="BR36" i="4"/>
  <c r="BR43" i="4"/>
  <c r="BG37" i="4"/>
  <c r="BR20" i="4"/>
  <c r="BR82" i="4"/>
  <c r="BH9" i="4"/>
  <c r="BJ9" i="4" s="1"/>
  <c r="BK9" i="4" s="1"/>
  <c r="BR9" i="4"/>
  <c r="BR40" i="4"/>
  <c r="BG154" i="4"/>
  <c r="BR78" i="4"/>
  <c r="BR127" i="4"/>
  <c r="BR112" i="4"/>
  <c r="BR12" i="4"/>
  <c r="BG89" i="4"/>
  <c r="BH20" i="4"/>
  <c r="BJ20" i="4" s="1"/>
  <c r="BK20" i="4" s="1"/>
  <c r="BR19" i="4"/>
  <c r="BU126" i="4"/>
  <c r="BR126" i="4"/>
  <c r="BU131" i="4"/>
  <c r="BU63" i="4"/>
  <c r="BR63" i="4"/>
  <c r="BU31" i="4"/>
  <c r="BU90" i="4"/>
  <c r="BH14" i="4"/>
  <c r="BJ14" i="4" s="1"/>
  <c r="BK14" i="4" s="1"/>
  <c r="BU14" i="4"/>
  <c r="BU65" i="4"/>
  <c r="BU25" i="4"/>
  <c r="BU55" i="4"/>
  <c r="BU142" i="4"/>
  <c r="BU141" i="4"/>
  <c r="BU41" i="4"/>
  <c r="BU129" i="4"/>
  <c r="BR129" i="4"/>
  <c r="BU151" i="4"/>
  <c r="BR151" i="4"/>
  <c r="BU53" i="4"/>
  <c r="BU26" i="4"/>
  <c r="BR26" i="4"/>
  <c r="BG150" i="4"/>
  <c r="BU135" i="4"/>
  <c r="BU133" i="4"/>
  <c r="BU89" i="4"/>
  <c r="BG62" i="4"/>
  <c r="BG56" i="4"/>
  <c r="BU155" i="4"/>
  <c r="BR14" i="4"/>
  <c r="BU154" i="4"/>
  <c r="BU64" i="4"/>
  <c r="BU49" i="4"/>
  <c r="BU60" i="4"/>
  <c r="BR60" i="4"/>
  <c r="BU39" i="4"/>
  <c r="BU75" i="4"/>
  <c r="BU59" i="4"/>
  <c r="BR59" i="4"/>
  <c r="BU134" i="4"/>
  <c r="BR134" i="4"/>
  <c r="BU45" i="4"/>
  <c r="BU115" i="4"/>
  <c r="BR115" i="4"/>
  <c r="BU110" i="4"/>
  <c r="BR110" i="4"/>
  <c r="BU145" i="4"/>
  <c r="BU27" i="4"/>
  <c r="BR27" i="4"/>
  <c r="BU83" i="4"/>
  <c r="BU52" i="4"/>
  <c r="BR52" i="4"/>
  <c r="BH8" i="4"/>
  <c r="BJ8" i="4" s="1"/>
  <c r="BK8" i="4" s="1"/>
  <c r="BU8" i="4"/>
  <c r="BU29" i="4"/>
  <c r="BU67" i="4"/>
  <c r="BR67" i="4"/>
  <c r="BU87" i="4"/>
  <c r="BU121" i="4"/>
  <c r="BR121" i="4"/>
  <c r="BH11" i="4"/>
  <c r="BJ11" i="4" s="1"/>
  <c r="BK11" i="4" s="1"/>
  <c r="BU11" i="4"/>
  <c r="BU143" i="4"/>
  <c r="BU109" i="4"/>
  <c r="BU38" i="4"/>
  <c r="BR38" i="4"/>
  <c r="BU107" i="4"/>
  <c r="BU140" i="4"/>
  <c r="BU50" i="4"/>
  <c r="BR50" i="4"/>
  <c r="BU77" i="4"/>
  <c r="BR77" i="4"/>
  <c r="BH12" i="4"/>
  <c r="BJ12" i="4" s="1"/>
  <c r="BK12" i="4" s="1"/>
  <c r="BU97" i="4"/>
  <c r="BR97" i="4"/>
  <c r="BU70" i="4"/>
  <c r="BU100" i="4"/>
  <c r="BU86" i="4"/>
  <c r="BU69" i="4"/>
  <c r="BU76" i="4"/>
  <c r="BU37" i="4"/>
  <c r="BG135" i="4"/>
  <c r="BG133" i="4"/>
  <c r="BU68" i="4"/>
  <c r="BU16" i="4"/>
  <c r="BU54" i="4"/>
  <c r="BG155" i="4"/>
  <c r="BU128" i="4"/>
  <c r="BU132" i="4"/>
  <c r="BR132" i="4"/>
  <c r="BU71" i="4"/>
  <c r="BR71" i="4"/>
  <c r="BU24" i="4"/>
  <c r="BU111" i="4"/>
  <c r="BU58" i="4"/>
  <c r="BU23" i="4"/>
  <c r="BU35" i="4"/>
  <c r="BU104" i="4"/>
  <c r="BU122" i="4"/>
  <c r="BU105" i="4"/>
  <c r="BU57" i="4"/>
  <c r="BU99" i="4"/>
  <c r="BU103" i="4"/>
  <c r="BU123" i="4"/>
  <c r="BR123" i="4"/>
  <c r="BG72" i="4"/>
  <c r="BU148" i="4"/>
  <c r="BU48" i="4"/>
  <c r="BR48" i="4"/>
  <c r="BU138" i="4"/>
  <c r="BR138" i="4"/>
  <c r="BU108" i="4"/>
  <c r="BU74" i="4"/>
  <c r="BU136" i="4"/>
  <c r="BU156" i="4"/>
  <c r="BU102" i="4"/>
  <c r="BU157" i="4"/>
  <c r="BR157" i="4"/>
  <c r="BU153" i="4"/>
  <c r="BR153" i="4"/>
  <c r="BU116" i="4"/>
  <c r="BG69" i="4"/>
  <c r="BG76" i="4"/>
  <c r="BU34" i="4"/>
  <c r="BR8" i="4"/>
  <c r="BG54" i="4"/>
  <c r="BU46" i="4"/>
  <c r="BU120" i="4"/>
  <c r="BU152" i="4"/>
  <c r="BU130" i="4"/>
  <c r="BU146" i="4"/>
  <c r="BR146" i="4"/>
  <c r="BU33" i="4"/>
  <c r="BU79" i="4"/>
  <c r="BU144" i="4"/>
  <c r="BU147" i="4"/>
  <c r="BR147" i="4"/>
  <c r="BU32" i="4"/>
  <c r="BU42" i="4"/>
  <c r="BR42" i="4"/>
  <c r="BU118" i="4"/>
  <c r="BH15" i="4"/>
  <c r="BJ15" i="4" s="1"/>
  <c r="BK15" i="4" s="1"/>
  <c r="BU15" i="4"/>
  <c r="BU125" i="4"/>
  <c r="BR125" i="4"/>
  <c r="BU80" i="4"/>
  <c r="BR80" i="4"/>
  <c r="BU92" i="4"/>
  <c r="BU149" i="4"/>
  <c r="BH13" i="4"/>
  <c r="BJ13" i="4" s="1"/>
  <c r="BK13" i="4" s="1"/>
  <c r="BU13" i="4"/>
  <c r="BU96" i="4"/>
  <c r="BR96" i="4"/>
  <c r="BU95" i="4"/>
  <c r="BU51" i="4"/>
  <c r="BR51" i="4"/>
  <c r="BU113" i="4"/>
  <c r="BU124" i="4"/>
  <c r="BU91" i="4"/>
  <c r="BU61" i="4"/>
  <c r="BR61" i="4"/>
  <c r="BU44" i="4"/>
  <c r="BR44" i="4"/>
  <c r="BH18" i="4"/>
  <c r="BJ18" i="4" s="1"/>
  <c r="BK18" i="4" s="1"/>
  <c r="BU18" i="4"/>
  <c r="BU30" i="4"/>
  <c r="BR30" i="4"/>
  <c r="BU106" i="4"/>
  <c r="BU28" i="4"/>
  <c r="BR28" i="4"/>
  <c r="BU85" i="4"/>
  <c r="BU21" i="4"/>
  <c r="BU22" i="4"/>
  <c r="BR22" i="4"/>
  <c r="BG116" i="4"/>
  <c r="BU150" i="4"/>
  <c r="BR13" i="4"/>
  <c r="BU72" i="4"/>
  <c r="BU62" i="4"/>
  <c r="BU139" i="4"/>
  <c r="BU56" i="4"/>
  <c r="BG46" i="4"/>
  <c r="BG120" i="4"/>
  <c r="BR11" i="4"/>
  <c r="BG152" i="4"/>
  <c r="BG130" i="4"/>
  <c r="BG45" i="4"/>
  <c r="BG29" i="4"/>
  <c r="BG87" i="4"/>
  <c r="BG109" i="4"/>
  <c r="BG107" i="4"/>
  <c r="BG33" i="4"/>
  <c r="BG58" i="4"/>
  <c r="BG104" i="4"/>
  <c r="BG105" i="4"/>
  <c r="BG99" i="4"/>
  <c r="BG95" i="4"/>
  <c r="BG91" i="4"/>
  <c r="BG39" i="4"/>
  <c r="BG75" i="4"/>
  <c r="BG83" i="4"/>
  <c r="BG79" i="4"/>
  <c r="BG57" i="4"/>
  <c r="BG49" i="4"/>
  <c r="BG31" i="4"/>
  <c r="BG25" i="4"/>
  <c r="BG55" i="4"/>
  <c r="BG142" i="4"/>
  <c r="BG41" i="4"/>
  <c r="AT427" i="5"/>
  <c r="AX426" i="5" s="1"/>
  <c r="AY426" i="5" s="1"/>
  <c r="AT376" i="5"/>
  <c r="AT537" i="5"/>
  <c r="AX536" i="5" s="1"/>
  <c r="AY536" i="5" s="1"/>
  <c r="AU500" i="5"/>
  <c r="AT411" i="5"/>
  <c r="AU414" i="5"/>
  <c r="AU490" i="5"/>
  <c r="AT554" i="5"/>
  <c r="AX553" i="5" s="1"/>
  <c r="AY553" i="5" s="1"/>
  <c r="AT514" i="5"/>
  <c r="AU421" i="5"/>
  <c r="AU456" i="5"/>
  <c r="AU515" i="5"/>
  <c r="AT310" i="5"/>
  <c r="AX309" i="5" s="1"/>
  <c r="AY309" i="5" s="1"/>
  <c r="AU487" i="5"/>
  <c r="AU492" i="5"/>
  <c r="AU556" i="5"/>
  <c r="AU189" i="5"/>
  <c r="AU540" i="5"/>
  <c r="AU300" i="5"/>
  <c r="AU35" i="5"/>
  <c r="AU509" i="5"/>
  <c r="AU377" i="5"/>
  <c r="AU44" i="5"/>
  <c r="AU351" i="5"/>
  <c r="AT388" i="5"/>
  <c r="AX387" i="5" s="1"/>
  <c r="AY387" i="5" s="1"/>
  <c r="AT486" i="5"/>
  <c r="AT375" i="5"/>
  <c r="AT239" i="5"/>
  <c r="AX238" i="5" s="1"/>
  <c r="AY238" i="5" s="1"/>
  <c r="AU58" i="5"/>
  <c r="AU336" i="5"/>
  <c r="AU463" i="5"/>
  <c r="AU320" i="5"/>
  <c r="AT175" i="5"/>
  <c r="AX174" i="5" s="1"/>
  <c r="AY174" i="5" s="1"/>
  <c r="AT455" i="5"/>
  <c r="AX454" i="5" s="1"/>
  <c r="AY454" i="5" s="1"/>
  <c r="AU10" i="5"/>
  <c r="AU340" i="5"/>
  <c r="AU355" i="5"/>
  <c r="AT497" i="5"/>
  <c r="AX496" i="5" s="1"/>
  <c r="AY496" i="5" s="1"/>
  <c r="AT272" i="5"/>
  <c r="AX271" i="5" s="1"/>
  <c r="AY271" i="5" s="1"/>
  <c r="AU12" i="5"/>
  <c r="AT380" i="5"/>
  <c r="AU266" i="5"/>
  <c r="AU391" i="5"/>
  <c r="AY391" i="5" s="1"/>
  <c r="AT542" i="5"/>
  <c r="AX541" i="5" s="1"/>
  <c r="AY541" i="5" s="1"/>
  <c r="AT526" i="5"/>
  <c r="AX525" i="5" s="1"/>
  <c r="AY525" i="5" s="1"/>
  <c r="AU226" i="5"/>
  <c r="AU505" i="5"/>
  <c r="AU402" i="5"/>
  <c r="AU186" i="5"/>
  <c r="AU34" i="5"/>
  <c r="AT383" i="5"/>
  <c r="AU406" i="5"/>
  <c r="AU335" i="5"/>
  <c r="AU345" i="5"/>
  <c r="AU276" i="5"/>
  <c r="AU397" i="5"/>
  <c r="AU349" i="5"/>
  <c r="AT478" i="5"/>
  <c r="AX477" i="5" s="1"/>
  <c r="AY477" i="5" s="1"/>
  <c r="AE9" i="5"/>
  <c r="AT318" i="5"/>
  <c r="AX317" i="5" s="1"/>
  <c r="AY317" i="5" s="1"/>
  <c r="AT367" i="5"/>
  <c r="AX366" i="5" s="1"/>
  <c r="AY366" i="5" s="1"/>
  <c r="AU425" i="5"/>
  <c r="AT363" i="5"/>
  <c r="AX362" i="5" s="1"/>
  <c r="AY362" i="5" s="1"/>
  <c r="AT521" i="5"/>
  <c r="AX520" i="5" s="1"/>
  <c r="AY520" i="5" s="1"/>
  <c r="AT560" i="5"/>
  <c r="AT405" i="5"/>
  <c r="AX404" i="5" s="1"/>
  <c r="AY404" i="5" s="1"/>
  <c r="F64" i="1"/>
  <c r="B179" i="2"/>
  <c r="B181" i="2" s="1"/>
  <c r="F66" i="1" s="1"/>
  <c r="AT390" i="5"/>
  <c r="AX389" i="5" s="1"/>
  <c r="AY389" i="5" s="1"/>
  <c r="AU38" i="5"/>
  <c r="AU347" i="5"/>
  <c r="AT255" i="5"/>
  <c r="AX255" i="5" s="1"/>
  <c r="AY255" i="5" s="1"/>
  <c r="AU470" i="5"/>
  <c r="AU148" i="5"/>
  <c r="AT298" i="5"/>
  <c r="AT485" i="5"/>
  <c r="AX484" i="5" s="1"/>
  <c r="AY484" i="5" s="1"/>
  <c r="AT443" i="5"/>
  <c r="AX442" i="5" s="1"/>
  <c r="AY442" i="5" s="1"/>
  <c r="AU507" i="5"/>
  <c r="AU440" i="5"/>
  <c r="AU250" i="5"/>
  <c r="AT288" i="5"/>
  <c r="AX287" i="5" s="1"/>
  <c r="AT150" i="5"/>
  <c r="AT131" i="5"/>
  <c r="AU331" i="5"/>
  <c r="AT107" i="5"/>
  <c r="AX107" i="5" s="1"/>
  <c r="AY107" i="5" s="1"/>
  <c r="AT268" i="5"/>
  <c r="AX267" i="5" s="1"/>
  <c r="AY267" i="5" s="1"/>
  <c r="AT473" i="5"/>
  <c r="AU491" i="5"/>
  <c r="AT97" i="5"/>
  <c r="AX96" i="5" s="1"/>
  <c r="AY96" i="5" s="1"/>
  <c r="AT323" i="5"/>
  <c r="AX322" i="5" s="1"/>
  <c r="AT163" i="5"/>
  <c r="AX162" i="5" s="1"/>
  <c r="AY162" i="5" s="1"/>
  <c r="AT282" i="5"/>
  <c r="AX281" i="5" s="1"/>
  <c r="AY281" i="5" s="1"/>
  <c r="AT289" i="5"/>
  <c r="AT417" i="5"/>
  <c r="AU488" i="5"/>
  <c r="AU321" i="5"/>
  <c r="AU324" i="5"/>
  <c r="AU115" i="5"/>
  <c r="AT482" i="5"/>
  <c r="AX481" i="5" s="1"/>
  <c r="AY481" i="5" s="1"/>
  <c r="AT111" i="5"/>
  <c r="AX110" i="5" s="1"/>
  <c r="AY110" i="5" s="1"/>
  <c r="AU211" i="5"/>
  <c r="AU102" i="5"/>
  <c r="AT264" i="5"/>
  <c r="AX263" i="5" s="1"/>
  <c r="AY263" i="5" s="1"/>
  <c r="AT76" i="5"/>
  <c r="AX76" i="5" s="1"/>
  <c r="AY76" i="5" s="1"/>
  <c r="AT452" i="5"/>
  <c r="AX451" i="5" s="1"/>
  <c r="AY451" i="5" s="1"/>
  <c r="AU99" i="5"/>
  <c r="AT85" i="5"/>
  <c r="AX84" i="5" s="1"/>
  <c r="AY84" i="5" s="1"/>
  <c r="AU259" i="5"/>
  <c r="AT409" i="5"/>
  <c r="AX408" i="5" s="1"/>
  <c r="AY408" i="5" s="1"/>
  <c r="AU370" i="5"/>
  <c r="AU532" i="5"/>
  <c r="AT449" i="5"/>
  <c r="AX448" i="5" s="1"/>
  <c r="AY448" i="5" s="1"/>
  <c r="AU534" i="5"/>
  <c r="AT37" i="5"/>
  <c r="AX36" i="5" s="1"/>
  <c r="AY36" i="5" s="1"/>
  <c r="AU436" i="5"/>
  <c r="AT29" i="5"/>
  <c r="AU530" i="5"/>
  <c r="AU410" i="5"/>
  <c r="AU197" i="5"/>
  <c r="AT64" i="5"/>
  <c r="AX63" i="5" s="1"/>
  <c r="AY63" i="5" s="1"/>
  <c r="AU516" i="5"/>
  <c r="AU296" i="5"/>
  <c r="AT494" i="5"/>
  <c r="AX493" i="5" s="1"/>
  <c r="AY493" i="5" s="1"/>
  <c r="AU45" i="5"/>
  <c r="AU94" i="5"/>
  <c r="AU472" i="5"/>
  <c r="AT472" i="5"/>
  <c r="AX471" i="5" s="1"/>
  <c r="AY471" i="5" s="1"/>
  <c r="AT416" i="5"/>
  <c r="AU313" i="5"/>
  <c r="AT219" i="5"/>
  <c r="AX218" i="5" s="1"/>
  <c r="AY218" i="5" s="1"/>
  <c r="AU439" i="5"/>
  <c r="AU326" i="5"/>
  <c r="AT513" i="5"/>
  <c r="AX512" i="5" s="1"/>
  <c r="AY512" i="5" s="1"/>
  <c r="AT549" i="5"/>
  <c r="AX548" i="5" s="1"/>
  <c r="AY548" i="5" s="1"/>
  <c r="AU53" i="5"/>
  <c r="AU154" i="5"/>
  <c r="AU551" i="5"/>
  <c r="AT546" i="5"/>
  <c r="AX545" i="5" s="1"/>
  <c r="AY545" i="5" s="1"/>
  <c r="AU325" i="5"/>
  <c r="AT325" i="5"/>
  <c r="AX324" i="5" s="1"/>
  <c r="AY324" i="5" s="1"/>
  <c r="AU11" i="5"/>
  <c r="AT11" i="5"/>
  <c r="AU237" i="5"/>
  <c r="AT130" i="5"/>
  <c r="AU385" i="5"/>
  <c r="AT22" i="5"/>
  <c r="AX21" i="5" s="1"/>
  <c r="AY21" i="5" s="1"/>
  <c r="AU396" i="5"/>
  <c r="AU555" i="5"/>
  <c r="AU235" i="5"/>
  <c r="AR9" i="5"/>
  <c r="AQ9" i="5"/>
  <c r="AT273" i="5"/>
  <c r="AT194" i="5"/>
  <c r="AU329" i="5"/>
  <c r="AU343" i="5"/>
  <c r="AU403" i="5"/>
  <c r="AT524" i="5"/>
  <c r="AX524" i="5" s="1"/>
  <c r="AY524" i="5" s="1"/>
  <c r="AU77" i="5"/>
  <c r="AT382" i="5"/>
  <c r="AT522" i="5"/>
  <c r="AX521" i="5" s="1"/>
  <c r="AY521" i="5" s="1"/>
  <c r="AU362" i="5"/>
  <c r="AT25" i="5"/>
  <c r="AX24" i="5" s="1"/>
  <c r="AY24" i="5" s="1"/>
  <c r="AU93" i="5"/>
  <c r="AU330" i="5"/>
  <c r="AT458" i="5"/>
  <c r="AX457" i="5" s="1"/>
  <c r="AY457" i="5" s="1"/>
  <c r="AT381" i="5"/>
  <c r="AU50" i="5"/>
  <c r="AT203" i="5"/>
  <c r="AX202" i="5" s="1"/>
  <c r="AY202" i="5" s="1"/>
  <c r="AU132" i="5"/>
  <c r="AU159" i="5"/>
  <c r="AU83" i="5"/>
  <c r="AU457" i="5"/>
  <c r="AT205" i="5"/>
  <c r="AX205" i="5" s="1"/>
  <c r="AY205" i="5" s="1"/>
  <c r="AU328" i="5"/>
  <c r="AT191" i="5"/>
  <c r="AX191" i="5" s="1"/>
  <c r="AY191" i="5" s="1"/>
  <c r="AT523" i="5"/>
  <c r="AT354" i="5"/>
  <c r="AX353" i="5" s="1"/>
  <c r="AY353" i="5" s="1"/>
  <c r="AT161" i="5"/>
  <c r="AX160" i="5" s="1"/>
  <c r="AY160" i="5" s="1"/>
  <c r="AU481" i="5"/>
  <c r="AU233" i="5"/>
  <c r="AT359" i="5"/>
  <c r="AU127" i="5"/>
  <c r="AT438" i="5"/>
  <c r="AX437" i="5" s="1"/>
  <c r="AY437" i="5" s="1"/>
  <c r="AU278" i="5"/>
  <c r="AT399" i="5"/>
  <c r="AU244" i="5"/>
  <c r="AT460" i="5"/>
  <c r="AX459" i="5" s="1"/>
  <c r="AY459" i="5" s="1"/>
  <c r="AU469" i="5"/>
  <c r="AU432" i="5"/>
  <c r="AT204" i="5"/>
  <c r="AT212" i="5"/>
  <c r="AX211" i="5" s="1"/>
  <c r="AY211" i="5" s="1"/>
  <c r="AU19" i="5"/>
  <c r="AU342" i="5"/>
  <c r="AT333" i="5"/>
  <c r="AX332" i="5" s="1"/>
  <c r="AY332" i="5" s="1"/>
  <c r="AT379" i="5"/>
  <c r="AT356" i="5"/>
  <c r="AX355" i="5" s="1"/>
  <c r="AU135" i="5"/>
  <c r="AU271" i="5"/>
  <c r="AT220" i="5"/>
  <c r="AX220" i="5" s="1"/>
  <c r="AY220" i="5" s="1"/>
  <c r="AU559" i="5"/>
  <c r="AU230" i="5"/>
  <c r="AT20" i="5"/>
  <c r="AX19" i="5" s="1"/>
  <c r="AT75" i="5"/>
  <c r="AX74" i="5" s="1"/>
  <c r="AY74" i="5" s="1"/>
  <c r="AU533" i="5"/>
  <c r="AU277" i="5"/>
  <c r="AU545" i="5"/>
  <c r="AT371" i="5"/>
  <c r="AT48" i="5"/>
  <c r="AX47" i="5" s="1"/>
  <c r="AY47" i="5" s="1"/>
  <c r="AU139" i="5"/>
  <c r="AU114" i="5"/>
  <c r="AT229" i="5"/>
  <c r="AU453" i="5"/>
  <c r="AU198" i="5"/>
  <c r="AU477" i="5"/>
  <c r="AT65" i="5"/>
  <c r="AU90" i="5"/>
  <c r="AT257" i="5"/>
  <c r="AX256" i="5" s="1"/>
  <c r="AY256" i="5" s="1"/>
  <c r="AU103" i="5"/>
  <c r="AU426" i="5"/>
  <c r="AU92" i="5"/>
  <c r="AT190" i="5"/>
  <c r="AX189" i="5" s="1"/>
  <c r="AY189" i="5" s="1"/>
  <c r="AU294" i="5"/>
  <c r="AU265" i="5"/>
  <c r="AT125" i="5"/>
  <c r="AX124" i="5" s="1"/>
  <c r="AY124" i="5" s="1"/>
  <c r="AT119" i="5"/>
  <c r="AX118" i="5" s="1"/>
  <c r="AY118" i="5" s="1"/>
  <c r="AU445" i="5"/>
  <c r="AY445" i="5" s="1"/>
  <c r="AU166" i="5"/>
  <c r="AU95" i="5"/>
  <c r="AU47" i="5"/>
  <c r="AT195" i="5"/>
  <c r="AT369" i="5"/>
  <c r="AX368" i="5" s="1"/>
  <c r="AY368" i="5" s="1"/>
  <c r="AU164" i="5"/>
  <c r="AU350" i="5"/>
  <c r="AU91" i="5"/>
  <c r="AU309" i="5"/>
  <c r="AU401" i="5"/>
  <c r="AT464" i="5"/>
  <c r="AX463" i="5" s="1"/>
  <c r="AY463" i="5" s="1"/>
  <c r="AU441" i="5"/>
  <c r="AT543" i="5"/>
  <c r="AU143" i="5"/>
  <c r="AT149" i="5"/>
  <c r="AX148" i="5" s="1"/>
  <c r="AY148" i="5" s="1"/>
  <c r="AU172" i="5"/>
  <c r="AT129" i="5"/>
  <c r="AX128" i="5" s="1"/>
  <c r="AY128" i="5" s="1"/>
  <c r="AT41" i="5"/>
  <c r="AU269" i="5"/>
  <c r="AU270" i="5"/>
  <c r="AU59" i="5"/>
  <c r="AT428" i="5"/>
  <c r="AU428" i="5"/>
  <c r="AU368" i="5"/>
  <c r="AT429" i="5"/>
  <c r="AU30" i="5"/>
  <c r="AU334" i="5"/>
  <c r="AT334" i="5"/>
  <c r="AT72" i="5"/>
  <c r="AX71" i="5" s="1"/>
  <c r="AY71" i="5" s="1"/>
  <c r="AU72" i="5"/>
  <c r="AT209" i="5"/>
  <c r="AX208" i="5" s="1"/>
  <c r="AY208" i="5" s="1"/>
  <c r="AU209" i="5"/>
  <c r="AU39" i="5"/>
  <c r="AT327" i="5"/>
  <c r="AX326" i="5" s="1"/>
  <c r="AY326" i="5" s="1"/>
  <c r="AU558" i="5"/>
  <c r="AT461" i="5"/>
  <c r="AU461" i="5"/>
  <c r="AT82" i="5"/>
  <c r="AX81" i="5" s="1"/>
  <c r="AY81" i="5" s="1"/>
  <c r="AU187" i="5"/>
  <c r="AT193" i="5"/>
  <c r="AX192" i="5" s="1"/>
  <c r="AY192" i="5" s="1"/>
  <c r="AT315" i="5"/>
  <c r="AX314" i="5" s="1"/>
  <c r="AU511" i="5"/>
  <c r="AU466" i="5"/>
  <c r="AT52" i="5"/>
  <c r="AX51" i="5" s="1"/>
  <c r="AY51" i="5" s="1"/>
  <c r="AU52" i="5"/>
  <c r="AT87" i="5"/>
  <c r="AT232" i="5"/>
  <c r="AX231" i="5" s="1"/>
  <c r="AY231" i="5" s="1"/>
  <c r="AU444" i="5"/>
  <c r="AT444" i="5"/>
  <c r="AU153" i="5"/>
  <c r="AT153" i="5"/>
  <c r="AX152" i="5" s="1"/>
  <c r="AY152" i="5" s="1"/>
  <c r="AU156" i="5"/>
  <c r="AT156" i="5"/>
  <c r="AX156" i="5" s="1"/>
  <c r="AY156" i="5" s="1"/>
  <c r="AT303" i="5"/>
  <c r="AX302" i="5" s="1"/>
  <c r="AY302" i="5" s="1"/>
  <c r="AU483" i="5"/>
  <c r="AU531" i="5"/>
  <c r="AU79" i="5"/>
  <c r="AT79" i="5"/>
  <c r="AX78" i="5" s="1"/>
  <c r="AY78" i="5" s="1"/>
  <c r="AT89" i="5"/>
  <c r="AX88" i="5" s="1"/>
  <c r="AY88" i="5" s="1"/>
  <c r="AU89" i="5"/>
  <c r="AU36" i="5"/>
  <c r="AU138" i="5"/>
  <c r="AU180" i="5"/>
  <c r="AT196" i="5"/>
  <c r="AU158" i="5"/>
  <c r="AT136" i="5"/>
  <c r="AX135" i="5" s="1"/>
  <c r="AY135" i="5" s="1"/>
  <c r="AT185" i="5"/>
  <c r="AX184" i="5" s="1"/>
  <c r="AY184" i="5" s="1"/>
  <c r="AT42" i="5"/>
  <c r="AU459" i="5"/>
  <c r="AU525" i="5"/>
  <c r="AT361" i="5"/>
  <c r="AX360" i="5" s="1"/>
  <c r="AY360" i="5" s="1"/>
  <c r="AT240" i="5"/>
  <c r="AT465" i="5"/>
  <c r="AU465" i="5"/>
  <c r="AU228" i="5"/>
  <c r="AT228" i="5"/>
  <c r="AX227" i="5" s="1"/>
  <c r="AY227" i="5" s="1"/>
  <c r="AT177" i="5"/>
  <c r="AU177" i="5"/>
  <c r="AU60" i="5"/>
  <c r="AT60" i="5"/>
  <c r="AX59" i="5" s="1"/>
  <c r="AY59" i="5" s="1"/>
  <c r="AU124" i="5"/>
  <c r="AU222" i="5"/>
  <c r="AT435" i="5"/>
  <c r="AX434" i="5" s="1"/>
  <c r="AY434" i="5" s="1"/>
  <c r="AU435" i="5"/>
  <c r="AU274" i="5"/>
  <c r="AT274" i="5"/>
  <c r="AU387" i="5"/>
  <c r="AT431" i="5"/>
  <c r="AX430" i="5" s="1"/>
  <c r="AY430" i="5" s="1"/>
  <c r="AU55" i="5"/>
  <c r="AU208" i="5"/>
  <c r="AU112" i="5"/>
  <c r="AU225" i="5"/>
  <c r="AU84" i="5"/>
  <c r="AT236" i="5"/>
  <c r="AX235" i="5" s="1"/>
  <c r="AY235" i="5" s="1"/>
  <c r="AU224" i="5"/>
  <c r="AT539" i="5"/>
  <c r="AX538" i="5" s="1"/>
  <c r="AY538" i="5" s="1"/>
  <c r="AU539" i="5"/>
  <c r="AU420" i="5"/>
  <c r="AT420" i="5"/>
  <c r="AX420" i="5" s="1"/>
  <c r="AY420" i="5" s="1"/>
  <c r="AT262" i="5"/>
  <c r="AU262" i="5"/>
  <c r="AU304" i="5"/>
  <c r="AT306" i="5"/>
  <c r="AX305" i="5" s="1"/>
  <c r="AY305" i="5" s="1"/>
  <c r="AU74" i="5"/>
  <c r="AT245" i="5"/>
  <c r="AX244" i="5" s="1"/>
  <c r="AY244" i="5" s="1"/>
  <c r="AU519" i="5"/>
  <c r="AT374" i="5"/>
  <c r="AX373" i="5" s="1"/>
  <c r="AY373" i="5" s="1"/>
  <c r="AU86" i="5"/>
  <c r="AT86" i="5"/>
  <c r="AU293" i="5"/>
  <c r="AT293" i="5"/>
  <c r="AT106" i="5"/>
  <c r="AX105" i="5" s="1"/>
  <c r="AY105" i="5" s="1"/>
  <c r="AU322" i="5"/>
  <c r="AU120" i="5"/>
  <c r="AT67" i="5"/>
  <c r="AX66" i="5" s="1"/>
  <c r="AY66" i="5" s="1"/>
  <c r="AU527" i="5"/>
  <c r="AT527" i="5"/>
  <c r="AT358" i="5"/>
  <c r="AX357" i="5" s="1"/>
  <c r="AY357" i="5" s="1"/>
  <c r="AU358" i="5"/>
  <c r="AT31" i="5"/>
  <c r="AX30" i="5" s="1"/>
  <c r="AY30" i="5" s="1"/>
  <c r="AU31" i="5"/>
  <c r="AU167" i="5"/>
  <c r="AT167" i="5"/>
  <c r="AX166" i="5" s="1"/>
  <c r="AY166" i="5" s="1"/>
  <c r="AU297" i="5"/>
  <c r="AU121" i="5"/>
  <c r="AU26" i="5"/>
  <c r="AT26" i="5"/>
  <c r="AT348" i="5"/>
  <c r="AX347" i="5" s="1"/>
  <c r="AU348" i="5"/>
  <c r="AU423" i="5"/>
  <c r="AT423" i="5"/>
  <c r="AU23" i="5"/>
  <c r="AT23" i="5"/>
  <c r="AU312" i="5"/>
  <c r="AT312" i="5"/>
  <c r="AX311" i="5" s="1"/>
  <c r="AY311" i="5" s="1"/>
  <c r="AT246" i="5"/>
  <c r="AU246" i="5"/>
  <c r="AU437" i="5"/>
  <c r="AT535" i="5"/>
  <c r="AX534" i="5" s="1"/>
  <c r="AY534" i="5" s="1"/>
  <c r="AU535" i="5"/>
  <c r="AU415" i="5"/>
  <c r="AT415" i="5"/>
  <c r="AX414" i="5" s="1"/>
  <c r="AY414" i="5" s="1"/>
  <c r="AU104" i="5"/>
  <c r="AT104" i="5"/>
  <c r="AU210" i="5"/>
  <c r="AT210" i="5"/>
  <c r="AT168" i="5"/>
  <c r="AU168" i="5"/>
  <c r="AU242" i="5"/>
  <c r="AT284" i="5"/>
  <c r="AX283" i="5" s="1"/>
  <c r="AY283" i="5" s="1"/>
  <c r="AU284" i="5"/>
  <c r="AU314" i="5"/>
  <c r="AT419" i="5"/>
  <c r="AX418" i="5" s="1"/>
  <c r="AY418" i="5" s="1"/>
  <c r="AT261" i="5"/>
  <c r="AX260" i="5" s="1"/>
  <c r="AY260" i="5" s="1"/>
  <c r="AU291" i="5"/>
  <c r="AU287" i="5"/>
  <c r="AT295" i="5"/>
  <c r="AX294" i="5" s="1"/>
  <c r="AY294" i="5" s="1"/>
  <c r="AU295" i="5"/>
  <c r="AU400" i="5"/>
  <c r="AT400" i="5"/>
  <c r="AU199" i="5"/>
  <c r="AT199" i="5"/>
  <c r="AX198" i="5" s="1"/>
  <c r="AY198" i="5" s="1"/>
  <c r="AT552" i="5"/>
  <c r="AT68" i="5"/>
  <c r="AU68" i="5"/>
  <c r="AT73" i="5"/>
  <c r="AU73" i="5"/>
  <c r="AU165" i="5"/>
  <c r="AT165" i="5"/>
  <c r="AX164" i="5" s="1"/>
  <c r="AY164" i="5" s="1"/>
  <c r="AT80" i="5"/>
  <c r="AU80" i="5"/>
  <c r="AU285" i="5"/>
  <c r="AT285" i="5"/>
  <c r="AX285" i="5" s="1"/>
  <c r="AY285" i="5" s="1"/>
  <c r="AU254" i="5"/>
  <c r="AT254" i="5"/>
  <c r="AX253" i="5" s="1"/>
  <c r="AY253" i="5" s="1"/>
  <c r="AT170" i="5"/>
  <c r="AX169" i="5" s="1"/>
  <c r="AY169" i="5" s="1"/>
  <c r="AU170" i="5"/>
  <c r="AT474" i="5"/>
  <c r="AU474" i="5"/>
  <c r="AT292" i="5"/>
  <c r="AX291" i="5" s="1"/>
  <c r="AU28" i="5"/>
  <c r="AT28" i="5"/>
  <c r="AX27" i="5" s="1"/>
  <c r="AY27" i="5" s="1"/>
  <c r="AT40" i="5"/>
  <c r="AX39" i="5" s="1"/>
  <c r="AY39" i="5" s="1"/>
  <c r="AU40" i="5"/>
  <c r="AU302" i="5"/>
  <c r="AU140" i="5"/>
  <c r="AU529" i="5"/>
  <c r="AT529" i="5"/>
  <c r="AX528" i="5" s="1"/>
  <c r="AY528" i="5" s="1"/>
  <c r="AT518" i="5"/>
  <c r="AX517" i="5" s="1"/>
  <c r="AY517" i="5" s="1"/>
  <c r="AU518" i="5"/>
  <c r="AT122" i="5"/>
  <c r="AX121" i="5" s="1"/>
  <c r="AY121" i="5" s="1"/>
  <c r="AU122" i="5"/>
  <c r="AU404" i="5"/>
  <c r="AT476" i="5"/>
  <c r="AX475" i="5" s="1"/>
  <c r="AY475" i="5" s="1"/>
  <c r="AU476" i="5"/>
  <c r="AU101" i="5"/>
  <c r="AT101" i="5"/>
  <c r="AX100" i="5" s="1"/>
  <c r="AY100" i="5" s="1"/>
  <c r="AT181" i="5"/>
  <c r="AU181" i="5"/>
  <c r="AU221" i="5"/>
  <c r="AU24" i="5"/>
  <c r="AU263" i="5"/>
  <c r="AU544" i="5"/>
  <c r="AT544" i="5"/>
  <c r="AU155" i="5"/>
  <c r="AT155" i="5"/>
  <c r="AX154" i="5" s="1"/>
  <c r="AY154" i="5" s="1"/>
  <c r="AT123" i="5"/>
  <c r="AU123" i="5"/>
  <c r="AT398" i="5"/>
  <c r="AX397" i="5" s="1"/>
  <c r="AY397" i="5" s="1"/>
  <c r="AU398" i="5"/>
  <c r="AU503" i="5"/>
  <c r="AT503" i="5"/>
  <c r="AU133" i="5"/>
  <c r="AU316" i="5"/>
  <c r="AT407" i="5"/>
  <c r="AX406" i="5" s="1"/>
  <c r="AY406" i="5" s="1"/>
  <c r="AU407" i="5"/>
  <c r="AU56" i="5"/>
  <c r="AT56" i="5"/>
  <c r="AX55" i="5" s="1"/>
  <c r="AY55" i="5" s="1"/>
  <c r="AU386" i="5"/>
  <c r="AT386" i="5"/>
  <c r="AX385" i="5" s="1"/>
  <c r="AU346" i="5"/>
  <c r="AT346" i="5"/>
  <c r="AX345" i="5" s="1"/>
  <c r="AY345" i="5" s="1"/>
  <c r="AT176" i="5"/>
  <c r="AU176" i="5"/>
  <c r="AT98" i="5"/>
  <c r="AU98" i="5"/>
  <c r="AT307" i="5"/>
  <c r="AU307" i="5"/>
  <c r="AU243" i="5"/>
  <c r="AT243" i="5"/>
  <c r="AX242" i="5" s="1"/>
  <c r="AY242" i="5" s="1"/>
  <c r="AL164" i="4" l="1"/>
  <c r="AB164" i="4"/>
  <c r="AD164" i="4" s="1"/>
  <c r="AE164" i="4" s="1"/>
  <c r="BR257" i="4"/>
  <c r="AL161" i="4"/>
  <c r="AL255" i="4"/>
  <c r="AK169" i="4"/>
  <c r="AB217" i="4"/>
  <c r="AD217" i="4" s="1"/>
  <c r="AE217" i="4" s="1"/>
  <c r="BR256" i="4"/>
  <c r="BH256" i="4"/>
  <c r="BJ256" i="4" s="1"/>
  <c r="BK256" i="4" s="1"/>
  <c r="BR291" i="4"/>
  <c r="AL279" i="4"/>
  <c r="AB263" i="4"/>
  <c r="AD263" i="4" s="1"/>
  <c r="AE263" i="4" s="1"/>
  <c r="BR258" i="4"/>
  <c r="AL300" i="4"/>
  <c r="BH262" i="4"/>
  <c r="BJ262" i="4" s="1"/>
  <c r="BK262" i="4" s="1"/>
  <c r="BR262" i="4"/>
  <c r="AL254" i="4"/>
  <c r="BH253" i="4"/>
  <c r="BJ253" i="4" s="1"/>
  <c r="BK253" i="4" s="1"/>
  <c r="AK254" i="4"/>
  <c r="BH81" i="4"/>
  <c r="BJ81" i="4" s="1"/>
  <c r="BK81" i="4" s="1"/>
  <c r="BH301" i="4"/>
  <c r="BJ301" i="4" s="1"/>
  <c r="BK301" i="4" s="1"/>
  <c r="BH288" i="4"/>
  <c r="BJ288" i="4" s="1"/>
  <c r="BK288" i="4" s="1"/>
  <c r="BH209" i="4"/>
  <c r="BJ209" i="4" s="1"/>
  <c r="BK209" i="4" s="1"/>
  <c r="AB185" i="4"/>
  <c r="AD185" i="4" s="1"/>
  <c r="AE185" i="4" s="1"/>
  <c r="BH316" i="4"/>
  <c r="BJ316" i="4" s="1"/>
  <c r="BK316" i="4" s="1"/>
  <c r="AB279" i="4"/>
  <c r="AD279" i="4" s="1"/>
  <c r="AE279" i="4" s="1"/>
  <c r="BH305" i="4"/>
  <c r="BJ305" i="4" s="1"/>
  <c r="BK305" i="4" s="1"/>
  <c r="BH249" i="4"/>
  <c r="BJ249" i="4" s="1"/>
  <c r="BK249" i="4" s="1"/>
  <c r="BH277" i="4"/>
  <c r="BJ277" i="4" s="1"/>
  <c r="BK277" i="4" s="1"/>
  <c r="AB159" i="4"/>
  <c r="AD159" i="4" s="1"/>
  <c r="AE159" i="4" s="1"/>
  <c r="AB284" i="4"/>
  <c r="AD284" i="4" s="1"/>
  <c r="AE284" i="4" s="1"/>
  <c r="BR140" i="4"/>
  <c r="AL159" i="4"/>
  <c r="BR195" i="4"/>
  <c r="BH224" i="4"/>
  <c r="BJ224" i="4" s="1"/>
  <c r="BK224" i="4" s="1"/>
  <c r="AB300" i="4"/>
  <c r="AD300" i="4" s="1"/>
  <c r="AE300" i="4" s="1"/>
  <c r="AB291" i="4"/>
  <c r="AD291" i="4" s="1"/>
  <c r="AE291" i="4" s="1"/>
  <c r="AL185" i="4"/>
  <c r="BQ179" i="4"/>
  <c r="AL217" i="4"/>
  <c r="AK179" i="4"/>
  <c r="BR198" i="4"/>
  <c r="AL152" i="4"/>
  <c r="BQ168" i="4"/>
  <c r="AL263" i="4"/>
  <c r="AL238" i="4"/>
  <c r="BQ166" i="4"/>
  <c r="BR168" i="4"/>
  <c r="BR224" i="4"/>
  <c r="AT205" i="4"/>
  <c r="AU205" i="4" s="1"/>
  <c r="BN205" i="4" s="1"/>
  <c r="BP205" i="4" s="1"/>
  <c r="CB205" i="4" s="1"/>
  <c r="CC205" i="4" s="1"/>
  <c r="BH74" i="4"/>
  <c r="BJ74" i="4" s="1"/>
  <c r="BK74" i="4" s="1"/>
  <c r="BR173" i="4"/>
  <c r="BR188" i="4"/>
  <c r="BH188" i="4"/>
  <c r="BJ188" i="4" s="1"/>
  <c r="BK188" i="4" s="1"/>
  <c r="BH166" i="4"/>
  <c r="BJ166" i="4" s="1"/>
  <c r="BK166" i="4" s="1"/>
  <c r="BR298" i="4"/>
  <c r="AB99" i="4"/>
  <c r="AD99" i="4" s="1"/>
  <c r="AE99" i="4" s="1"/>
  <c r="AB123" i="4"/>
  <c r="AD123" i="4" s="1"/>
  <c r="AE123" i="4" s="1"/>
  <c r="BR253" i="4"/>
  <c r="BQ298" i="4"/>
  <c r="AY314" i="5"/>
  <c r="BR229" i="4"/>
  <c r="BQ229" i="4"/>
  <c r="AK99" i="4"/>
  <c r="BH86" i="4"/>
  <c r="BJ86" i="4" s="1"/>
  <c r="BK86" i="4" s="1"/>
  <c r="AL179" i="4"/>
  <c r="BQ301" i="4"/>
  <c r="AL160" i="4"/>
  <c r="BH85" i="4"/>
  <c r="BJ85" i="4" s="1"/>
  <c r="BK85" i="4" s="1"/>
  <c r="AL119" i="4"/>
  <c r="AB119" i="4"/>
  <c r="AD119" i="4" s="1"/>
  <c r="AE119" i="4" s="1"/>
  <c r="AY336" i="5"/>
  <c r="BQ263" i="4"/>
  <c r="AB184" i="4"/>
  <c r="AD184" i="4" s="1"/>
  <c r="AE184" i="4" s="1"/>
  <c r="BH236" i="4"/>
  <c r="BJ236" i="4" s="1"/>
  <c r="BK236" i="4" s="1"/>
  <c r="BR319" i="4"/>
  <c r="BR279" i="4"/>
  <c r="BR321" i="4"/>
  <c r="AL184" i="4"/>
  <c r="BQ164" i="4"/>
  <c r="BR263" i="4"/>
  <c r="AL270" i="4"/>
  <c r="AK270" i="4"/>
  <c r="AB107" i="4"/>
  <c r="AD107" i="4" s="1"/>
  <c r="AE107" i="4" s="1"/>
  <c r="AX175" i="5"/>
  <c r="AY175" i="5" s="1"/>
  <c r="BQ195" i="4"/>
  <c r="BQ198" i="4"/>
  <c r="AL250" i="4"/>
  <c r="BR185" i="4"/>
  <c r="BR316" i="4"/>
  <c r="BR209" i="4"/>
  <c r="BR320" i="4"/>
  <c r="AL107" i="4"/>
  <c r="BR164" i="4"/>
  <c r="AK176" i="4"/>
  <c r="AB248" i="4"/>
  <c r="AD248" i="4" s="1"/>
  <c r="AE248" i="4" s="1"/>
  <c r="BH300" i="4"/>
  <c r="BJ300" i="4" s="1"/>
  <c r="BK300" i="4" s="1"/>
  <c r="BH312" i="4"/>
  <c r="BJ312" i="4" s="1"/>
  <c r="BK312" i="4" s="1"/>
  <c r="BH148" i="4"/>
  <c r="BJ148" i="4" s="1"/>
  <c r="BK148" i="4" s="1"/>
  <c r="BH259" i="4"/>
  <c r="BJ259" i="4" s="1"/>
  <c r="BK259" i="4" s="1"/>
  <c r="AB295" i="4"/>
  <c r="AD295" i="4" s="1"/>
  <c r="AE295" i="4" s="1"/>
  <c r="BH111" i="4"/>
  <c r="BJ111" i="4" s="1"/>
  <c r="BK111" i="4" s="1"/>
  <c r="AB325" i="4"/>
  <c r="AD325" i="4" s="1"/>
  <c r="AE325" i="4" s="1"/>
  <c r="AB287" i="4"/>
  <c r="AD287" i="4" s="1"/>
  <c r="AE287" i="4" s="1"/>
  <c r="BH273" i="4"/>
  <c r="BJ273" i="4" s="1"/>
  <c r="BK273" i="4" s="1"/>
  <c r="BH141" i="4"/>
  <c r="BJ141" i="4" s="1"/>
  <c r="BK141" i="4" s="1"/>
  <c r="BH322" i="4"/>
  <c r="BJ322" i="4" s="1"/>
  <c r="BK322" i="4" s="1"/>
  <c r="BH258" i="4"/>
  <c r="BJ258" i="4" s="1"/>
  <c r="BK258" i="4" s="1"/>
  <c r="BH319" i="4"/>
  <c r="BJ319" i="4" s="1"/>
  <c r="BK319" i="4" s="1"/>
  <c r="BR216" i="4"/>
  <c r="AL314" i="4"/>
  <c r="AK314" i="4"/>
  <c r="BR236" i="4"/>
  <c r="BR260" i="4"/>
  <c r="BR288" i="4"/>
  <c r="AL169" i="4"/>
  <c r="AK160" i="4"/>
  <c r="AL173" i="4"/>
  <c r="BR273" i="4"/>
  <c r="AL292" i="4"/>
  <c r="AL213" i="4"/>
  <c r="AL291" i="4"/>
  <c r="BR249" i="4"/>
  <c r="AB173" i="4"/>
  <c r="AD173" i="4" s="1"/>
  <c r="AE173" i="4" s="1"/>
  <c r="BH233" i="4"/>
  <c r="BJ233" i="4" s="1"/>
  <c r="BK233" i="4" s="1"/>
  <c r="BR144" i="4"/>
  <c r="BH137" i="4"/>
  <c r="BJ137" i="4" s="1"/>
  <c r="BK137" i="4" s="1"/>
  <c r="AL234" i="4"/>
  <c r="AB234" i="4"/>
  <c r="AD234" i="4" s="1"/>
  <c r="AE234" i="4" s="1"/>
  <c r="BH92" i="4"/>
  <c r="BJ92" i="4" s="1"/>
  <c r="BK92" i="4" s="1"/>
  <c r="AL183" i="4"/>
  <c r="AK183" i="4"/>
  <c r="AL295" i="4"/>
  <c r="BR295" i="4"/>
  <c r="BR268" i="4"/>
  <c r="BH144" i="4"/>
  <c r="BJ144" i="4" s="1"/>
  <c r="BK144" i="4" s="1"/>
  <c r="AL176" i="4"/>
  <c r="BM265" i="4"/>
  <c r="BV265" i="4" s="1"/>
  <c r="BE265" i="4"/>
  <c r="BQ265" i="4" s="1"/>
  <c r="BR156" i="4"/>
  <c r="BH139" i="4"/>
  <c r="BJ139" i="4" s="1"/>
  <c r="BK139" i="4" s="1"/>
  <c r="BH281" i="4"/>
  <c r="BJ281" i="4" s="1"/>
  <c r="BK281" i="4" s="1"/>
  <c r="BH303" i="4"/>
  <c r="BJ303" i="4" s="1"/>
  <c r="BK303" i="4" s="1"/>
  <c r="BH181" i="4"/>
  <c r="BJ181" i="4" s="1"/>
  <c r="BK181" i="4" s="1"/>
  <c r="AG264" i="4"/>
  <c r="AP264" i="4" s="1"/>
  <c r="Y264" i="4"/>
  <c r="AL264" i="4" s="1"/>
  <c r="AG243" i="4"/>
  <c r="AH243" i="4" s="1"/>
  <c r="AJ243" i="4" s="1"/>
  <c r="Y243" i="4"/>
  <c r="AL243" i="4" s="1"/>
  <c r="BM285" i="4"/>
  <c r="BV285" i="4" s="1"/>
  <c r="BE285" i="4"/>
  <c r="BR285" i="4" s="1"/>
  <c r="AG289" i="4"/>
  <c r="AH289" i="4" s="1"/>
  <c r="AJ289" i="4" s="1"/>
  <c r="Y289" i="4"/>
  <c r="AL289" i="4" s="1"/>
  <c r="AB250" i="4"/>
  <c r="AD250" i="4" s="1"/>
  <c r="AE250" i="4" s="1"/>
  <c r="BM247" i="4"/>
  <c r="BV247" i="4" s="1"/>
  <c r="BE247" i="4"/>
  <c r="BQ247" i="4" s="1"/>
  <c r="AG276" i="4"/>
  <c r="AP276" i="4" s="1"/>
  <c r="Y276" i="4"/>
  <c r="AK276" i="4" s="1"/>
  <c r="AG282" i="4"/>
  <c r="AH282" i="4" s="1"/>
  <c r="AJ282" i="4" s="1"/>
  <c r="Y282" i="4"/>
  <c r="AK282" i="4" s="1"/>
  <c r="AG323" i="4"/>
  <c r="AH323" i="4" s="1"/>
  <c r="AJ323" i="4" s="1"/>
  <c r="Y323" i="4"/>
  <c r="AK323" i="4" s="1"/>
  <c r="BM275" i="4"/>
  <c r="BV275" i="4" s="1"/>
  <c r="BE275" i="4"/>
  <c r="BQ275" i="4" s="1"/>
  <c r="BM269" i="4"/>
  <c r="BV269" i="4" s="1"/>
  <c r="BE269" i="4"/>
  <c r="BQ269" i="4" s="1"/>
  <c r="BH156" i="4"/>
  <c r="BJ156" i="4" s="1"/>
  <c r="BK156" i="4" s="1"/>
  <c r="AG307" i="4"/>
  <c r="AP307" i="4" s="1"/>
  <c r="Y307" i="4"/>
  <c r="AL307" i="4" s="1"/>
  <c r="AG268" i="4"/>
  <c r="AH268" i="4" s="1"/>
  <c r="AJ268" i="4" s="1"/>
  <c r="Y268" i="4"/>
  <c r="AK268" i="4" s="1"/>
  <c r="AG297" i="4"/>
  <c r="AP297" i="4" s="1"/>
  <c r="Y297" i="4"/>
  <c r="BM293" i="4"/>
  <c r="BV293" i="4" s="1"/>
  <c r="BE293" i="4"/>
  <c r="BR293" i="4" s="1"/>
  <c r="BM252" i="4"/>
  <c r="BV252" i="4" s="1"/>
  <c r="BE252" i="4"/>
  <c r="BR252" i="4" s="1"/>
  <c r="AG280" i="4"/>
  <c r="AP280" i="4" s="1"/>
  <c r="Y280" i="4"/>
  <c r="AK280" i="4" s="1"/>
  <c r="AG242" i="4"/>
  <c r="AH242" i="4" s="1"/>
  <c r="AJ242" i="4" s="1"/>
  <c r="Y242" i="4"/>
  <c r="AK242" i="4" s="1"/>
  <c r="BH191" i="4"/>
  <c r="BJ191" i="4" s="1"/>
  <c r="BK191" i="4" s="1"/>
  <c r="BM282" i="4"/>
  <c r="BV282" i="4" s="1"/>
  <c r="BE282" i="4"/>
  <c r="AB273" i="4"/>
  <c r="AD273" i="4" s="1"/>
  <c r="AE273" i="4" s="1"/>
  <c r="BM284" i="4"/>
  <c r="BV284" i="4" s="1"/>
  <c r="BE284" i="4"/>
  <c r="BR284" i="4" s="1"/>
  <c r="AG251" i="4"/>
  <c r="AH251" i="4" s="1"/>
  <c r="AJ251" i="4" s="1"/>
  <c r="Y251" i="4"/>
  <c r="AL251" i="4" s="1"/>
  <c r="AG290" i="4"/>
  <c r="AP290" i="4" s="1"/>
  <c r="Y290" i="4"/>
  <c r="AL290" i="4" s="1"/>
  <c r="AB244" i="4"/>
  <c r="AD244" i="4" s="1"/>
  <c r="AE244" i="4" s="1"/>
  <c r="AG322" i="4"/>
  <c r="AP322" i="4" s="1"/>
  <c r="Y322" i="4"/>
  <c r="AL322" i="4" s="1"/>
  <c r="BH173" i="4"/>
  <c r="BJ173" i="4" s="1"/>
  <c r="BK173" i="4" s="1"/>
  <c r="AB253" i="4"/>
  <c r="AD253" i="4" s="1"/>
  <c r="AE253" i="4" s="1"/>
  <c r="BH149" i="4"/>
  <c r="BJ149" i="4" s="1"/>
  <c r="BK149" i="4" s="1"/>
  <c r="AL253" i="4"/>
  <c r="BM289" i="4"/>
  <c r="BV289" i="4" s="1"/>
  <c r="BE289" i="4"/>
  <c r="BQ289" i="4" s="1"/>
  <c r="BM299" i="4"/>
  <c r="BV299" i="4" s="1"/>
  <c r="BE299" i="4"/>
  <c r="BQ299" i="4" s="1"/>
  <c r="AG306" i="4"/>
  <c r="AP306" i="4" s="1"/>
  <c r="Y306" i="4"/>
  <c r="AK306" i="4" s="1"/>
  <c r="AG271" i="4"/>
  <c r="AP271" i="4" s="1"/>
  <c r="Y271" i="4"/>
  <c r="AK271" i="4" s="1"/>
  <c r="AG272" i="4"/>
  <c r="AH272" i="4" s="1"/>
  <c r="AJ272" i="4" s="1"/>
  <c r="Y272" i="4"/>
  <c r="AK272" i="4" s="1"/>
  <c r="BH174" i="4"/>
  <c r="BJ174" i="4" s="1"/>
  <c r="BK174" i="4" s="1"/>
  <c r="BR139" i="4"/>
  <c r="AG262" i="4"/>
  <c r="AH262" i="4" s="1"/>
  <c r="AJ262" i="4" s="1"/>
  <c r="Y262" i="4"/>
  <c r="AK262" i="4" s="1"/>
  <c r="BH276" i="4"/>
  <c r="BJ276" i="4" s="1"/>
  <c r="BK276" i="4" s="1"/>
  <c r="AG298" i="4"/>
  <c r="AP298" i="4" s="1"/>
  <c r="Y298" i="4"/>
  <c r="AK298" i="4" s="1"/>
  <c r="BH304" i="4"/>
  <c r="BJ304" i="4" s="1"/>
  <c r="BK304" i="4" s="1"/>
  <c r="AB228" i="4"/>
  <c r="AD228" i="4" s="1"/>
  <c r="AE228" i="4" s="1"/>
  <c r="AG310" i="4"/>
  <c r="AH310" i="4" s="1"/>
  <c r="AJ310" i="4" s="1"/>
  <c r="Y310" i="4"/>
  <c r="AK310" i="4" s="1"/>
  <c r="BM294" i="4"/>
  <c r="BV294" i="4" s="1"/>
  <c r="BE294" i="4"/>
  <c r="BQ294" i="4" s="1"/>
  <c r="AG302" i="4"/>
  <c r="AP302" i="4" s="1"/>
  <c r="Y302" i="4"/>
  <c r="AG315" i="4"/>
  <c r="AP315" i="4" s="1"/>
  <c r="Y315" i="4"/>
  <c r="AL315" i="4" s="1"/>
  <c r="BH309" i="4"/>
  <c r="BJ309" i="4" s="1"/>
  <c r="BK309" i="4" s="1"/>
  <c r="BM266" i="4"/>
  <c r="BV266" i="4" s="1"/>
  <c r="BE266" i="4"/>
  <c r="BR266" i="4" s="1"/>
  <c r="BM261" i="4"/>
  <c r="BV261" i="4" s="1"/>
  <c r="BE261" i="4"/>
  <c r="BR261" i="4" s="1"/>
  <c r="BR174" i="4"/>
  <c r="AB213" i="4"/>
  <c r="AD213" i="4" s="1"/>
  <c r="AE213" i="4" s="1"/>
  <c r="BH295" i="4"/>
  <c r="BJ295" i="4" s="1"/>
  <c r="BK295" i="4" s="1"/>
  <c r="AL325" i="4"/>
  <c r="AG301" i="4"/>
  <c r="AH301" i="4" s="1"/>
  <c r="AJ301" i="4" s="1"/>
  <c r="Y301" i="4"/>
  <c r="AK301" i="4" s="1"/>
  <c r="BM251" i="4"/>
  <c r="BV251" i="4" s="1"/>
  <c r="BE251" i="4"/>
  <c r="BQ251" i="4" s="1"/>
  <c r="BR221" i="4"/>
  <c r="BM324" i="4"/>
  <c r="BV324" i="4" s="1"/>
  <c r="BE324" i="4"/>
  <c r="BQ324" i="4" s="1"/>
  <c r="BM267" i="4"/>
  <c r="BV267" i="4" s="1"/>
  <c r="BE267" i="4"/>
  <c r="BQ267" i="4" s="1"/>
  <c r="AG278" i="4"/>
  <c r="AH278" i="4" s="1"/>
  <c r="AJ278" i="4" s="1"/>
  <c r="Y278" i="4"/>
  <c r="AK278" i="4" s="1"/>
  <c r="AG261" i="4"/>
  <c r="AH261" i="4" s="1"/>
  <c r="AJ261" i="4" s="1"/>
  <c r="Y261" i="4"/>
  <c r="AK261" i="4" s="1"/>
  <c r="BH320" i="4"/>
  <c r="BJ320" i="4" s="1"/>
  <c r="BK320" i="4" s="1"/>
  <c r="AB294" i="4"/>
  <c r="AD294" i="4" s="1"/>
  <c r="AE294" i="4" s="1"/>
  <c r="AG296" i="4"/>
  <c r="AP296" i="4" s="1"/>
  <c r="Y296" i="4"/>
  <c r="AL296" i="4" s="1"/>
  <c r="BQ221" i="4"/>
  <c r="BM244" i="4"/>
  <c r="BV244" i="4" s="1"/>
  <c r="BE244" i="4"/>
  <c r="BQ244" i="4" s="1"/>
  <c r="BH268" i="4"/>
  <c r="BJ268" i="4" s="1"/>
  <c r="BK268" i="4" s="1"/>
  <c r="BH321" i="4"/>
  <c r="BJ321" i="4" s="1"/>
  <c r="BK321" i="4" s="1"/>
  <c r="BH279" i="4"/>
  <c r="BJ279" i="4" s="1"/>
  <c r="BK279" i="4" s="1"/>
  <c r="BM286" i="4"/>
  <c r="BV286" i="4" s="1"/>
  <c r="BE286" i="4"/>
  <c r="BQ286" i="4" s="1"/>
  <c r="AG256" i="4"/>
  <c r="AP256" i="4" s="1"/>
  <c r="Y256" i="4"/>
  <c r="AL256" i="4" s="1"/>
  <c r="AB277" i="4"/>
  <c r="AD277" i="4" s="1"/>
  <c r="AE277" i="4" s="1"/>
  <c r="BM254" i="4"/>
  <c r="BV254" i="4" s="1"/>
  <c r="BE254" i="4"/>
  <c r="BQ254" i="4" s="1"/>
  <c r="AG312" i="4"/>
  <c r="AH312" i="4" s="1"/>
  <c r="AJ312" i="4" s="1"/>
  <c r="Y312" i="4"/>
  <c r="AL312" i="4" s="1"/>
  <c r="BM318" i="4"/>
  <c r="BV318" i="4" s="1"/>
  <c r="BE318" i="4"/>
  <c r="AG245" i="4"/>
  <c r="AP245" i="4" s="1"/>
  <c r="Y245" i="4"/>
  <c r="AK245" i="4" s="1"/>
  <c r="AB316" i="4"/>
  <c r="AD316" i="4" s="1"/>
  <c r="AE316" i="4" s="1"/>
  <c r="BM280" i="4"/>
  <c r="BV280" i="4" s="1"/>
  <c r="BE280" i="4"/>
  <c r="BR280" i="4" s="1"/>
  <c r="BH283" i="4"/>
  <c r="BJ283" i="4" s="1"/>
  <c r="BK283" i="4" s="1"/>
  <c r="BQ283" i="4"/>
  <c r="BH260" i="4"/>
  <c r="BJ260" i="4" s="1"/>
  <c r="BK260" i="4" s="1"/>
  <c r="AB292" i="4"/>
  <c r="AD292" i="4" s="1"/>
  <c r="AE292" i="4" s="1"/>
  <c r="BH68" i="4"/>
  <c r="BJ68" i="4" s="1"/>
  <c r="BK68" i="4" s="1"/>
  <c r="BH119" i="4"/>
  <c r="BJ119" i="4" s="1"/>
  <c r="BK119" i="4" s="1"/>
  <c r="BH124" i="4"/>
  <c r="BJ124" i="4" s="1"/>
  <c r="BK124" i="4" s="1"/>
  <c r="AL123" i="4"/>
  <c r="AH325" i="4"/>
  <c r="AJ325" i="4" s="1"/>
  <c r="AS325" i="4" s="1"/>
  <c r="BR205" i="4"/>
  <c r="AT254" i="4"/>
  <c r="AU254" i="4" s="1"/>
  <c r="AW254" i="4"/>
  <c r="BM207" i="4"/>
  <c r="BV207" i="4" s="1"/>
  <c r="BE207" i="4"/>
  <c r="BR207" i="4" s="1"/>
  <c r="AG171" i="4"/>
  <c r="AP171" i="4" s="1"/>
  <c r="Y171" i="4"/>
  <c r="AL171" i="4" s="1"/>
  <c r="AG231" i="4"/>
  <c r="AH231" i="4" s="1"/>
  <c r="AJ231" i="4" s="1"/>
  <c r="Y231" i="4"/>
  <c r="AL231" i="4" s="1"/>
  <c r="BM160" i="4"/>
  <c r="BV160" i="4" s="1"/>
  <c r="BE160" i="4"/>
  <c r="BR160" i="4" s="1"/>
  <c r="AL186" i="4"/>
  <c r="BM211" i="4"/>
  <c r="BV211" i="4" s="1"/>
  <c r="BE211" i="4"/>
  <c r="BR211" i="4" s="1"/>
  <c r="BM184" i="4"/>
  <c r="BV184" i="4" s="1"/>
  <c r="BE184" i="4"/>
  <c r="BR184" i="4" s="1"/>
  <c r="AG188" i="4"/>
  <c r="AP188" i="4" s="1"/>
  <c r="Y188" i="4"/>
  <c r="AL188" i="4" s="1"/>
  <c r="BH196" i="4"/>
  <c r="BJ196" i="4" s="1"/>
  <c r="BK196" i="4" s="1"/>
  <c r="AB239" i="4"/>
  <c r="AD239" i="4" s="1"/>
  <c r="AE239" i="4" s="1"/>
  <c r="BH212" i="4"/>
  <c r="BJ212" i="4" s="1"/>
  <c r="BK212" i="4" s="1"/>
  <c r="BM159" i="4"/>
  <c r="BV159" i="4" s="1"/>
  <c r="BE159" i="4"/>
  <c r="BR159" i="4" s="1"/>
  <c r="AG166" i="4"/>
  <c r="AP166" i="4" s="1"/>
  <c r="Y166" i="4"/>
  <c r="AL166" i="4" s="1"/>
  <c r="AK210" i="4"/>
  <c r="AB210" i="4"/>
  <c r="AD210" i="4" s="1"/>
  <c r="AE210" i="4" s="1"/>
  <c r="AG206" i="4"/>
  <c r="AH206" i="4" s="1"/>
  <c r="AJ206" i="4" s="1"/>
  <c r="Y206" i="4"/>
  <c r="AB209" i="4"/>
  <c r="AD209" i="4" s="1"/>
  <c r="AE209" i="4" s="1"/>
  <c r="BM194" i="4"/>
  <c r="BV194" i="4" s="1"/>
  <c r="BE194" i="4"/>
  <c r="BR194" i="4" s="1"/>
  <c r="AB180" i="4"/>
  <c r="AD180" i="4" s="1"/>
  <c r="AE180" i="4" s="1"/>
  <c r="AG178" i="4"/>
  <c r="AP178" i="4" s="1"/>
  <c r="Y178" i="4"/>
  <c r="AL178" i="4" s="1"/>
  <c r="BM234" i="4"/>
  <c r="BV234" i="4" s="1"/>
  <c r="BE234" i="4"/>
  <c r="BR234" i="4" s="1"/>
  <c r="AK194" i="4"/>
  <c r="AB194" i="4"/>
  <c r="AD194" i="4" s="1"/>
  <c r="AE194" i="4" s="1"/>
  <c r="AK190" i="4"/>
  <c r="AB190" i="4"/>
  <c r="AD190" i="4" s="1"/>
  <c r="AE190" i="4" s="1"/>
  <c r="AG172" i="4"/>
  <c r="AH172" i="4" s="1"/>
  <c r="AJ172" i="4" s="1"/>
  <c r="Y172" i="4"/>
  <c r="AK172" i="4" s="1"/>
  <c r="BM239" i="4"/>
  <c r="BV239" i="4" s="1"/>
  <c r="BE239" i="4"/>
  <c r="BQ239" i="4" s="1"/>
  <c r="AG226" i="4"/>
  <c r="AP226" i="4" s="1"/>
  <c r="Y226" i="4"/>
  <c r="AK226" i="4" s="1"/>
  <c r="BM172" i="4"/>
  <c r="BV172" i="4" s="1"/>
  <c r="BE172" i="4"/>
  <c r="BQ172" i="4" s="1"/>
  <c r="AG182" i="4"/>
  <c r="AH182" i="4" s="1"/>
  <c r="AJ182" i="4" s="1"/>
  <c r="Y182" i="4"/>
  <c r="AK182" i="4" s="1"/>
  <c r="AG174" i="4"/>
  <c r="AH174" i="4" s="1"/>
  <c r="AJ174" i="4" s="1"/>
  <c r="Y174" i="4"/>
  <c r="AK174" i="4" s="1"/>
  <c r="AG208" i="4"/>
  <c r="AP208" i="4" s="1"/>
  <c r="Y208" i="4"/>
  <c r="AL208" i="4" s="1"/>
  <c r="BM192" i="4"/>
  <c r="BV192" i="4" s="1"/>
  <c r="BE192" i="4"/>
  <c r="BR192" i="4" s="1"/>
  <c r="BH178" i="4"/>
  <c r="BJ178" i="4" s="1"/>
  <c r="BK178" i="4" s="1"/>
  <c r="BM177" i="4"/>
  <c r="BV177" i="4" s="1"/>
  <c r="BE177" i="4"/>
  <c r="BQ177" i="4" s="1"/>
  <c r="BM218" i="4"/>
  <c r="BV218" i="4" s="1"/>
  <c r="BE218" i="4"/>
  <c r="BQ218" i="4" s="1"/>
  <c r="AG240" i="4"/>
  <c r="AH240" i="4" s="1"/>
  <c r="AJ240" i="4" s="1"/>
  <c r="Y240" i="4"/>
  <c r="AL240" i="4" s="1"/>
  <c r="BM231" i="4"/>
  <c r="BV231" i="4" s="1"/>
  <c r="BE231" i="4"/>
  <c r="BR231" i="4" s="1"/>
  <c r="AG211" i="4"/>
  <c r="AH211" i="4" s="1"/>
  <c r="AJ211" i="4" s="1"/>
  <c r="Y211" i="4"/>
  <c r="AK211" i="4" s="1"/>
  <c r="AB207" i="4"/>
  <c r="AD207" i="4" s="1"/>
  <c r="AE207" i="4" s="1"/>
  <c r="BH216" i="4"/>
  <c r="BJ216" i="4" s="1"/>
  <c r="BK216" i="4" s="1"/>
  <c r="AG212" i="4"/>
  <c r="AH212" i="4" s="1"/>
  <c r="AJ212" i="4" s="1"/>
  <c r="Y212" i="4"/>
  <c r="AL212" i="4" s="1"/>
  <c r="BM228" i="4"/>
  <c r="BV228" i="4" s="1"/>
  <c r="BE228" i="4"/>
  <c r="BR228" i="4" s="1"/>
  <c r="BH186" i="4"/>
  <c r="BJ186" i="4" s="1"/>
  <c r="BK186" i="4" s="1"/>
  <c r="AG201" i="4"/>
  <c r="AH201" i="4" s="1"/>
  <c r="AJ201" i="4" s="1"/>
  <c r="Y201" i="4"/>
  <c r="AL201" i="4" s="1"/>
  <c r="AG177" i="4"/>
  <c r="AP177" i="4" s="1"/>
  <c r="Y177" i="4"/>
  <c r="AL177" i="4" s="1"/>
  <c r="AG203" i="4"/>
  <c r="AP203" i="4" s="1"/>
  <c r="Y203" i="4"/>
  <c r="AB197" i="4"/>
  <c r="AD197" i="4" s="1"/>
  <c r="AE197" i="4" s="1"/>
  <c r="BM190" i="4"/>
  <c r="BV190" i="4" s="1"/>
  <c r="BE190" i="4"/>
  <c r="BM167" i="4"/>
  <c r="BV167" i="4" s="1"/>
  <c r="BE167" i="4"/>
  <c r="BR167" i="4" s="1"/>
  <c r="BR208" i="4"/>
  <c r="BM230" i="4"/>
  <c r="BV230" i="4" s="1"/>
  <c r="BE230" i="4"/>
  <c r="BQ230" i="4" s="1"/>
  <c r="BM232" i="4"/>
  <c r="BV232" i="4" s="1"/>
  <c r="BE232" i="4"/>
  <c r="BQ232" i="4" s="1"/>
  <c r="AG222" i="4"/>
  <c r="AH222" i="4" s="1"/>
  <c r="AJ222" i="4" s="1"/>
  <c r="Y222" i="4"/>
  <c r="AK222" i="4" s="1"/>
  <c r="BH185" i="4"/>
  <c r="BJ185" i="4" s="1"/>
  <c r="BK185" i="4" s="1"/>
  <c r="AK230" i="4"/>
  <c r="AB230" i="4"/>
  <c r="AD230" i="4" s="1"/>
  <c r="AE230" i="4" s="1"/>
  <c r="BM169" i="4"/>
  <c r="BV169" i="4" s="1"/>
  <c r="BE169" i="4"/>
  <c r="BR169" i="4" s="1"/>
  <c r="AG233" i="4"/>
  <c r="AH233" i="4" s="1"/>
  <c r="AJ233" i="4" s="1"/>
  <c r="Y233" i="4"/>
  <c r="AL233" i="4" s="1"/>
  <c r="BH230" i="4"/>
  <c r="BJ230" i="4" s="1"/>
  <c r="BK230" i="4" s="1"/>
  <c r="BH238" i="4"/>
  <c r="BJ238" i="4" s="1"/>
  <c r="BK238" i="4" s="1"/>
  <c r="AB199" i="4"/>
  <c r="AD199" i="4" s="1"/>
  <c r="AE199" i="4" s="1"/>
  <c r="BH201" i="4"/>
  <c r="BJ201" i="4" s="1"/>
  <c r="BK201" i="4" s="1"/>
  <c r="AB170" i="4"/>
  <c r="AD170" i="4" s="1"/>
  <c r="AE170" i="4" s="1"/>
  <c r="AG241" i="4"/>
  <c r="AH241" i="4" s="1"/>
  <c r="AJ241" i="4" s="1"/>
  <c r="Y241" i="4"/>
  <c r="AL241" i="4" s="1"/>
  <c r="BH170" i="4"/>
  <c r="BJ170" i="4" s="1"/>
  <c r="BK170" i="4" s="1"/>
  <c r="BM165" i="4"/>
  <c r="BV165" i="4" s="1"/>
  <c r="BE165" i="4"/>
  <c r="BR165" i="4" s="1"/>
  <c r="BM158" i="4"/>
  <c r="BV158" i="4" s="1"/>
  <c r="BE158" i="4"/>
  <c r="BQ158" i="4" s="1"/>
  <c r="AB186" i="4"/>
  <c r="AD186" i="4" s="1"/>
  <c r="AE186" i="4" s="1"/>
  <c r="BM203" i="4"/>
  <c r="BV203" i="4" s="1"/>
  <c r="BE203" i="4"/>
  <c r="BQ203" i="4" s="1"/>
  <c r="BM182" i="4"/>
  <c r="BV182" i="4" s="1"/>
  <c r="BE182" i="4"/>
  <c r="BQ182" i="4" s="1"/>
  <c r="AG235" i="4"/>
  <c r="AH235" i="4" s="1"/>
  <c r="AJ235" i="4" s="1"/>
  <c r="Y235" i="4"/>
  <c r="AK235" i="4" s="1"/>
  <c r="AG224" i="4"/>
  <c r="AH224" i="4" s="1"/>
  <c r="AJ224" i="4" s="1"/>
  <c r="Y224" i="4"/>
  <c r="AK224" i="4" s="1"/>
  <c r="AG214" i="4"/>
  <c r="AH214" i="4" s="1"/>
  <c r="AJ214" i="4" s="1"/>
  <c r="Y214" i="4"/>
  <c r="AK214" i="4" s="1"/>
  <c r="BM200" i="4"/>
  <c r="BV200" i="4" s="1"/>
  <c r="BE200" i="4"/>
  <c r="BR200" i="4" s="1"/>
  <c r="BH202" i="4"/>
  <c r="BJ202" i="4" s="1"/>
  <c r="BK202" i="4" s="1"/>
  <c r="AB158" i="4"/>
  <c r="AD158" i="4" s="1"/>
  <c r="AE158" i="4" s="1"/>
  <c r="BH208" i="4"/>
  <c r="BJ208" i="4" s="1"/>
  <c r="BK208" i="4" s="1"/>
  <c r="AB111" i="4"/>
  <c r="AD111" i="4" s="1"/>
  <c r="AE111" i="4" s="1"/>
  <c r="AL111" i="4"/>
  <c r="BH101" i="4"/>
  <c r="BJ101" i="4" s="1"/>
  <c r="BK101" i="4" s="1"/>
  <c r="BH108" i="4"/>
  <c r="BJ108" i="4" s="1"/>
  <c r="BK108" i="4" s="1"/>
  <c r="AL59" i="4"/>
  <c r="AB59" i="4"/>
  <c r="AD59" i="4" s="1"/>
  <c r="AE59" i="4" s="1"/>
  <c r="AB63" i="4"/>
  <c r="AD63" i="4" s="1"/>
  <c r="AE63" i="4" s="1"/>
  <c r="AB131" i="4"/>
  <c r="AD131" i="4" s="1"/>
  <c r="AE131" i="4" s="1"/>
  <c r="BH84" i="4"/>
  <c r="BJ84" i="4" s="1"/>
  <c r="BK84" i="4" s="1"/>
  <c r="BH102" i="4"/>
  <c r="BJ102" i="4" s="1"/>
  <c r="BK102" i="4" s="1"/>
  <c r="AB114" i="4"/>
  <c r="AD114" i="4" s="1"/>
  <c r="AE114" i="4" s="1"/>
  <c r="AL63" i="4"/>
  <c r="BR122" i="4"/>
  <c r="AB79" i="4"/>
  <c r="AD79" i="4" s="1"/>
  <c r="AE79" i="4" s="1"/>
  <c r="BR118" i="4"/>
  <c r="AB95" i="4"/>
  <c r="AD95" i="4" s="1"/>
  <c r="AE95" i="4" s="1"/>
  <c r="BH118" i="4"/>
  <c r="BJ118" i="4" s="1"/>
  <c r="BK118" i="4" s="1"/>
  <c r="BH106" i="4"/>
  <c r="BJ106" i="4" s="1"/>
  <c r="BK106" i="4" s="1"/>
  <c r="BH103" i="4"/>
  <c r="BJ103" i="4" s="1"/>
  <c r="BK103" i="4" s="1"/>
  <c r="AB47" i="4"/>
  <c r="AD47" i="4" s="1"/>
  <c r="AE47" i="4" s="1"/>
  <c r="AY396" i="5"/>
  <c r="AL67" i="4"/>
  <c r="AT311" i="4"/>
  <c r="AU311" i="4" s="1"/>
  <c r="BN311" i="4" s="1"/>
  <c r="BP311" i="4" s="1"/>
  <c r="BY311" i="4" s="1"/>
  <c r="CA311" i="4" s="1"/>
  <c r="BR85" i="4"/>
  <c r="AK67" i="4"/>
  <c r="AX522" i="5"/>
  <c r="AY522" i="5" s="1"/>
  <c r="BH73" i="4"/>
  <c r="BJ73" i="4" s="1"/>
  <c r="BK73" i="4" s="1"/>
  <c r="BH65" i="4"/>
  <c r="BJ65" i="4" s="1"/>
  <c r="BK65" i="4" s="1"/>
  <c r="AW163" i="4"/>
  <c r="BR84" i="4"/>
  <c r="BQ73" i="4"/>
  <c r="AH275" i="4"/>
  <c r="AJ275" i="4" s="1"/>
  <c r="AS275" i="4" s="1"/>
  <c r="AT275" i="4" s="1"/>
  <c r="AU275" i="4" s="1"/>
  <c r="AS216" i="4"/>
  <c r="AT216" i="4" s="1"/>
  <c r="AU216" i="4" s="1"/>
  <c r="BN216" i="4" s="1"/>
  <c r="BP216" i="4" s="1"/>
  <c r="AY385" i="5"/>
  <c r="AT175" i="4"/>
  <c r="AU175" i="4" s="1"/>
  <c r="BN175" i="4" s="1"/>
  <c r="BP175" i="4" s="1"/>
  <c r="BY175" i="4" s="1"/>
  <c r="CA175" i="4" s="1"/>
  <c r="AW319" i="4"/>
  <c r="AT319" i="4"/>
  <c r="AU319" i="4" s="1"/>
  <c r="BN319" i="4" s="1"/>
  <c r="BP319" i="4" s="1"/>
  <c r="CB319" i="4" s="1"/>
  <c r="CC319" i="4" s="1"/>
  <c r="AS213" i="4"/>
  <c r="AT213" i="4" s="1"/>
  <c r="AU213" i="4" s="1"/>
  <c r="BN213" i="4" s="1"/>
  <c r="BP213" i="4" s="1"/>
  <c r="AT187" i="4"/>
  <c r="AU187" i="4" s="1"/>
  <c r="BN187" i="4" s="1"/>
  <c r="BP187" i="4" s="1"/>
  <c r="CB187" i="4" s="1"/>
  <c r="CC187" i="4" s="1"/>
  <c r="AW187" i="4"/>
  <c r="AT303" i="4"/>
  <c r="AU303" i="4" s="1"/>
  <c r="AW303" i="4"/>
  <c r="BR148" i="4"/>
  <c r="AS200" i="4"/>
  <c r="AW200" i="4" s="1"/>
  <c r="BR149" i="4"/>
  <c r="AP299" i="4"/>
  <c r="AS299" i="4" s="1"/>
  <c r="AT299" i="4" s="1"/>
  <c r="AU299" i="4" s="1"/>
  <c r="AW204" i="4"/>
  <c r="BR92" i="4"/>
  <c r="AY296" i="5"/>
  <c r="BR111" i="4"/>
  <c r="AW308" i="4"/>
  <c r="BR65" i="4"/>
  <c r="AW167" i="4"/>
  <c r="BN308" i="4"/>
  <c r="BP308" i="4" s="1"/>
  <c r="CB308" i="4" s="1"/>
  <c r="CC308" i="4" s="1"/>
  <c r="BR124" i="4"/>
  <c r="BR137" i="4"/>
  <c r="AT304" i="4"/>
  <c r="AU304" i="4" s="1"/>
  <c r="AW304" i="4"/>
  <c r="BR108" i="4"/>
  <c r="BR102" i="4"/>
  <c r="AT215" i="4"/>
  <c r="AU215" i="4" s="1"/>
  <c r="BN215" i="4" s="1"/>
  <c r="BP215" i="4" s="1"/>
  <c r="CB215" i="4" s="1"/>
  <c r="CC215" i="4" s="1"/>
  <c r="AW229" i="4"/>
  <c r="AT193" i="4"/>
  <c r="AU193" i="4" s="1"/>
  <c r="BN193" i="4" s="1"/>
  <c r="BP193" i="4" s="1"/>
  <c r="CB193" i="4" s="1"/>
  <c r="CC193" i="4" s="1"/>
  <c r="AS184" i="4"/>
  <c r="AT184" i="4" s="1"/>
  <c r="AU184" i="4" s="1"/>
  <c r="AT283" i="4"/>
  <c r="AU283" i="4" s="1"/>
  <c r="BN283" i="4" s="1"/>
  <c r="BP283" i="4" s="1"/>
  <c r="CB283" i="4" s="1"/>
  <c r="CC283" i="4" s="1"/>
  <c r="AW283" i="4"/>
  <c r="BR68" i="4"/>
  <c r="AW181" i="4"/>
  <c r="AW257" i="4"/>
  <c r="AS190" i="4"/>
  <c r="AT190" i="4" s="1"/>
  <c r="AU190" i="4" s="1"/>
  <c r="BR103" i="4"/>
  <c r="AK47" i="4"/>
  <c r="AW238" i="4"/>
  <c r="BR101" i="4"/>
  <c r="AW263" i="4"/>
  <c r="AT291" i="4"/>
  <c r="AU291" i="4" s="1"/>
  <c r="BN291" i="4" s="1"/>
  <c r="BP291" i="4" s="1"/>
  <c r="CB291" i="4" s="1"/>
  <c r="CC291" i="4" s="1"/>
  <c r="AW291" i="4"/>
  <c r="AW324" i="4"/>
  <c r="AT324" i="4"/>
  <c r="AU324" i="4" s="1"/>
  <c r="AL114" i="4"/>
  <c r="AW165" i="4"/>
  <c r="AS194" i="4"/>
  <c r="AT194" i="4" s="1"/>
  <c r="AU194" i="4" s="1"/>
  <c r="AT192" i="4"/>
  <c r="AU192" i="4" s="1"/>
  <c r="AS230" i="4"/>
  <c r="AW230" i="4" s="1"/>
  <c r="CB204" i="4"/>
  <c r="CC204" i="4" s="1"/>
  <c r="AS246" i="4"/>
  <c r="AW246" i="4" s="1"/>
  <c r="AS295" i="4"/>
  <c r="AW295" i="4" s="1"/>
  <c r="AS253" i="4"/>
  <c r="AT253" i="4" s="1"/>
  <c r="AU253" i="4" s="1"/>
  <c r="BN253" i="4" s="1"/>
  <c r="BP253" i="4" s="1"/>
  <c r="CB195" i="4"/>
  <c r="CC195" i="4" s="1"/>
  <c r="BY195" i="4"/>
  <c r="CA195" i="4" s="1"/>
  <c r="AT173" i="4"/>
  <c r="AU173" i="4" s="1"/>
  <c r="BN173" i="4" s="1"/>
  <c r="BP173" i="4" s="1"/>
  <c r="AW173" i="4"/>
  <c r="AS168" i="4"/>
  <c r="AT168" i="4" s="1"/>
  <c r="AU168" i="4" s="1"/>
  <c r="BN168" i="4" s="1"/>
  <c r="BP168" i="4" s="1"/>
  <c r="AW195" i="4"/>
  <c r="AS249" i="4"/>
  <c r="AT249" i="4" s="1"/>
  <c r="AU249" i="4" s="1"/>
  <c r="BN249" i="4" s="1"/>
  <c r="BP249" i="4" s="1"/>
  <c r="BR106" i="4"/>
  <c r="BR119" i="4"/>
  <c r="AS183" i="4"/>
  <c r="AT183" i="4" s="1"/>
  <c r="AU183" i="4" s="1"/>
  <c r="BN183" i="4" s="1"/>
  <c r="BP183" i="4" s="1"/>
  <c r="AS314" i="4"/>
  <c r="AT314" i="4" s="1"/>
  <c r="AU314" i="4" s="1"/>
  <c r="BN314" i="4" s="1"/>
  <c r="BP314" i="4" s="1"/>
  <c r="CB314" i="4" s="1"/>
  <c r="CC314" i="4" s="1"/>
  <c r="AT259" i="4"/>
  <c r="AU259" i="4" s="1"/>
  <c r="AT266" i="4"/>
  <c r="AU266" i="4" s="1"/>
  <c r="AL86" i="4"/>
  <c r="AS164" i="4"/>
  <c r="AW164" i="4" s="1"/>
  <c r="AS269" i="4"/>
  <c r="AW269" i="4" s="1"/>
  <c r="AS160" i="4"/>
  <c r="AK86" i="4"/>
  <c r="AS221" i="4"/>
  <c r="AT221" i="4" s="1"/>
  <c r="AU221" i="4" s="1"/>
  <c r="BN221" i="4" s="1"/>
  <c r="BP221" i="4" s="1"/>
  <c r="AW196" i="4"/>
  <c r="AS321" i="4"/>
  <c r="AW321" i="4" s="1"/>
  <c r="AS189" i="4"/>
  <c r="AT189" i="4" s="1"/>
  <c r="AU189" i="4" s="1"/>
  <c r="BN189" i="4" s="1"/>
  <c r="BP189" i="4" s="1"/>
  <c r="AS270" i="4"/>
  <c r="BR136" i="4"/>
  <c r="AT219" i="4"/>
  <c r="AU219" i="4" s="1"/>
  <c r="BN219" i="4" s="1"/>
  <c r="BP219" i="4" s="1"/>
  <c r="AW219" i="4"/>
  <c r="BR81" i="4"/>
  <c r="AL144" i="4"/>
  <c r="BR281" i="4"/>
  <c r="BM281" i="4"/>
  <c r="BV281" i="4" s="1"/>
  <c r="BM303" i="4"/>
  <c r="BV303" i="4" s="1"/>
  <c r="BR303" i="4"/>
  <c r="BY257" i="4"/>
  <c r="CA257" i="4" s="1"/>
  <c r="BM259" i="4"/>
  <c r="BV259" i="4" s="1"/>
  <c r="BR259" i="4"/>
  <c r="AS210" i="4"/>
  <c r="AS159" i="4"/>
  <c r="BM181" i="4"/>
  <c r="BV181" i="4" s="1"/>
  <c r="BR181" i="4"/>
  <c r="AL180" i="4"/>
  <c r="AG180" i="4"/>
  <c r="AG170" i="4"/>
  <c r="AL170" i="4"/>
  <c r="AS318" i="4"/>
  <c r="AG197" i="4"/>
  <c r="AL197" i="4"/>
  <c r="AT237" i="4"/>
  <c r="AU237" i="4" s="1"/>
  <c r="BN237" i="4" s="1"/>
  <c r="BP237" i="4" s="1"/>
  <c r="AW237" i="4"/>
  <c r="BM196" i="4"/>
  <c r="BV196" i="4" s="1"/>
  <c r="BR196" i="4"/>
  <c r="BM276" i="4"/>
  <c r="BV276" i="4" s="1"/>
  <c r="BR276" i="4"/>
  <c r="AT202" i="4"/>
  <c r="AU202" i="4" s="1"/>
  <c r="AW202" i="4"/>
  <c r="AG207" i="4"/>
  <c r="AL207" i="4"/>
  <c r="BR86" i="4"/>
  <c r="AK144" i="4"/>
  <c r="AT281" i="4"/>
  <c r="AU281" i="4" s="1"/>
  <c r="AW281" i="4"/>
  <c r="BM186" i="4"/>
  <c r="BV186" i="4" s="1"/>
  <c r="BR186" i="4"/>
  <c r="AH260" i="4"/>
  <c r="AJ260" i="4" s="1"/>
  <c r="AP260" i="4"/>
  <c r="AP292" i="4"/>
  <c r="AH292" i="4"/>
  <c r="AJ292" i="4" s="1"/>
  <c r="AT232" i="4"/>
  <c r="AU232" i="4" s="1"/>
  <c r="AW232" i="4"/>
  <c r="BM305" i="4"/>
  <c r="BV305" i="4" s="1"/>
  <c r="BR305" i="4"/>
  <c r="AT300" i="4"/>
  <c r="AU300" i="4" s="1"/>
  <c r="AW300" i="4"/>
  <c r="BR238" i="4"/>
  <c r="BM238" i="4"/>
  <c r="BV238" i="4" s="1"/>
  <c r="AS220" i="4"/>
  <c r="BM201" i="4"/>
  <c r="BV201" i="4" s="1"/>
  <c r="BR201" i="4"/>
  <c r="AT217" i="4"/>
  <c r="AU217" i="4" s="1"/>
  <c r="BN217" i="4" s="1"/>
  <c r="BP217" i="4" s="1"/>
  <c r="AW217" i="4"/>
  <c r="AT265" i="4"/>
  <c r="AU265" i="4" s="1"/>
  <c r="AW265" i="4"/>
  <c r="AG248" i="4"/>
  <c r="AL248" i="4"/>
  <c r="AG244" i="4"/>
  <c r="AL244" i="4"/>
  <c r="AG239" i="4"/>
  <c r="AL239" i="4"/>
  <c r="AH198" i="4"/>
  <c r="AJ198" i="4" s="1"/>
  <c r="AP198" i="4"/>
  <c r="BM300" i="4"/>
  <c r="BV300" i="4" s="1"/>
  <c r="BR300" i="4"/>
  <c r="BM322" i="4"/>
  <c r="BV322" i="4" s="1"/>
  <c r="BR322" i="4"/>
  <c r="AT252" i="4"/>
  <c r="AU252" i="4" s="1"/>
  <c r="AW252" i="4"/>
  <c r="BM233" i="4"/>
  <c r="BV233" i="4" s="1"/>
  <c r="BR233" i="4"/>
  <c r="AT225" i="4"/>
  <c r="AU225" i="4" s="1"/>
  <c r="BN225" i="4" s="1"/>
  <c r="BP225" i="4" s="1"/>
  <c r="CB225" i="4" s="1"/>
  <c r="CC225" i="4" s="1"/>
  <c r="AW225" i="4"/>
  <c r="AT169" i="4"/>
  <c r="AU169" i="4" s="1"/>
  <c r="AW169" i="4"/>
  <c r="AT250" i="4"/>
  <c r="AU250" i="4" s="1"/>
  <c r="BN250" i="4" s="1"/>
  <c r="BP250" i="4" s="1"/>
  <c r="AW250" i="4"/>
  <c r="CB263" i="4"/>
  <c r="CC263" i="4" s="1"/>
  <c r="BY263" i="4"/>
  <c r="CA263" i="4" s="1"/>
  <c r="BM309" i="4"/>
  <c r="BR309" i="4"/>
  <c r="AP186" i="4"/>
  <c r="AH186" i="4"/>
  <c r="AJ186" i="4" s="1"/>
  <c r="AT309" i="4"/>
  <c r="AU309" i="4" s="1"/>
  <c r="AW309" i="4"/>
  <c r="AT161" i="4"/>
  <c r="AU161" i="4" s="1"/>
  <c r="BN161" i="4" s="1"/>
  <c r="BP161" i="4" s="1"/>
  <c r="AW161" i="4"/>
  <c r="AL209" i="4"/>
  <c r="AG209" i="4"/>
  <c r="AG199" i="4"/>
  <c r="AL199" i="4"/>
  <c r="AG284" i="4"/>
  <c r="AL284" i="4"/>
  <c r="AT258" i="4"/>
  <c r="AU258" i="4" s="1"/>
  <c r="BN258" i="4" s="1"/>
  <c r="BP258" i="4" s="1"/>
  <c r="AW258" i="4"/>
  <c r="AT223" i="4"/>
  <c r="AU223" i="4" s="1"/>
  <c r="BN223" i="4" s="1"/>
  <c r="BP223" i="4" s="1"/>
  <c r="AW223" i="4"/>
  <c r="AT285" i="4"/>
  <c r="AU285" i="4" s="1"/>
  <c r="AW285" i="4"/>
  <c r="AL158" i="4"/>
  <c r="AG158" i="4"/>
  <c r="AS179" i="4"/>
  <c r="BR312" i="4"/>
  <c r="BM312" i="4"/>
  <c r="BV312" i="4" s="1"/>
  <c r="BM170" i="4"/>
  <c r="BR170" i="4"/>
  <c r="AT162" i="4"/>
  <c r="AU162" i="4" s="1"/>
  <c r="BN162" i="4" s="1"/>
  <c r="BP162" i="4" s="1"/>
  <c r="AW162" i="4"/>
  <c r="AT234" i="4"/>
  <c r="AU234" i="4" s="1"/>
  <c r="AW234" i="4"/>
  <c r="AG273" i="4"/>
  <c r="AL273" i="4"/>
  <c r="AH227" i="4"/>
  <c r="AJ227" i="4" s="1"/>
  <c r="AP227" i="4"/>
  <c r="BR304" i="4"/>
  <c r="BM304" i="4"/>
  <c r="BV304" i="4" s="1"/>
  <c r="AG316" i="4"/>
  <c r="AL316" i="4"/>
  <c r="AG228" i="4"/>
  <c r="AL228" i="4"/>
  <c r="AT305" i="4"/>
  <c r="AU305" i="4" s="1"/>
  <c r="AW305" i="4"/>
  <c r="BM212" i="4"/>
  <c r="BV212" i="4" s="1"/>
  <c r="BR212" i="4"/>
  <c r="AG277" i="4"/>
  <c r="AL277" i="4"/>
  <c r="AG294" i="4"/>
  <c r="AL294" i="4"/>
  <c r="BR202" i="4"/>
  <c r="BM202" i="4"/>
  <c r="BV202" i="4" s="1"/>
  <c r="AT293" i="4"/>
  <c r="AU293" i="4" s="1"/>
  <c r="AW293" i="4"/>
  <c r="AS317" i="4"/>
  <c r="BY204" i="4"/>
  <c r="CA204" i="4" s="1"/>
  <c r="AT218" i="4"/>
  <c r="AU218" i="4" s="1"/>
  <c r="AW218" i="4"/>
  <c r="AT288" i="4"/>
  <c r="AU288" i="4" s="1"/>
  <c r="BN288" i="4" s="1"/>
  <c r="BP288" i="4" s="1"/>
  <c r="AW288" i="4"/>
  <c r="BM178" i="4"/>
  <c r="BV178" i="4" s="1"/>
  <c r="BR178" i="4"/>
  <c r="BM191" i="4"/>
  <c r="BV191" i="4" s="1"/>
  <c r="BR191" i="4"/>
  <c r="AT191" i="4"/>
  <c r="AU191" i="4" s="1"/>
  <c r="AW191" i="4"/>
  <c r="AT279" i="4"/>
  <c r="AU279" i="4" s="1"/>
  <c r="BN279" i="4" s="1"/>
  <c r="BP279" i="4" s="1"/>
  <c r="AW279" i="4"/>
  <c r="CB163" i="4"/>
  <c r="CC163" i="4" s="1"/>
  <c r="BY163" i="4"/>
  <c r="CA163" i="4" s="1"/>
  <c r="CB229" i="4"/>
  <c r="CC229" i="4" s="1"/>
  <c r="BY229" i="4"/>
  <c r="CA229" i="4" s="1"/>
  <c r="AT236" i="4"/>
  <c r="AU236" i="4" s="1"/>
  <c r="BN236" i="4" s="1"/>
  <c r="BP236" i="4" s="1"/>
  <c r="CB236" i="4" s="1"/>
  <c r="CC236" i="4" s="1"/>
  <c r="AW236" i="4"/>
  <c r="AT286" i="4"/>
  <c r="AU286" i="4" s="1"/>
  <c r="AW286" i="4"/>
  <c r="AT255" i="4"/>
  <c r="AU255" i="4" s="1"/>
  <c r="BN255" i="4" s="1"/>
  <c r="BP255" i="4" s="1"/>
  <c r="AW255" i="4"/>
  <c r="AT185" i="4"/>
  <c r="AU185" i="4" s="1"/>
  <c r="BN185" i="4" s="1"/>
  <c r="BP185" i="4" s="1"/>
  <c r="AW185" i="4"/>
  <c r="AT176" i="4"/>
  <c r="AU176" i="4" s="1"/>
  <c r="BN176" i="4" s="1"/>
  <c r="BP176" i="4" s="1"/>
  <c r="AW176" i="4"/>
  <c r="AT247" i="4"/>
  <c r="AU247" i="4" s="1"/>
  <c r="AW247" i="4"/>
  <c r="BR277" i="4"/>
  <c r="BM277" i="4"/>
  <c r="BV277" i="4" s="1"/>
  <c r="AS313" i="4"/>
  <c r="AG287" i="4"/>
  <c r="AL287" i="4"/>
  <c r="AT274" i="4"/>
  <c r="AU274" i="4" s="1"/>
  <c r="BN274" i="4" s="1"/>
  <c r="BP274" i="4" s="1"/>
  <c r="AW274" i="4"/>
  <c r="AT267" i="4"/>
  <c r="AU267" i="4" s="1"/>
  <c r="AW267" i="4"/>
  <c r="AT320" i="4"/>
  <c r="AU320" i="4" s="1"/>
  <c r="BN320" i="4" s="1"/>
  <c r="BP320" i="4" s="1"/>
  <c r="AW320" i="4"/>
  <c r="AY291" i="5"/>
  <c r="AY320" i="5"/>
  <c r="BQ94" i="4"/>
  <c r="BR74" i="4"/>
  <c r="BR88" i="4"/>
  <c r="AG156" i="4"/>
  <c r="AH156" i="4" s="1"/>
  <c r="AJ156" i="4" s="1"/>
  <c r="Y156" i="4"/>
  <c r="AK156" i="4" s="1"/>
  <c r="BM152" i="4"/>
  <c r="BV152" i="4" s="1"/>
  <c r="BE152" i="4"/>
  <c r="BQ152" i="4" s="1"/>
  <c r="BR113" i="4"/>
  <c r="BH131" i="4"/>
  <c r="BJ131" i="4" s="1"/>
  <c r="BK131" i="4" s="1"/>
  <c r="BH113" i="4"/>
  <c r="BJ113" i="4" s="1"/>
  <c r="BK113" i="4" s="1"/>
  <c r="AB155" i="4"/>
  <c r="AD155" i="4" s="1"/>
  <c r="AE155" i="4" s="1"/>
  <c r="AY453" i="5"/>
  <c r="BR143" i="4"/>
  <c r="BR64" i="4"/>
  <c r="BH64" i="4"/>
  <c r="BJ64" i="4" s="1"/>
  <c r="BK64" i="4" s="1"/>
  <c r="AL95" i="4"/>
  <c r="AB156" i="4"/>
  <c r="AD156" i="4" s="1"/>
  <c r="AE156" i="4" s="1"/>
  <c r="BR128" i="4"/>
  <c r="BM150" i="4"/>
  <c r="BV150" i="4" s="1"/>
  <c r="BE150" i="4"/>
  <c r="BR150" i="4" s="1"/>
  <c r="BM154" i="4"/>
  <c r="BV154" i="4" s="1"/>
  <c r="BE154" i="4"/>
  <c r="BQ154" i="4" s="1"/>
  <c r="BR98" i="4"/>
  <c r="AG150" i="4"/>
  <c r="AH150" i="4" s="1"/>
  <c r="AJ150" i="4" s="1"/>
  <c r="Y150" i="4"/>
  <c r="AL150" i="4" s="1"/>
  <c r="AB149" i="4"/>
  <c r="AD149" i="4" s="1"/>
  <c r="AE149" i="4" s="1"/>
  <c r="AB116" i="4"/>
  <c r="AD116" i="4" s="1"/>
  <c r="AE116" i="4" s="1"/>
  <c r="BH128" i="4"/>
  <c r="BJ128" i="4" s="1"/>
  <c r="BK128" i="4" s="1"/>
  <c r="BQ98" i="4"/>
  <c r="AL115" i="4"/>
  <c r="BM155" i="4"/>
  <c r="BV155" i="4" s="1"/>
  <c r="BE155" i="4"/>
  <c r="BR155" i="4" s="1"/>
  <c r="BR94" i="4"/>
  <c r="BR141" i="4"/>
  <c r="BQ88" i="4"/>
  <c r="BH35" i="4"/>
  <c r="BJ35" i="4" s="1"/>
  <c r="BK35" i="4" s="1"/>
  <c r="AB68" i="4"/>
  <c r="AD68" i="4" s="1"/>
  <c r="AE68" i="4" s="1"/>
  <c r="AB100" i="4"/>
  <c r="AD100" i="4" s="1"/>
  <c r="AE100" i="4" s="1"/>
  <c r="BH53" i="4"/>
  <c r="BJ53" i="4" s="1"/>
  <c r="BK53" i="4" s="1"/>
  <c r="AB80" i="4"/>
  <c r="AD80" i="4" s="1"/>
  <c r="AE80" i="4" s="1"/>
  <c r="BR100" i="4"/>
  <c r="BH100" i="4"/>
  <c r="BJ100" i="4" s="1"/>
  <c r="BK100" i="4" s="1"/>
  <c r="BM87" i="4"/>
  <c r="BV87" i="4" s="1"/>
  <c r="BE87" i="4"/>
  <c r="BQ87" i="4" s="1"/>
  <c r="AG127" i="4"/>
  <c r="AP127" i="4" s="1"/>
  <c r="Y127" i="4"/>
  <c r="AK127" i="4" s="1"/>
  <c r="BM79" i="4"/>
  <c r="BV79" i="4" s="1"/>
  <c r="BE79" i="4"/>
  <c r="BQ79" i="4" s="1"/>
  <c r="BM99" i="4"/>
  <c r="BV99" i="4" s="1"/>
  <c r="BE99" i="4"/>
  <c r="BQ99" i="4" s="1"/>
  <c r="BM116" i="4"/>
  <c r="BV116" i="4" s="1"/>
  <c r="BE116" i="4"/>
  <c r="BQ116" i="4" s="1"/>
  <c r="BR90" i="4"/>
  <c r="AG132" i="4"/>
  <c r="AP132" i="4" s="1"/>
  <c r="Y132" i="4"/>
  <c r="AK132" i="4" s="1"/>
  <c r="BM133" i="4"/>
  <c r="BV133" i="4" s="1"/>
  <c r="BE133" i="4"/>
  <c r="BQ133" i="4" s="1"/>
  <c r="AG84" i="4"/>
  <c r="AH84" i="4" s="1"/>
  <c r="AJ84" i="4" s="1"/>
  <c r="Y84" i="4"/>
  <c r="AL84" i="4" s="1"/>
  <c r="AG90" i="4"/>
  <c r="AP90" i="4" s="1"/>
  <c r="Y90" i="4"/>
  <c r="AL90" i="4" s="1"/>
  <c r="AG141" i="4"/>
  <c r="AP141" i="4" s="1"/>
  <c r="Y141" i="4"/>
  <c r="AL141" i="4" s="1"/>
  <c r="Y78" i="4"/>
  <c r="AK78" i="4" s="1"/>
  <c r="BM83" i="4"/>
  <c r="BV83" i="4" s="1"/>
  <c r="BE83" i="4"/>
  <c r="BQ83" i="4" s="1"/>
  <c r="BM104" i="4"/>
  <c r="BV104" i="4" s="1"/>
  <c r="BE104" i="4"/>
  <c r="BQ104" i="4" s="1"/>
  <c r="BM135" i="4"/>
  <c r="BV135" i="4" s="1"/>
  <c r="BE135" i="4"/>
  <c r="BQ135" i="4" s="1"/>
  <c r="BR70" i="4"/>
  <c r="BR145" i="4"/>
  <c r="BM89" i="4"/>
  <c r="BV89" i="4" s="1"/>
  <c r="BE89" i="4"/>
  <c r="BQ89" i="4" s="1"/>
  <c r="AB73" i="4"/>
  <c r="AD73" i="4" s="1"/>
  <c r="AE73" i="4" s="1"/>
  <c r="AB128" i="4"/>
  <c r="AD128" i="4" s="1"/>
  <c r="AE128" i="4" s="1"/>
  <c r="AG112" i="4"/>
  <c r="AH112" i="4" s="1"/>
  <c r="AJ112" i="4" s="1"/>
  <c r="Y112" i="4"/>
  <c r="AL112" i="4" s="1"/>
  <c r="AB135" i="4"/>
  <c r="AD135" i="4" s="1"/>
  <c r="AE135" i="4" s="1"/>
  <c r="BM142" i="4"/>
  <c r="BV142" i="4" s="1"/>
  <c r="BE142" i="4"/>
  <c r="BQ142" i="4" s="1"/>
  <c r="BM75" i="4"/>
  <c r="BV75" i="4" s="1"/>
  <c r="BE75" i="4"/>
  <c r="BQ75" i="4" s="1"/>
  <c r="BM130" i="4"/>
  <c r="BV130" i="4" s="1"/>
  <c r="BE130" i="4"/>
  <c r="BQ130" i="4" s="1"/>
  <c r="BM76" i="4"/>
  <c r="BV76" i="4" s="1"/>
  <c r="BE76" i="4"/>
  <c r="BQ76" i="4" s="1"/>
  <c r="BM72" i="4"/>
  <c r="BV72" i="4" s="1"/>
  <c r="BE72" i="4"/>
  <c r="BQ72" i="4" s="1"/>
  <c r="BM62" i="4"/>
  <c r="BV62" i="4" s="1"/>
  <c r="BE62" i="4"/>
  <c r="BQ62" i="4" s="1"/>
  <c r="AG75" i="4"/>
  <c r="AP75" i="4" s="1"/>
  <c r="Y75" i="4"/>
  <c r="AK75" i="4" s="1"/>
  <c r="BR131" i="4"/>
  <c r="BH122" i="4"/>
  <c r="BJ122" i="4" s="1"/>
  <c r="BK122" i="4" s="1"/>
  <c r="BH145" i="4"/>
  <c r="BJ145" i="4" s="1"/>
  <c r="BK145" i="4" s="1"/>
  <c r="AB87" i="4"/>
  <c r="AD87" i="4" s="1"/>
  <c r="AE87" i="4" s="1"/>
  <c r="AG130" i="4"/>
  <c r="AH130" i="4" s="1"/>
  <c r="AJ130" i="4" s="1"/>
  <c r="Y130" i="4"/>
  <c r="AL130" i="4" s="1"/>
  <c r="AG140" i="4"/>
  <c r="AH140" i="4" s="1"/>
  <c r="AJ140" i="4" s="1"/>
  <c r="Y140" i="4"/>
  <c r="AL140" i="4" s="1"/>
  <c r="AB77" i="4"/>
  <c r="AD77" i="4" s="1"/>
  <c r="AE77" i="4" s="1"/>
  <c r="AB115" i="4"/>
  <c r="AD115" i="4" s="1"/>
  <c r="AE115" i="4" s="1"/>
  <c r="BM91" i="4"/>
  <c r="BV91" i="4" s="1"/>
  <c r="BE91" i="4"/>
  <c r="BQ91" i="4" s="1"/>
  <c r="BM107" i="4"/>
  <c r="BV107" i="4" s="1"/>
  <c r="BE107" i="4"/>
  <c r="BQ107" i="4" s="1"/>
  <c r="BM69" i="4"/>
  <c r="BV69" i="4" s="1"/>
  <c r="BE69" i="4"/>
  <c r="BQ69" i="4" s="1"/>
  <c r="AG102" i="4"/>
  <c r="AH102" i="4" s="1"/>
  <c r="AJ102" i="4" s="1"/>
  <c r="Y102" i="4"/>
  <c r="AK102" i="4" s="1"/>
  <c r="AG103" i="4"/>
  <c r="AH103" i="4" s="1"/>
  <c r="AJ103" i="4" s="1"/>
  <c r="Y103" i="4"/>
  <c r="AK103" i="4" s="1"/>
  <c r="BM105" i="4"/>
  <c r="BV105" i="4" s="1"/>
  <c r="BE105" i="4"/>
  <c r="BQ105" i="4" s="1"/>
  <c r="BH70" i="4"/>
  <c r="BJ70" i="4" s="1"/>
  <c r="BK70" i="4" s="1"/>
  <c r="BM95" i="4"/>
  <c r="BV95" i="4" s="1"/>
  <c r="BE95" i="4"/>
  <c r="BQ95" i="4" s="1"/>
  <c r="BM109" i="4"/>
  <c r="BV109" i="4" s="1"/>
  <c r="BE109" i="4"/>
  <c r="BR109" i="4" s="1"/>
  <c r="BM120" i="4"/>
  <c r="BV120" i="4" s="1"/>
  <c r="BE120" i="4"/>
  <c r="BQ120" i="4" s="1"/>
  <c r="BH90" i="4"/>
  <c r="BJ90" i="4" s="1"/>
  <c r="BK90" i="4" s="1"/>
  <c r="AG134" i="4"/>
  <c r="AH134" i="4" s="1"/>
  <c r="AJ134" i="4" s="1"/>
  <c r="Y134" i="4"/>
  <c r="AL134" i="4" s="1"/>
  <c r="Y93" i="4"/>
  <c r="AG88" i="4"/>
  <c r="AP88" i="4" s="1"/>
  <c r="Y88" i="4"/>
  <c r="AL88" i="4" s="1"/>
  <c r="AG148" i="4"/>
  <c r="AP148" i="4" s="1"/>
  <c r="Y148" i="4"/>
  <c r="AL148" i="4" s="1"/>
  <c r="AG139" i="4"/>
  <c r="AH139" i="4" s="1"/>
  <c r="AJ139" i="4" s="1"/>
  <c r="Y139" i="4"/>
  <c r="AL139" i="4" s="1"/>
  <c r="AY403" i="5"/>
  <c r="AY313" i="5"/>
  <c r="AX273" i="5"/>
  <c r="AY273" i="5" s="1"/>
  <c r="AY287" i="5"/>
  <c r="AY347" i="5"/>
  <c r="AY343" i="5"/>
  <c r="AY321" i="5"/>
  <c r="AY322" i="5"/>
  <c r="AY328" i="5"/>
  <c r="AY259" i="5"/>
  <c r="AY355" i="5"/>
  <c r="AY349" i="5"/>
  <c r="AX122" i="5"/>
  <c r="AY122" i="5" s="1"/>
  <c r="AX427" i="5"/>
  <c r="AY427" i="5" s="1"/>
  <c r="AX380" i="5"/>
  <c r="AY380" i="5" s="1"/>
  <c r="AX209" i="5"/>
  <c r="AY209" i="5" s="1"/>
  <c r="AX97" i="5"/>
  <c r="AY97" i="5" s="1"/>
  <c r="AX378" i="5"/>
  <c r="AY378" i="5" s="1"/>
  <c r="AX399" i="5"/>
  <c r="AY399" i="5" s="1"/>
  <c r="AX543" i="5"/>
  <c r="AY543" i="5" s="1"/>
  <c r="AX473" i="5"/>
  <c r="AY473" i="5" s="1"/>
  <c r="AX272" i="5"/>
  <c r="AY272" i="5" s="1"/>
  <c r="AX239" i="5"/>
  <c r="AY239" i="5" s="1"/>
  <c r="AX194" i="5"/>
  <c r="AY194" i="5" s="1"/>
  <c r="AX288" i="5"/>
  <c r="AY288" i="5" s="1"/>
  <c r="AX72" i="5"/>
  <c r="AY72" i="5" s="1"/>
  <c r="AX542" i="5"/>
  <c r="AY542" i="5" s="1"/>
  <c r="AX443" i="5"/>
  <c r="AY443" i="5" s="1"/>
  <c r="AX85" i="5"/>
  <c r="AY85" i="5" s="1"/>
  <c r="AX203" i="5"/>
  <c r="AY203" i="5" s="1"/>
  <c r="AX64" i="5"/>
  <c r="AY64" i="5" s="1"/>
  <c r="AX245" i="5"/>
  <c r="AY245" i="5" s="1"/>
  <c r="AX136" i="5"/>
  <c r="AY136" i="5" s="1"/>
  <c r="AX86" i="5"/>
  <c r="AY86" i="5" s="1"/>
  <c r="AX125" i="5"/>
  <c r="AY125" i="5" s="1"/>
  <c r="AX554" i="5"/>
  <c r="AY554" i="5" s="1"/>
  <c r="AX165" i="5"/>
  <c r="AY165" i="5" s="1"/>
  <c r="AX482" i="5"/>
  <c r="AY482" i="5" s="1"/>
  <c r="AX261" i="5"/>
  <c r="AY261" i="5" s="1"/>
  <c r="AX73" i="5"/>
  <c r="AY73" i="5" s="1"/>
  <c r="AX409" i="5"/>
  <c r="AY409" i="5" s="1"/>
  <c r="AX476" i="5"/>
  <c r="AY476" i="5" s="1"/>
  <c r="AX464" i="5"/>
  <c r="AY464" i="5" s="1"/>
  <c r="AX452" i="5"/>
  <c r="AY452" i="5" s="1"/>
  <c r="AX195" i="5"/>
  <c r="AY195" i="5" s="1"/>
  <c r="AX149" i="5"/>
  <c r="AY149" i="5" s="1"/>
  <c r="AX485" i="5"/>
  <c r="AY485" i="5" s="1"/>
  <c r="AX375" i="5"/>
  <c r="AY375" i="5" s="1"/>
  <c r="AX444" i="5"/>
  <c r="AY444" i="5" s="1"/>
  <c r="AY19" i="5"/>
  <c r="AX306" i="5"/>
  <c r="AY306" i="5" s="1"/>
  <c r="AX307" i="5"/>
  <c r="AY307" i="5" s="1"/>
  <c r="AX422" i="5"/>
  <c r="AY422" i="5" s="1"/>
  <c r="AX423" i="5"/>
  <c r="AY423" i="5" s="1"/>
  <c r="AX79" i="5"/>
  <c r="AY79" i="5" s="1"/>
  <c r="AX80" i="5"/>
  <c r="AY80" i="5" s="1"/>
  <c r="AX40" i="5"/>
  <c r="AY40" i="5" s="1"/>
  <c r="AX28" i="5"/>
  <c r="AY28" i="5" s="1"/>
  <c r="AX546" i="5"/>
  <c r="AY546" i="5" s="1"/>
  <c r="AX547" i="5"/>
  <c r="AY547" i="5" s="1"/>
  <c r="AX465" i="5"/>
  <c r="AY465" i="5" s="1"/>
  <c r="AX37" i="5"/>
  <c r="AY37" i="5" s="1"/>
  <c r="AX101" i="5"/>
  <c r="AY101" i="5" s="1"/>
  <c r="AX348" i="5"/>
  <c r="AY348" i="5" s="1"/>
  <c r="AX325" i="5"/>
  <c r="AY325" i="5" s="1"/>
  <c r="AX268" i="5"/>
  <c r="AY268" i="5" s="1"/>
  <c r="AX497" i="5"/>
  <c r="AY497" i="5" s="1"/>
  <c r="AX361" i="5"/>
  <c r="AY361" i="5" s="1"/>
  <c r="AX257" i="5"/>
  <c r="AY257" i="5" s="1"/>
  <c r="AX60" i="5"/>
  <c r="AY60" i="5" s="1"/>
  <c r="AX458" i="5"/>
  <c r="AY458" i="5" s="1"/>
  <c r="AX428" i="5"/>
  <c r="AY428" i="5" s="1"/>
  <c r="AX228" i="5"/>
  <c r="AY228" i="5" s="1"/>
  <c r="AX130" i="5"/>
  <c r="AY130" i="5" s="1"/>
  <c r="AX297" i="5"/>
  <c r="AY297" i="5" s="1"/>
  <c r="AX298" i="5"/>
  <c r="AY298" i="5" s="1"/>
  <c r="AX382" i="5"/>
  <c r="AY382" i="5" s="1"/>
  <c r="AX383" i="5"/>
  <c r="AY383" i="5" s="1"/>
  <c r="AX374" i="5"/>
  <c r="AY374" i="5" s="1"/>
  <c r="AX393" i="5"/>
  <c r="AY393" i="5" s="1"/>
  <c r="AX394" i="5"/>
  <c r="AY394" i="5" s="1"/>
  <c r="AX539" i="5"/>
  <c r="AY539" i="5" s="1"/>
  <c r="AX363" i="5"/>
  <c r="AY363" i="5" s="1"/>
  <c r="AX400" i="5"/>
  <c r="AY400" i="5" s="1"/>
  <c r="AX123" i="5"/>
  <c r="AY123" i="5" s="1"/>
  <c r="AX153" i="5"/>
  <c r="AY153" i="5" s="1"/>
  <c r="AX407" i="5"/>
  <c r="AY407" i="5" s="1"/>
  <c r="AX327" i="5"/>
  <c r="AY327" i="5" s="1"/>
  <c r="AX303" i="5"/>
  <c r="AY303" i="5" s="1"/>
  <c r="AX89" i="5"/>
  <c r="AY89" i="5" s="1"/>
  <c r="AX150" i="5"/>
  <c r="AY150" i="5" s="1"/>
  <c r="AX103" i="5"/>
  <c r="AY103" i="5" s="1"/>
  <c r="AX104" i="5"/>
  <c r="AY104" i="5" s="1"/>
  <c r="AX25" i="5"/>
  <c r="AY25" i="5" s="1"/>
  <c r="AX292" i="5"/>
  <c r="AY292" i="5" s="1"/>
  <c r="AX398" i="5"/>
  <c r="AY398" i="5" s="1"/>
  <c r="AX193" i="5"/>
  <c r="AY193" i="5" s="1"/>
  <c r="AX560" i="5"/>
  <c r="AY560" i="5" s="1"/>
  <c r="AX559" i="5"/>
  <c r="AY559" i="5" s="1"/>
  <c r="AX379" i="5"/>
  <c r="AY379" i="5" s="1"/>
  <c r="AX513" i="5"/>
  <c r="AY513" i="5" s="1"/>
  <c r="AX262" i="5"/>
  <c r="AY262" i="5" s="1"/>
  <c r="AX390" i="5"/>
  <c r="AY390" i="5" s="1"/>
  <c r="AX232" i="5"/>
  <c r="AY232" i="5" s="1"/>
  <c r="AX240" i="5"/>
  <c r="AY240" i="5" s="1"/>
  <c r="AX537" i="5"/>
  <c r="AY537" i="5" s="1"/>
  <c r="AX535" i="5"/>
  <c r="AY535" i="5" s="1"/>
  <c r="AX29" i="5"/>
  <c r="AY29" i="5" s="1"/>
  <c r="AX236" i="5"/>
  <c r="AY236" i="5" s="1"/>
  <c r="AX455" i="5"/>
  <c r="AY455" i="5" s="1"/>
  <c r="AX98" i="5"/>
  <c r="AY98" i="5" s="1"/>
  <c r="AX438" i="5"/>
  <c r="AY438" i="5" s="1"/>
  <c r="AX48" i="5"/>
  <c r="AY48" i="5" s="1"/>
  <c r="AX129" i="5"/>
  <c r="AY129" i="5" s="1"/>
  <c r="AX415" i="5"/>
  <c r="AY415" i="5" s="1"/>
  <c r="AX75" i="5"/>
  <c r="AY75" i="5" s="1"/>
  <c r="AX254" i="5"/>
  <c r="AY254" i="5" s="1"/>
  <c r="AX346" i="5"/>
  <c r="AY346" i="5" s="1"/>
  <c r="AX310" i="5"/>
  <c r="AY310" i="5" s="1"/>
  <c r="AX478" i="5"/>
  <c r="AY478" i="5" s="1"/>
  <c r="AX196" i="5"/>
  <c r="AY196" i="5" s="1"/>
  <c r="AX431" i="5"/>
  <c r="AY431" i="5" s="1"/>
  <c r="AX274" i="5"/>
  <c r="AY274" i="5" s="1"/>
  <c r="AX529" i="5"/>
  <c r="AY529" i="5" s="1"/>
  <c r="AX386" i="5"/>
  <c r="AY386" i="5" s="1"/>
  <c r="AX369" i="5"/>
  <c r="AY369" i="5" s="1"/>
  <c r="AX243" i="5"/>
  <c r="AY243" i="5" s="1"/>
  <c r="AX435" i="5"/>
  <c r="AY435" i="5" s="1"/>
  <c r="AX376" i="5"/>
  <c r="AY376" i="5" s="1"/>
  <c r="AX264" i="5"/>
  <c r="AY264" i="5" s="1"/>
  <c r="AX212" i="5"/>
  <c r="AY212" i="5" s="1"/>
  <c r="AX229" i="5"/>
  <c r="AY229" i="5" s="1"/>
  <c r="AX170" i="5"/>
  <c r="AY170" i="5" s="1"/>
  <c r="AX180" i="5"/>
  <c r="AY180" i="5" s="1"/>
  <c r="AX181" i="5"/>
  <c r="AY181" i="5" s="1"/>
  <c r="AX284" i="5"/>
  <c r="AY284" i="5" s="1"/>
  <c r="AX22" i="5"/>
  <c r="AY22" i="5" s="1"/>
  <c r="AX526" i="5"/>
  <c r="AY526" i="5" s="1"/>
  <c r="AX527" i="5"/>
  <c r="AY527" i="5" s="1"/>
  <c r="AX176" i="5"/>
  <c r="AY176" i="5" s="1"/>
  <c r="AX155" i="5"/>
  <c r="AY155" i="5" s="1"/>
  <c r="AX370" i="5"/>
  <c r="AY370" i="5" s="1"/>
  <c r="AX371" i="5"/>
  <c r="AY371" i="5" s="1"/>
  <c r="AX219" i="5"/>
  <c r="AY219" i="5" s="1"/>
  <c r="AX190" i="5"/>
  <c r="AY190" i="5" s="1"/>
  <c r="AX381" i="5"/>
  <c r="AY381" i="5" s="1"/>
  <c r="AX472" i="5"/>
  <c r="AY472" i="5" s="1"/>
  <c r="AX315" i="5"/>
  <c r="AY315" i="5" s="1"/>
  <c r="AX474" i="5"/>
  <c r="AY474" i="5" s="1"/>
  <c r="AX354" i="5"/>
  <c r="AY354" i="5" s="1"/>
  <c r="AX518" i="5"/>
  <c r="AY518" i="5" s="1"/>
  <c r="AX23" i="5"/>
  <c r="AY23" i="5" s="1"/>
  <c r="AX514" i="5"/>
  <c r="AY514" i="5" s="1"/>
  <c r="AX177" i="5"/>
  <c r="AY177" i="5" s="1"/>
  <c r="AX161" i="5"/>
  <c r="AY161" i="5" s="1"/>
  <c r="AX486" i="5"/>
  <c r="AY486" i="5" s="1"/>
  <c r="AX131" i="5"/>
  <c r="AY131" i="5" s="1"/>
  <c r="AX111" i="5"/>
  <c r="AY111" i="5" s="1"/>
  <c r="AX82" i="5"/>
  <c r="AY82" i="5" s="1"/>
  <c r="AX246" i="5"/>
  <c r="AY246" i="5" s="1"/>
  <c r="AX502" i="5"/>
  <c r="AY502" i="5" s="1"/>
  <c r="AX503" i="5"/>
  <c r="AY503" i="5" s="1"/>
  <c r="AX67" i="5"/>
  <c r="AY67" i="5" s="1"/>
  <c r="AX68" i="5"/>
  <c r="AY68" i="5" s="1"/>
  <c r="AX41" i="5"/>
  <c r="AY41" i="5" s="1"/>
  <c r="AX42" i="5"/>
  <c r="AY42" i="5" s="1"/>
  <c r="AX460" i="5"/>
  <c r="AY460" i="5" s="1"/>
  <c r="AX461" i="5"/>
  <c r="AY461" i="5" s="1"/>
  <c r="AX333" i="5"/>
  <c r="AY333" i="5" s="1"/>
  <c r="AX416" i="5"/>
  <c r="AY416" i="5" s="1"/>
  <c r="AX417" i="5"/>
  <c r="AY417" i="5" s="1"/>
  <c r="AX494" i="5"/>
  <c r="AY494" i="5" s="1"/>
  <c r="AX56" i="5"/>
  <c r="AY56" i="5" s="1"/>
  <c r="AX334" i="5"/>
  <c r="AY334" i="5" s="1"/>
  <c r="AX199" i="5"/>
  <c r="AY199" i="5" s="1"/>
  <c r="AX295" i="5"/>
  <c r="AY295" i="5" s="1"/>
  <c r="AX312" i="5"/>
  <c r="AY312" i="5" s="1"/>
  <c r="AX356" i="5"/>
  <c r="AY356" i="5" s="1"/>
  <c r="AX544" i="5"/>
  <c r="AY544" i="5" s="1"/>
  <c r="AX405" i="5"/>
  <c r="AY405" i="5" s="1"/>
  <c r="AX318" i="5"/>
  <c r="AY318" i="5" s="1"/>
  <c r="AX31" i="5"/>
  <c r="AY31" i="5" s="1"/>
  <c r="AX551" i="5"/>
  <c r="AY551" i="5" s="1"/>
  <c r="AX552" i="5"/>
  <c r="AY552" i="5" s="1"/>
  <c r="AX167" i="5"/>
  <c r="AY167" i="5" s="1"/>
  <c r="AX168" i="5"/>
  <c r="AY168" i="5" s="1"/>
  <c r="AX419" i="5"/>
  <c r="AY419" i="5" s="1"/>
  <c r="AX358" i="5"/>
  <c r="AY358" i="5" s="1"/>
  <c r="AX359" i="5"/>
  <c r="AY359" i="5" s="1"/>
  <c r="AX204" i="5"/>
  <c r="AY204" i="5" s="1"/>
  <c r="AX523" i="5"/>
  <c r="AY523" i="5" s="1"/>
  <c r="AX106" i="5"/>
  <c r="AY106" i="5" s="1"/>
  <c r="AX410" i="5"/>
  <c r="AY410" i="5" s="1"/>
  <c r="AX411" i="5"/>
  <c r="AY411" i="5" s="1"/>
  <c r="AX87" i="5"/>
  <c r="AY87" i="5" s="1"/>
  <c r="AX282" i="5"/>
  <c r="AY282" i="5" s="1"/>
  <c r="AX289" i="5"/>
  <c r="AY289" i="5" s="1"/>
  <c r="AX323" i="5"/>
  <c r="AY323" i="5" s="1"/>
  <c r="AX429" i="5"/>
  <c r="AY429" i="5" s="1"/>
  <c r="AX163" i="5"/>
  <c r="AY163" i="5" s="1"/>
  <c r="AX449" i="5"/>
  <c r="AY449" i="5" s="1"/>
  <c r="AX185" i="5"/>
  <c r="AY185" i="5" s="1"/>
  <c r="AX52" i="5"/>
  <c r="AY52" i="5" s="1"/>
  <c r="AX293" i="5"/>
  <c r="AY293" i="5" s="1"/>
  <c r="AX20" i="5"/>
  <c r="AY20" i="5" s="1"/>
  <c r="AX210" i="5"/>
  <c r="AY210" i="5" s="1"/>
  <c r="AX119" i="5"/>
  <c r="AY119" i="5" s="1"/>
  <c r="AX65" i="5"/>
  <c r="AY65" i="5" s="1"/>
  <c r="AX549" i="5"/>
  <c r="AY549" i="5" s="1"/>
  <c r="AX367" i="5"/>
  <c r="AY367" i="5" s="1"/>
  <c r="AX388" i="5"/>
  <c r="AY388" i="5" s="1"/>
  <c r="AX26" i="5"/>
  <c r="AY26" i="5" s="1"/>
  <c r="AB49" i="4"/>
  <c r="AD49" i="4" s="1"/>
  <c r="AE49" i="4" s="1"/>
  <c r="AB58" i="4"/>
  <c r="AD58" i="4" s="1"/>
  <c r="AE58" i="4" s="1"/>
  <c r="AG54" i="4"/>
  <c r="AP54" i="4" s="1"/>
  <c r="Y54" i="4"/>
  <c r="AK54" i="4" s="1"/>
  <c r="AG55" i="4"/>
  <c r="AP55" i="4" s="1"/>
  <c r="Y55" i="4"/>
  <c r="AL55" i="4" s="1"/>
  <c r="AG52" i="4"/>
  <c r="AP52" i="4" s="1"/>
  <c r="Y52" i="4"/>
  <c r="AL52" i="4" s="1"/>
  <c r="BH34" i="4"/>
  <c r="BJ34" i="4" s="1"/>
  <c r="BK34" i="4" s="1"/>
  <c r="BN153" i="4"/>
  <c r="BP153" i="4" s="1"/>
  <c r="BN124" i="4"/>
  <c r="BP124" i="4" s="1"/>
  <c r="BN82" i="4"/>
  <c r="BP82" i="4" s="1"/>
  <c r="BN81" i="4"/>
  <c r="BP81" i="4" s="1"/>
  <c r="BY81" i="4" s="1"/>
  <c r="CA81" i="4" s="1"/>
  <c r="BN65" i="4"/>
  <c r="BP65" i="4" s="1"/>
  <c r="BN14" i="4"/>
  <c r="BP14" i="4" s="1"/>
  <c r="BN12" i="4"/>
  <c r="BP12" i="4" s="1"/>
  <c r="BN101" i="4"/>
  <c r="BP101" i="4" s="1"/>
  <c r="BN9" i="4"/>
  <c r="BP9" i="4" s="1"/>
  <c r="BN126" i="4"/>
  <c r="BP126" i="4" s="1"/>
  <c r="BN64" i="4"/>
  <c r="BP64" i="4" s="1"/>
  <c r="BN117" i="4"/>
  <c r="BP117" i="4" s="1"/>
  <c r="CB117" i="4" s="1"/>
  <c r="CC117" i="4" s="1"/>
  <c r="BN145" i="4"/>
  <c r="BP145" i="4" s="1"/>
  <c r="BN121" i="4"/>
  <c r="BP121" i="4" s="1"/>
  <c r="BN119" i="4"/>
  <c r="BP119" i="4" s="1"/>
  <c r="BN92" i="4"/>
  <c r="BP92" i="4" s="1"/>
  <c r="CB92" i="4" s="1"/>
  <c r="CC92" i="4" s="1"/>
  <c r="BN67" i="4"/>
  <c r="BP67" i="4" s="1"/>
  <c r="AW119" i="4"/>
  <c r="AH45" i="4"/>
  <c r="AJ45" i="4" s="1"/>
  <c r="AS45" i="4" s="1"/>
  <c r="AT45" i="4" s="1"/>
  <c r="AU45" i="4" s="1"/>
  <c r="AP31" i="4"/>
  <c r="AS31" i="4" s="1"/>
  <c r="AP19" i="4"/>
  <c r="AS19" i="4" s="1"/>
  <c r="AT19" i="4" s="1"/>
  <c r="AU19" i="4" s="1"/>
  <c r="AW67" i="4"/>
  <c r="AL27" i="4"/>
  <c r="AP51" i="4"/>
  <c r="AS51" i="4" s="1"/>
  <c r="AT51" i="4" s="1"/>
  <c r="AU51" i="4" s="1"/>
  <c r="AG93" i="4"/>
  <c r="AH93" i="4" s="1"/>
  <c r="AJ93" i="4" s="1"/>
  <c r="AS114" i="4"/>
  <c r="AW114" i="4" s="1"/>
  <c r="AW12" i="4"/>
  <c r="BR53" i="4"/>
  <c r="AW153" i="4"/>
  <c r="AG78" i="4"/>
  <c r="AP78" i="4" s="1"/>
  <c r="AS27" i="4"/>
  <c r="AT27" i="4" s="1"/>
  <c r="AU27" i="4" s="1"/>
  <c r="AB27" i="4"/>
  <c r="AD27" i="4" s="1"/>
  <c r="AE27" i="4" s="1"/>
  <c r="AW37" i="4"/>
  <c r="AW64" i="4"/>
  <c r="AB30" i="4"/>
  <c r="AD30" i="4" s="1"/>
  <c r="AE30" i="4" s="1"/>
  <c r="AB44" i="4"/>
  <c r="AD44" i="4" s="1"/>
  <c r="AE44" i="4" s="1"/>
  <c r="AW57" i="4"/>
  <c r="AW14" i="4"/>
  <c r="AW25" i="4"/>
  <c r="AW81" i="4"/>
  <c r="AG50" i="4"/>
  <c r="AP50" i="4" s="1"/>
  <c r="Y50" i="4"/>
  <c r="AK50" i="4" s="1"/>
  <c r="AG41" i="4"/>
  <c r="AP41" i="4" s="1"/>
  <c r="Y41" i="4"/>
  <c r="AL41" i="4" s="1"/>
  <c r="Y38" i="4"/>
  <c r="AG42" i="4"/>
  <c r="AH42" i="4" s="1"/>
  <c r="AJ42" i="4" s="1"/>
  <c r="Y42" i="4"/>
  <c r="AK42" i="4" s="1"/>
  <c r="AS18" i="4"/>
  <c r="AT18" i="4" s="1"/>
  <c r="AU18" i="4" s="1"/>
  <c r="AG34" i="4"/>
  <c r="AH34" i="4" s="1"/>
  <c r="AJ34" i="4" s="1"/>
  <c r="Y34" i="4"/>
  <c r="AS95" i="4"/>
  <c r="AB40" i="4"/>
  <c r="AD40" i="4" s="1"/>
  <c r="AE40" i="4" s="1"/>
  <c r="AT108" i="4"/>
  <c r="AU108" i="4" s="1"/>
  <c r="AW108" i="4"/>
  <c r="AW144" i="4"/>
  <c r="AT144" i="4"/>
  <c r="AU144" i="4" s="1"/>
  <c r="AW137" i="4"/>
  <c r="AT137" i="4"/>
  <c r="AU137" i="4" s="1"/>
  <c r="BV16" i="4"/>
  <c r="BV7" i="4"/>
  <c r="AW126" i="4"/>
  <c r="AL19" i="4"/>
  <c r="AW136" i="4"/>
  <c r="AT136" i="4"/>
  <c r="AU136" i="4" s="1"/>
  <c r="AB19" i="4"/>
  <c r="AD19" i="4" s="1"/>
  <c r="AE19" i="4" s="1"/>
  <c r="AW17" i="4"/>
  <c r="AW121" i="4"/>
  <c r="AW47" i="4"/>
  <c r="AT47" i="4"/>
  <c r="AU47" i="4" s="1"/>
  <c r="AW105" i="4"/>
  <c r="AT105" i="4"/>
  <c r="AU105" i="4" s="1"/>
  <c r="AW36" i="4"/>
  <c r="AT36" i="4"/>
  <c r="AU36" i="4" s="1"/>
  <c r="AW48" i="4"/>
  <c r="AT48" i="4"/>
  <c r="AU48" i="4" s="1"/>
  <c r="AW120" i="4"/>
  <c r="AT120" i="4"/>
  <c r="AU120" i="4" s="1"/>
  <c r="BV10" i="4"/>
  <c r="BN10" i="4"/>
  <c r="BP10" i="4" s="1"/>
  <c r="BV17" i="4"/>
  <c r="BN17" i="4"/>
  <c r="BP17" i="4" s="1"/>
  <c r="AW24" i="4"/>
  <c r="AW76" i="4"/>
  <c r="AW89" i="4"/>
  <c r="AT89" i="4"/>
  <c r="AU89" i="4" s="1"/>
  <c r="AW70" i="4"/>
  <c r="AT70" i="4"/>
  <c r="AU70" i="4" s="1"/>
  <c r="AW147" i="4"/>
  <c r="AT147" i="4"/>
  <c r="AU147" i="4" s="1"/>
  <c r="AW8" i="4"/>
  <c r="AT8" i="4"/>
  <c r="AU8" i="4" s="1"/>
  <c r="AW151" i="4"/>
  <c r="AT151" i="4"/>
  <c r="AU151" i="4" s="1"/>
  <c r="AW13" i="4"/>
  <c r="AT13" i="4"/>
  <c r="AU13" i="4" s="1"/>
  <c r="AW72" i="4"/>
  <c r="AT72" i="4"/>
  <c r="AU72" i="4" s="1"/>
  <c r="BV21" i="4"/>
  <c r="BV24" i="4"/>
  <c r="BN24" i="4"/>
  <c r="BP24" i="4" s="1"/>
  <c r="AW7" i="4"/>
  <c r="AT7" i="4"/>
  <c r="AU7" i="4" s="1"/>
  <c r="AH23" i="4"/>
  <c r="AJ23" i="4" s="1"/>
  <c r="AS23" i="4" s="1"/>
  <c r="AW65" i="4"/>
  <c r="AW154" i="4"/>
  <c r="AT154" i="4"/>
  <c r="AU154" i="4" s="1"/>
  <c r="AW97" i="4"/>
  <c r="AT97" i="4"/>
  <c r="AU97" i="4" s="1"/>
  <c r="AW29" i="4"/>
  <c r="AT29" i="4"/>
  <c r="AU29" i="4" s="1"/>
  <c r="BR35" i="4"/>
  <c r="AW145" i="4"/>
  <c r="AW86" i="4"/>
  <c r="AT86" i="4"/>
  <c r="AU86" i="4" s="1"/>
  <c r="AW123" i="4"/>
  <c r="AT123" i="4"/>
  <c r="AU123" i="4" s="1"/>
  <c r="BV23" i="4"/>
  <c r="BV32" i="4"/>
  <c r="AW92" i="4"/>
  <c r="AW143" i="4"/>
  <c r="AT143" i="4"/>
  <c r="AU143" i="4" s="1"/>
  <c r="AW122" i="4"/>
  <c r="AT122" i="4"/>
  <c r="AU122" i="4" s="1"/>
  <c r="AW138" i="4"/>
  <c r="AT138" i="4"/>
  <c r="AU138" i="4" s="1"/>
  <c r="AW15" i="4"/>
  <c r="AT15" i="4"/>
  <c r="AU15" i="4" s="1"/>
  <c r="AS66" i="4"/>
  <c r="AT66" i="4" s="1"/>
  <c r="AU66" i="4" s="1"/>
  <c r="AB16" i="4"/>
  <c r="AD16" i="4" s="1"/>
  <c r="AE16" i="4" s="1"/>
  <c r="AS59" i="4"/>
  <c r="AS111" i="4"/>
  <c r="AS61" i="4"/>
  <c r="AS109" i="4"/>
  <c r="AS85" i="4"/>
  <c r="AS63" i="4"/>
  <c r="AS21" i="4"/>
  <c r="AS20" i="4"/>
  <c r="AW9" i="4"/>
  <c r="AW117" i="4"/>
  <c r="AS99" i="4"/>
  <c r="AT99" i="4" s="1"/>
  <c r="AU99" i="4" s="1"/>
  <c r="AS104" i="4"/>
  <c r="AW107" i="4"/>
  <c r="AS152" i="4"/>
  <c r="AW10" i="4"/>
  <c r="AW82" i="4"/>
  <c r="AS133" i="4"/>
  <c r="AS115" i="4"/>
  <c r="AW124" i="4"/>
  <c r="AS157" i="4"/>
  <c r="AW101" i="4"/>
  <c r="AK11" i="4"/>
  <c r="AB11" i="4"/>
  <c r="AD11" i="4" s="1"/>
  <c r="AE11" i="4" s="1"/>
  <c r="AG80" i="4"/>
  <c r="AL80" i="4"/>
  <c r="AG131" i="4"/>
  <c r="AL131" i="4"/>
  <c r="AL100" i="4"/>
  <c r="AG100" i="4"/>
  <c r="AL49" i="4"/>
  <c r="AG49" i="4"/>
  <c r="AG149" i="4"/>
  <c r="AL149" i="4"/>
  <c r="AG16" i="4"/>
  <c r="AL16" i="4"/>
  <c r="AG58" i="4"/>
  <c r="AL58" i="4"/>
  <c r="AL30" i="4"/>
  <c r="AG30" i="4"/>
  <c r="AL135" i="4"/>
  <c r="AG135" i="4"/>
  <c r="AL40" i="4"/>
  <c r="AG40" i="4"/>
  <c r="AL73" i="4"/>
  <c r="AG73" i="4"/>
  <c r="AG68" i="4"/>
  <c r="AL68" i="4"/>
  <c r="AL155" i="4"/>
  <c r="AG155" i="4"/>
  <c r="AL44" i="4"/>
  <c r="AG44" i="4"/>
  <c r="AL129" i="4"/>
  <c r="AL110" i="4"/>
  <c r="AL32" i="4"/>
  <c r="AP96" i="4"/>
  <c r="AH96" i="4"/>
  <c r="AJ96" i="4" s="1"/>
  <c r="AL60" i="4"/>
  <c r="AL146" i="4"/>
  <c r="AL35" i="4"/>
  <c r="AL22" i="4"/>
  <c r="AL26" i="4"/>
  <c r="AL106" i="4"/>
  <c r="AP35" i="4"/>
  <c r="AH35" i="4"/>
  <c r="AJ35" i="4" s="1"/>
  <c r="AL46" i="4"/>
  <c r="AH32" i="4"/>
  <c r="AJ32" i="4" s="1"/>
  <c r="AP32" i="4"/>
  <c r="AP129" i="4"/>
  <c r="AH129" i="4"/>
  <c r="AJ129" i="4" s="1"/>
  <c r="AL71" i="4"/>
  <c r="AL56" i="4"/>
  <c r="AP91" i="4"/>
  <c r="AH91" i="4"/>
  <c r="AJ91" i="4" s="1"/>
  <c r="AL33" i="4"/>
  <c r="AP22" i="4"/>
  <c r="AH22" i="4"/>
  <c r="AJ22" i="4" s="1"/>
  <c r="AL53" i="4"/>
  <c r="AL43" i="4"/>
  <c r="AP26" i="4"/>
  <c r="AH26" i="4"/>
  <c r="AJ26" i="4" s="1"/>
  <c r="AP60" i="4"/>
  <c r="AH60" i="4"/>
  <c r="AJ60" i="4" s="1"/>
  <c r="AH33" i="4"/>
  <c r="AJ33" i="4" s="1"/>
  <c r="AP33" i="4"/>
  <c r="AL69" i="4"/>
  <c r="AP28" i="4"/>
  <c r="AH28" i="4"/>
  <c r="AJ28" i="4" s="1"/>
  <c r="AP46" i="4"/>
  <c r="AH46" i="4"/>
  <c r="AJ46" i="4" s="1"/>
  <c r="AL79" i="4"/>
  <c r="AG79" i="4"/>
  <c r="AH38" i="4"/>
  <c r="AJ38" i="4" s="1"/>
  <c r="AP38" i="4"/>
  <c r="AP125" i="4"/>
  <c r="AH125" i="4"/>
  <c r="AJ125" i="4" s="1"/>
  <c r="AH83" i="4"/>
  <c r="AJ83" i="4" s="1"/>
  <c r="AP83" i="4"/>
  <c r="AP146" i="4"/>
  <c r="AH146" i="4"/>
  <c r="AJ146" i="4" s="1"/>
  <c r="AL83" i="4"/>
  <c r="AL62" i="4"/>
  <c r="AG116" i="4"/>
  <c r="AL116" i="4"/>
  <c r="AP53" i="4"/>
  <c r="AH53" i="4"/>
  <c r="AJ53" i="4" s="1"/>
  <c r="AL77" i="4"/>
  <c r="AG77" i="4"/>
  <c r="AP94" i="4"/>
  <c r="AH94" i="4"/>
  <c r="AJ94" i="4" s="1"/>
  <c r="AH43" i="4"/>
  <c r="AJ43" i="4" s="1"/>
  <c r="AP43" i="4"/>
  <c r="AL94" i="4"/>
  <c r="AP62" i="4"/>
  <c r="AH62" i="4"/>
  <c r="AJ62" i="4" s="1"/>
  <c r="AH98" i="4"/>
  <c r="AJ98" i="4" s="1"/>
  <c r="AP98" i="4"/>
  <c r="AG128" i="4"/>
  <c r="AL128" i="4"/>
  <c r="AP142" i="4"/>
  <c r="AH142" i="4"/>
  <c r="AJ142" i="4" s="1"/>
  <c r="AL11" i="4"/>
  <c r="AL98" i="4"/>
  <c r="AP106" i="4"/>
  <c r="AH106" i="4"/>
  <c r="AJ106" i="4" s="1"/>
  <c r="AP71" i="4"/>
  <c r="AH71" i="4"/>
  <c r="AJ71" i="4" s="1"/>
  <c r="AL125" i="4"/>
  <c r="AP39" i="4"/>
  <c r="AH39" i="4"/>
  <c r="AJ39" i="4" s="1"/>
  <c r="AP11" i="4"/>
  <c r="AH11" i="4"/>
  <c r="AJ11" i="4" s="1"/>
  <c r="AP118" i="4"/>
  <c r="AH118" i="4"/>
  <c r="AJ118" i="4" s="1"/>
  <c r="AP113" i="4"/>
  <c r="AH113" i="4"/>
  <c r="AJ113" i="4" s="1"/>
  <c r="AL113" i="4"/>
  <c r="AP110" i="4"/>
  <c r="AH110" i="4"/>
  <c r="AJ110" i="4" s="1"/>
  <c r="AL87" i="4"/>
  <c r="AG87" i="4"/>
  <c r="AP56" i="4"/>
  <c r="AH56" i="4"/>
  <c r="AJ56" i="4" s="1"/>
  <c r="AP69" i="4"/>
  <c r="AH69" i="4"/>
  <c r="AJ69" i="4" s="1"/>
  <c r="AP74" i="4"/>
  <c r="AH74" i="4"/>
  <c r="AJ74" i="4" s="1"/>
  <c r="AL142" i="4"/>
  <c r="BR34" i="4"/>
  <c r="BM58" i="4"/>
  <c r="BE58" i="4"/>
  <c r="BQ58" i="4" s="1"/>
  <c r="BM55" i="4"/>
  <c r="BE55" i="4"/>
  <c r="BQ55" i="4" s="1"/>
  <c r="BM57" i="4"/>
  <c r="BE57" i="4"/>
  <c r="BQ57" i="4" s="1"/>
  <c r="BM54" i="4"/>
  <c r="BE54" i="4"/>
  <c r="BQ54" i="4" s="1"/>
  <c r="BM56" i="4"/>
  <c r="BE56" i="4"/>
  <c r="BQ56" i="4" s="1"/>
  <c r="BR47" i="4"/>
  <c r="BM49" i="4"/>
  <c r="BE49" i="4"/>
  <c r="BQ49" i="4" s="1"/>
  <c r="BM46" i="4"/>
  <c r="BE46" i="4"/>
  <c r="BQ46" i="4" s="1"/>
  <c r="BQ47" i="4"/>
  <c r="BM45" i="4"/>
  <c r="BE45" i="4"/>
  <c r="BQ45" i="4" s="1"/>
  <c r="BM39" i="4"/>
  <c r="BE39" i="4"/>
  <c r="BQ39" i="4" s="1"/>
  <c r="BM37" i="4"/>
  <c r="BE37" i="4"/>
  <c r="BQ37" i="4" s="1"/>
  <c r="BM41" i="4"/>
  <c r="BE41" i="4"/>
  <c r="BQ41" i="4" s="1"/>
  <c r="BH7" i="4"/>
  <c r="BJ7" i="4" s="1"/>
  <c r="BK7" i="4" s="1"/>
  <c r="BR21" i="4"/>
  <c r="BH16" i="4"/>
  <c r="BJ16" i="4" s="1"/>
  <c r="BK16" i="4" s="1"/>
  <c r="BR16" i="4"/>
  <c r="BR10" i="4"/>
  <c r="BR17" i="4"/>
  <c r="BH10" i="4"/>
  <c r="BJ10" i="4" s="1"/>
  <c r="BK10" i="4" s="1"/>
  <c r="BH17" i="4"/>
  <c r="BJ17" i="4" s="1"/>
  <c r="BK17" i="4" s="1"/>
  <c r="BH32" i="4"/>
  <c r="BJ32" i="4" s="1"/>
  <c r="BK32" i="4" s="1"/>
  <c r="BR23" i="4"/>
  <c r="BR32" i="4"/>
  <c r="BH23" i="4"/>
  <c r="BJ23" i="4" s="1"/>
  <c r="BK23" i="4" s="1"/>
  <c r="BH24" i="4"/>
  <c r="BJ24" i="4" s="1"/>
  <c r="BK24" i="4" s="1"/>
  <c r="BR24" i="4"/>
  <c r="BR7" i="4"/>
  <c r="BH21" i="4"/>
  <c r="BJ21" i="4" s="1"/>
  <c r="BK21" i="4" s="1"/>
  <c r="BM33" i="4"/>
  <c r="BE33" i="4"/>
  <c r="BQ33" i="4" s="1"/>
  <c r="BM25" i="4"/>
  <c r="BE25" i="4"/>
  <c r="BQ25" i="4" s="1"/>
  <c r="BM31" i="4"/>
  <c r="BE31" i="4"/>
  <c r="BQ31" i="4" s="1"/>
  <c r="BM29" i="4"/>
  <c r="BE29" i="4"/>
  <c r="BQ29" i="4" s="1"/>
  <c r="BH130" i="4"/>
  <c r="BJ130" i="4" s="1"/>
  <c r="BK130" i="4" s="1"/>
  <c r="O152" i="2"/>
  <c r="O151" i="2"/>
  <c r="BH152" i="4"/>
  <c r="BJ152" i="4" s="1"/>
  <c r="BK152" i="4" s="1"/>
  <c r="AU9" i="5"/>
  <c r="B182" i="2"/>
  <c r="F65" i="1"/>
  <c r="AP310" i="4" l="1"/>
  <c r="AL272" i="4"/>
  <c r="BH286" i="4"/>
  <c r="BJ286" i="4" s="1"/>
  <c r="BK286" i="4" s="1"/>
  <c r="AB262" i="4"/>
  <c r="AD262" i="4" s="1"/>
  <c r="AE262" i="4" s="1"/>
  <c r="AB222" i="4"/>
  <c r="AD222" i="4" s="1"/>
  <c r="AE222" i="4" s="1"/>
  <c r="BH289" i="4"/>
  <c r="BJ289" i="4" s="1"/>
  <c r="BK289" i="4" s="1"/>
  <c r="AB242" i="4"/>
  <c r="AD242" i="4" s="1"/>
  <c r="AE242" i="4" s="1"/>
  <c r="BH251" i="4"/>
  <c r="BJ251" i="4" s="1"/>
  <c r="BK251" i="4" s="1"/>
  <c r="AB271" i="4"/>
  <c r="AD271" i="4" s="1"/>
  <c r="AE271" i="4" s="1"/>
  <c r="BN293" i="4"/>
  <c r="BP293" i="4" s="1"/>
  <c r="CB293" i="4" s="1"/>
  <c r="CC293" i="4" s="1"/>
  <c r="BR299" i="4"/>
  <c r="AP235" i="4"/>
  <c r="AS235" i="4" s="1"/>
  <c r="AT235" i="4" s="1"/>
  <c r="AU235" i="4" s="1"/>
  <c r="BN235" i="4" s="1"/>
  <c r="BP235" i="4" s="1"/>
  <c r="AL261" i="4"/>
  <c r="BY205" i="4"/>
  <c r="CA205" i="4" s="1"/>
  <c r="BN267" i="4"/>
  <c r="BP267" i="4" s="1"/>
  <c r="CB267" i="4" s="1"/>
  <c r="CC267" i="4" s="1"/>
  <c r="AL310" i="4"/>
  <c r="BN285" i="4"/>
  <c r="BP285" i="4" s="1"/>
  <c r="CB285" i="4" s="1"/>
  <c r="CC285" i="4" s="1"/>
  <c r="AP312" i="4"/>
  <c r="AS312" i="4" s="1"/>
  <c r="AT312" i="4" s="1"/>
  <c r="AU312" i="4" s="1"/>
  <c r="BN312" i="4" s="1"/>
  <c r="BP312" i="4" s="1"/>
  <c r="AL323" i="4"/>
  <c r="AP211" i="4"/>
  <c r="AS211" i="4" s="1"/>
  <c r="BR158" i="4"/>
  <c r="BN275" i="4"/>
  <c r="BP275" i="4" s="1"/>
  <c r="CB275" i="4" s="1"/>
  <c r="CC275" i="4" s="1"/>
  <c r="BN265" i="4"/>
  <c r="BP265" i="4" s="1"/>
  <c r="CB265" i="4" s="1"/>
  <c r="CC265" i="4" s="1"/>
  <c r="AL271" i="4"/>
  <c r="BH83" i="4"/>
  <c r="BJ83" i="4" s="1"/>
  <c r="BK83" i="4" s="1"/>
  <c r="BR232" i="4"/>
  <c r="AH203" i="4"/>
  <c r="AJ203" i="4" s="1"/>
  <c r="AS203" i="4" s="1"/>
  <c r="AH306" i="4"/>
  <c r="AJ306" i="4" s="1"/>
  <c r="AS306" i="4" s="1"/>
  <c r="AP242" i="4"/>
  <c r="AS242" i="4" s="1"/>
  <c r="AH307" i="4"/>
  <c r="AJ307" i="4" s="1"/>
  <c r="AS307" i="4" s="1"/>
  <c r="AW307" i="4" s="1"/>
  <c r="BY101" i="4"/>
  <c r="CA101" i="4" s="1"/>
  <c r="BR286" i="4"/>
  <c r="BR177" i="4"/>
  <c r="BR247" i="4"/>
  <c r="AL301" i="4"/>
  <c r="AH256" i="4"/>
  <c r="AJ256" i="4" s="1"/>
  <c r="AS256" i="4" s="1"/>
  <c r="BH120" i="4"/>
  <c r="BJ120" i="4" s="1"/>
  <c r="BK120" i="4" s="1"/>
  <c r="BH89" i="4"/>
  <c r="BJ89" i="4" s="1"/>
  <c r="BK89" i="4" s="1"/>
  <c r="AP224" i="4"/>
  <c r="AS224" i="4" s="1"/>
  <c r="AT224" i="4" s="1"/>
  <c r="AU224" i="4" s="1"/>
  <c r="BN224" i="4" s="1"/>
  <c r="BP224" i="4" s="1"/>
  <c r="BH99" i="4"/>
  <c r="BJ99" i="4" s="1"/>
  <c r="BK99" i="4" s="1"/>
  <c r="AH276" i="4"/>
  <c r="AJ276" i="4" s="1"/>
  <c r="AS276" i="4" s="1"/>
  <c r="AP272" i="4"/>
  <c r="AS272" i="4" s="1"/>
  <c r="BN254" i="4"/>
  <c r="BP254" i="4" s="1"/>
  <c r="CB254" i="4" s="1"/>
  <c r="CC254" i="4" s="1"/>
  <c r="BY173" i="4"/>
  <c r="CA173" i="4" s="1"/>
  <c r="BN324" i="4"/>
  <c r="BP324" i="4" s="1"/>
  <c r="CB324" i="4" s="1"/>
  <c r="CC324" i="4" s="1"/>
  <c r="BH62" i="4"/>
  <c r="BJ62" i="4" s="1"/>
  <c r="BK62" i="4" s="1"/>
  <c r="AH264" i="4"/>
  <c r="AJ264" i="4" s="1"/>
  <c r="AS264" i="4" s="1"/>
  <c r="AP231" i="4"/>
  <c r="AS231" i="4" s="1"/>
  <c r="AT231" i="4" s="1"/>
  <c r="AU231" i="4" s="1"/>
  <c r="BN231" i="4" s="1"/>
  <c r="BP231" i="4" s="1"/>
  <c r="AP262" i="4"/>
  <c r="AS262" i="4" s="1"/>
  <c r="AW262" i="4" s="1"/>
  <c r="AL211" i="4"/>
  <c r="BN192" i="4"/>
  <c r="BP192" i="4" s="1"/>
  <c r="CB192" i="4" s="1"/>
  <c r="CC192" i="4" s="1"/>
  <c r="BR203" i="4"/>
  <c r="BR294" i="4"/>
  <c r="AP251" i="4"/>
  <c r="AS251" i="4" s="1"/>
  <c r="BN286" i="4"/>
  <c r="BP286" i="4" s="1"/>
  <c r="CB286" i="4" s="1"/>
  <c r="CC286" i="4" s="1"/>
  <c r="BN190" i="4"/>
  <c r="BP190" i="4" s="1"/>
  <c r="CB190" i="4" s="1"/>
  <c r="CC190" i="4" s="1"/>
  <c r="AP301" i="4"/>
  <c r="AS301" i="4" s="1"/>
  <c r="AH245" i="4"/>
  <c r="AJ245" i="4" s="1"/>
  <c r="AS245" i="4" s="1"/>
  <c r="AL226" i="4"/>
  <c r="AL245" i="4"/>
  <c r="CB175" i="4"/>
  <c r="CC175" i="4" s="1"/>
  <c r="BR239" i="4"/>
  <c r="BN218" i="4"/>
  <c r="BP218" i="4" s="1"/>
  <c r="CB218" i="4" s="1"/>
  <c r="CC218" i="4" s="1"/>
  <c r="AH302" i="4"/>
  <c r="AJ302" i="4" s="1"/>
  <c r="AS302" i="4" s="1"/>
  <c r="AT302" i="4" s="1"/>
  <c r="AU302" i="4" s="1"/>
  <c r="BN302" i="4" s="1"/>
  <c r="BP302" i="4" s="1"/>
  <c r="AP241" i="4"/>
  <c r="AS241" i="4" s="1"/>
  <c r="AT241" i="4" s="1"/>
  <c r="AU241" i="4" s="1"/>
  <c r="BN241" i="4" s="1"/>
  <c r="BP241" i="4" s="1"/>
  <c r="CB311" i="4"/>
  <c r="CC311" i="4" s="1"/>
  <c r="AH178" i="4"/>
  <c r="AJ178" i="4" s="1"/>
  <c r="AS178" i="4" s="1"/>
  <c r="AL306" i="4"/>
  <c r="AL242" i="4"/>
  <c r="AP233" i="4"/>
  <c r="AS233" i="4" s="1"/>
  <c r="AL268" i="4"/>
  <c r="AL182" i="4"/>
  <c r="BN165" i="4"/>
  <c r="BP165" i="4" s="1"/>
  <c r="CB165" i="4" s="1"/>
  <c r="CC165" i="4" s="1"/>
  <c r="AH296" i="4"/>
  <c r="AJ296" i="4" s="1"/>
  <c r="AS296" i="4" s="1"/>
  <c r="AP182" i="4"/>
  <c r="AS182" i="4" s="1"/>
  <c r="AT182" i="4" s="1"/>
  <c r="AU182" i="4" s="1"/>
  <c r="BN182" i="4" s="1"/>
  <c r="BP182" i="4" s="1"/>
  <c r="BN266" i="4"/>
  <c r="BP266" i="4" s="1"/>
  <c r="CB266" i="4" s="1"/>
  <c r="CC266" i="4" s="1"/>
  <c r="BR251" i="4"/>
  <c r="AP268" i="4"/>
  <c r="AS268" i="4" s="1"/>
  <c r="AT268" i="4" s="1"/>
  <c r="AU268" i="4" s="1"/>
  <c r="BN268" i="4" s="1"/>
  <c r="BP268" i="4" s="1"/>
  <c r="AP214" i="4"/>
  <c r="AS214" i="4" s="1"/>
  <c r="AT214" i="4" s="1"/>
  <c r="AU214" i="4" s="1"/>
  <c r="BN214" i="4" s="1"/>
  <c r="BP214" i="4" s="1"/>
  <c r="AP240" i="4"/>
  <c r="AS240" i="4" s="1"/>
  <c r="AP282" i="4"/>
  <c r="AS282" i="4" s="1"/>
  <c r="AW282" i="4" s="1"/>
  <c r="AL276" i="4"/>
  <c r="BR172" i="4"/>
  <c r="AB310" i="4"/>
  <c r="AD310" i="4" s="1"/>
  <c r="AE310" i="4" s="1"/>
  <c r="BH254" i="4"/>
  <c r="BJ254" i="4" s="1"/>
  <c r="BK254" i="4" s="1"/>
  <c r="AB245" i="4"/>
  <c r="AD245" i="4" s="1"/>
  <c r="AE245" i="4" s="1"/>
  <c r="AB272" i="4"/>
  <c r="AD272" i="4" s="1"/>
  <c r="AE272" i="4" s="1"/>
  <c r="BH275" i="4"/>
  <c r="BJ275" i="4" s="1"/>
  <c r="BK275" i="4" s="1"/>
  <c r="AP206" i="4"/>
  <c r="AS206" i="4" s="1"/>
  <c r="AT206" i="4" s="1"/>
  <c r="AU206" i="4" s="1"/>
  <c r="BN206" i="4" s="1"/>
  <c r="BP206" i="4" s="1"/>
  <c r="AB323" i="4"/>
  <c r="AD323" i="4" s="1"/>
  <c r="AE323" i="4" s="1"/>
  <c r="BH265" i="4"/>
  <c r="BJ265" i="4" s="1"/>
  <c r="BK265" i="4" s="1"/>
  <c r="AH280" i="4"/>
  <c r="AJ280" i="4" s="1"/>
  <c r="AS280" i="4" s="1"/>
  <c r="AW280" i="4" s="1"/>
  <c r="AL262" i="4"/>
  <c r="BR267" i="4"/>
  <c r="BR289" i="4"/>
  <c r="BR269" i="4"/>
  <c r="BR244" i="4"/>
  <c r="BR254" i="4"/>
  <c r="BR275" i="4"/>
  <c r="AP201" i="4"/>
  <c r="AS201" i="4" s="1"/>
  <c r="BR324" i="4"/>
  <c r="AL224" i="4"/>
  <c r="BN252" i="4"/>
  <c r="BP252" i="4" s="1"/>
  <c r="CB252" i="4" s="1"/>
  <c r="CC252" i="4" s="1"/>
  <c r="AP289" i="4"/>
  <c r="AS289" i="4" s="1"/>
  <c r="AT289" i="4" s="1"/>
  <c r="AU289" i="4" s="1"/>
  <c r="BN289" i="4" s="1"/>
  <c r="BP289" i="4" s="1"/>
  <c r="CB289" i="4" s="1"/>
  <c r="CC289" i="4" s="1"/>
  <c r="BR265" i="4"/>
  <c r="AP174" i="4"/>
  <c r="AS174" i="4" s="1"/>
  <c r="AT174" i="4" s="1"/>
  <c r="AU174" i="4" s="1"/>
  <c r="BN174" i="4" s="1"/>
  <c r="BP174" i="4" s="1"/>
  <c r="AH290" i="4"/>
  <c r="AJ290" i="4" s="1"/>
  <c r="AS290" i="4" s="1"/>
  <c r="AP278" i="4"/>
  <c r="AS278" i="4" s="1"/>
  <c r="AT278" i="4" s="1"/>
  <c r="AU278" i="4" s="1"/>
  <c r="BN278" i="4" s="1"/>
  <c r="BP278" i="4" s="1"/>
  <c r="BN232" i="4"/>
  <c r="BP232" i="4" s="1"/>
  <c r="CB232" i="4" s="1"/>
  <c r="CC232" i="4" s="1"/>
  <c r="AL280" i="4"/>
  <c r="BN299" i="4"/>
  <c r="BP299" i="4" s="1"/>
  <c r="CB299" i="4" s="1"/>
  <c r="CC299" i="4" s="1"/>
  <c r="AB211" i="4"/>
  <c r="AD211" i="4" s="1"/>
  <c r="AE211" i="4" s="1"/>
  <c r="BN247" i="4"/>
  <c r="BP247" i="4" s="1"/>
  <c r="CB247" i="4" s="1"/>
  <c r="CC247" i="4" s="1"/>
  <c r="BQ318" i="4"/>
  <c r="BH318" i="4"/>
  <c r="BJ318" i="4" s="1"/>
  <c r="BK318" i="4" s="1"/>
  <c r="AH298" i="4"/>
  <c r="AJ298" i="4" s="1"/>
  <c r="AS298" i="4" s="1"/>
  <c r="AL282" i="4"/>
  <c r="AB312" i="4"/>
  <c r="AD312" i="4" s="1"/>
  <c r="AE312" i="4" s="1"/>
  <c r="AK312" i="4"/>
  <c r="AB306" i="4"/>
  <c r="AD306" i="4" s="1"/>
  <c r="AE306" i="4" s="1"/>
  <c r="AK264" i="4"/>
  <c r="AB264" i="4"/>
  <c r="AD264" i="4" s="1"/>
  <c r="AE264" i="4" s="1"/>
  <c r="AB276" i="4"/>
  <c r="AD276" i="4" s="1"/>
  <c r="AE276" i="4" s="1"/>
  <c r="AK302" i="4"/>
  <c r="AB302" i="4"/>
  <c r="AD302" i="4" s="1"/>
  <c r="AE302" i="4" s="1"/>
  <c r="AH271" i="4"/>
  <c r="AJ271" i="4" s="1"/>
  <c r="AS271" i="4" s="1"/>
  <c r="AW271" i="4" s="1"/>
  <c r="AL298" i="4"/>
  <c r="AB290" i="4"/>
  <c r="AD290" i="4" s="1"/>
  <c r="AE290" i="4" s="1"/>
  <c r="AK290" i="4"/>
  <c r="BQ282" i="4"/>
  <c r="BH282" i="4"/>
  <c r="BJ282" i="4" s="1"/>
  <c r="BK282" i="4" s="1"/>
  <c r="BH87" i="4"/>
  <c r="BJ87" i="4" s="1"/>
  <c r="BK87" i="4" s="1"/>
  <c r="AB278" i="4"/>
  <c r="AD278" i="4" s="1"/>
  <c r="AE278" i="4" s="1"/>
  <c r="AK307" i="4"/>
  <c r="AB307" i="4"/>
  <c r="AD307" i="4" s="1"/>
  <c r="AE307" i="4" s="1"/>
  <c r="BH294" i="4"/>
  <c r="BJ294" i="4" s="1"/>
  <c r="BK294" i="4" s="1"/>
  <c r="AP323" i="4"/>
  <c r="AS323" i="4" s="1"/>
  <c r="AT323" i="4" s="1"/>
  <c r="AU323" i="4" s="1"/>
  <c r="BN323" i="4" s="1"/>
  <c r="BP323" i="4" s="1"/>
  <c r="AL278" i="4"/>
  <c r="BH244" i="4"/>
  <c r="BJ244" i="4" s="1"/>
  <c r="BK244" i="4" s="1"/>
  <c r="AB298" i="4"/>
  <c r="AD298" i="4" s="1"/>
  <c r="AE298" i="4" s="1"/>
  <c r="AB280" i="4"/>
  <c r="AD280" i="4" s="1"/>
  <c r="AE280" i="4" s="1"/>
  <c r="BH299" i="4"/>
  <c r="BJ299" i="4" s="1"/>
  <c r="BK299" i="4" s="1"/>
  <c r="AH297" i="4"/>
  <c r="AJ297" i="4" s="1"/>
  <c r="AS297" i="4" s="1"/>
  <c r="AT297" i="4" s="1"/>
  <c r="AU297" i="4" s="1"/>
  <c r="BN297" i="4" s="1"/>
  <c r="BP297" i="4" s="1"/>
  <c r="AH171" i="4"/>
  <c r="AJ171" i="4" s="1"/>
  <c r="AS171" i="4" s="1"/>
  <c r="AT171" i="4" s="1"/>
  <c r="AU171" i="4" s="1"/>
  <c r="BN171" i="4" s="1"/>
  <c r="BP171" i="4" s="1"/>
  <c r="AH208" i="4"/>
  <c r="AJ208" i="4" s="1"/>
  <c r="AS208" i="4" s="1"/>
  <c r="BH280" i="4"/>
  <c r="BJ280" i="4" s="1"/>
  <c r="BK280" i="4" s="1"/>
  <c r="BQ280" i="4"/>
  <c r="BQ261" i="4"/>
  <c r="BH261" i="4"/>
  <c r="BJ261" i="4" s="1"/>
  <c r="BK261" i="4" s="1"/>
  <c r="AB251" i="4"/>
  <c r="AD251" i="4" s="1"/>
  <c r="AE251" i="4" s="1"/>
  <c r="AK251" i="4"/>
  <c r="BH269" i="4"/>
  <c r="BJ269" i="4" s="1"/>
  <c r="BK269" i="4" s="1"/>
  <c r="AB214" i="4"/>
  <c r="AD214" i="4" s="1"/>
  <c r="AE214" i="4" s="1"/>
  <c r="AB256" i="4"/>
  <c r="AD256" i="4" s="1"/>
  <c r="AE256" i="4" s="1"/>
  <c r="AK256" i="4"/>
  <c r="AB296" i="4"/>
  <c r="AD296" i="4" s="1"/>
  <c r="AE296" i="4" s="1"/>
  <c r="AK296" i="4"/>
  <c r="BH247" i="4"/>
  <c r="BJ247" i="4" s="1"/>
  <c r="BK247" i="4" s="1"/>
  <c r="AL302" i="4"/>
  <c r="BR182" i="4"/>
  <c r="BH266" i="4"/>
  <c r="BJ266" i="4" s="1"/>
  <c r="BK266" i="4" s="1"/>
  <c r="BQ266" i="4"/>
  <c r="BQ284" i="4"/>
  <c r="BH284" i="4"/>
  <c r="BJ284" i="4" s="1"/>
  <c r="BK284" i="4" s="1"/>
  <c r="BQ252" i="4"/>
  <c r="BH252" i="4"/>
  <c r="BJ252" i="4" s="1"/>
  <c r="BK252" i="4" s="1"/>
  <c r="AK289" i="4"/>
  <c r="AB289" i="4"/>
  <c r="AD289" i="4" s="1"/>
  <c r="AE289" i="4" s="1"/>
  <c r="AB282" i="4"/>
  <c r="AD282" i="4" s="1"/>
  <c r="AE282" i="4" s="1"/>
  <c r="AK297" i="4"/>
  <c r="AB297" i="4"/>
  <c r="AD297" i="4" s="1"/>
  <c r="AE297" i="4" s="1"/>
  <c r="BH104" i="4"/>
  <c r="BJ104" i="4" s="1"/>
  <c r="BK104" i="4" s="1"/>
  <c r="AP172" i="4"/>
  <c r="AS172" i="4" s="1"/>
  <c r="AH315" i="4"/>
  <c r="AJ315" i="4" s="1"/>
  <c r="AS315" i="4" s="1"/>
  <c r="AW315" i="4" s="1"/>
  <c r="AP261" i="4"/>
  <c r="AS261" i="4" s="1"/>
  <c r="BR282" i="4"/>
  <c r="AB261" i="4"/>
  <c r="AD261" i="4" s="1"/>
  <c r="AE261" i="4" s="1"/>
  <c r="AK243" i="4"/>
  <c r="AB243" i="4"/>
  <c r="AD243" i="4" s="1"/>
  <c r="AE243" i="4" s="1"/>
  <c r="AH322" i="4"/>
  <c r="AJ322" i="4" s="1"/>
  <c r="AS322" i="4" s="1"/>
  <c r="AW322" i="4" s="1"/>
  <c r="AP243" i="4"/>
  <c r="AS243" i="4" s="1"/>
  <c r="AT243" i="4" s="1"/>
  <c r="AU243" i="4" s="1"/>
  <c r="BN243" i="4" s="1"/>
  <c r="BP243" i="4" s="1"/>
  <c r="BQ293" i="4"/>
  <c r="BH293" i="4"/>
  <c r="BJ293" i="4" s="1"/>
  <c r="BK293" i="4" s="1"/>
  <c r="BQ285" i="4"/>
  <c r="BH285" i="4"/>
  <c r="BJ285" i="4" s="1"/>
  <c r="BK285" i="4" s="1"/>
  <c r="AB301" i="4"/>
  <c r="AD301" i="4" s="1"/>
  <c r="AE301" i="4" s="1"/>
  <c r="AL297" i="4"/>
  <c r="BR318" i="4"/>
  <c r="BH232" i="4"/>
  <c r="BJ232" i="4" s="1"/>
  <c r="BK232" i="4" s="1"/>
  <c r="BH239" i="4"/>
  <c r="BJ239" i="4" s="1"/>
  <c r="BK239" i="4" s="1"/>
  <c r="AB315" i="4"/>
  <c r="AD315" i="4" s="1"/>
  <c r="AE315" i="4" s="1"/>
  <c r="AK315" i="4"/>
  <c r="AB322" i="4"/>
  <c r="AD322" i="4" s="1"/>
  <c r="AE322" i="4" s="1"/>
  <c r="AK322" i="4"/>
  <c r="AB268" i="4"/>
  <c r="AD268" i="4" s="1"/>
  <c r="AE268" i="4" s="1"/>
  <c r="BH324" i="4"/>
  <c r="BJ324" i="4" s="1"/>
  <c r="BK324" i="4" s="1"/>
  <c r="BH267" i="4"/>
  <c r="BJ267" i="4" s="1"/>
  <c r="BK267" i="4" s="1"/>
  <c r="AL172" i="4"/>
  <c r="BN194" i="4"/>
  <c r="BP194" i="4" s="1"/>
  <c r="CB194" i="4" s="1"/>
  <c r="CC194" i="4" s="1"/>
  <c r="AL214" i="4"/>
  <c r="CB173" i="4"/>
  <c r="CC173" i="4" s="1"/>
  <c r="AH177" i="4"/>
  <c r="AJ177" i="4" s="1"/>
  <c r="AS177" i="4" s="1"/>
  <c r="AT177" i="4" s="1"/>
  <c r="AU177" i="4" s="1"/>
  <c r="BN177" i="4" s="1"/>
  <c r="BP177" i="4" s="1"/>
  <c r="AW213" i="4"/>
  <c r="BR230" i="4"/>
  <c r="AP222" i="4"/>
  <c r="AS222" i="4" s="1"/>
  <c r="AH226" i="4"/>
  <c r="AJ226" i="4" s="1"/>
  <c r="AS226" i="4" s="1"/>
  <c r="AT226" i="4" s="1"/>
  <c r="AU226" i="4" s="1"/>
  <c r="BN226" i="4" s="1"/>
  <c r="BP226" i="4" s="1"/>
  <c r="BN234" i="4"/>
  <c r="BP234" i="4" s="1"/>
  <c r="CB234" i="4" s="1"/>
  <c r="CC234" i="4" s="1"/>
  <c r="AH166" i="4"/>
  <c r="AJ166" i="4" s="1"/>
  <c r="AS166" i="4" s="1"/>
  <c r="AW166" i="4" s="1"/>
  <c r="AP212" i="4"/>
  <c r="AS212" i="4" s="1"/>
  <c r="BR218" i="4"/>
  <c r="BH169" i="4"/>
  <c r="BJ169" i="4" s="1"/>
  <c r="BK169" i="4" s="1"/>
  <c r="BQ169" i="4"/>
  <c r="BH167" i="4"/>
  <c r="BJ167" i="4" s="1"/>
  <c r="BK167" i="4" s="1"/>
  <c r="BQ167" i="4"/>
  <c r="BH218" i="4"/>
  <c r="BJ218" i="4" s="1"/>
  <c r="BK218" i="4" s="1"/>
  <c r="AK240" i="4"/>
  <c r="AB240" i="4"/>
  <c r="AD240" i="4" s="1"/>
  <c r="AE240" i="4" s="1"/>
  <c r="AB188" i="4"/>
  <c r="AD188" i="4" s="1"/>
  <c r="AE188" i="4" s="1"/>
  <c r="AK188" i="4"/>
  <c r="AB241" i="4"/>
  <c r="AD241" i="4" s="1"/>
  <c r="AE241" i="4" s="1"/>
  <c r="AK241" i="4"/>
  <c r="BQ190" i="4"/>
  <c r="BH190" i="4"/>
  <c r="BJ190" i="4" s="1"/>
  <c r="BK190" i="4" s="1"/>
  <c r="BH228" i="4"/>
  <c r="BJ228" i="4" s="1"/>
  <c r="BK228" i="4" s="1"/>
  <c r="BQ228" i="4"/>
  <c r="BH184" i="4"/>
  <c r="BJ184" i="4" s="1"/>
  <c r="BK184" i="4" s="1"/>
  <c r="BQ184" i="4"/>
  <c r="AL235" i="4"/>
  <c r="AB174" i="4"/>
  <c r="AD174" i="4" s="1"/>
  <c r="AE174" i="4" s="1"/>
  <c r="AB212" i="4"/>
  <c r="AD212" i="4" s="1"/>
  <c r="AE212" i="4" s="1"/>
  <c r="AK212" i="4"/>
  <c r="BH211" i="4"/>
  <c r="BJ211" i="4" s="1"/>
  <c r="BK211" i="4" s="1"/>
  <c r="BQ211" i="4"/>
  <c r="BH203" i="4"/>
  <c r="BJ203" i="4" s="1"/>
  <c r="BK203" i="4" s="1"/>
  <c r="AT200" i="4"/>
  <c r="AU200" i="4" s="1"/>
  <c r="BN200" i="4" s="1"/>
  <c r="BP200" i="4" s="1"/>
  <c r="CB200" i="4" s="1"/>
  <c r="CC200" i="4" s="1"/>
  <c r="AH188" i="4"/>
  <c r="AJ188" i="4" s="1"/>
  <c r="AS188" i="4" s="1"/>
  <c r="BH182" i="4"/>
  <c r="BJ182" i="4" s="1"/>
  <c r="BK182" i="4" s="1"/>
  <c r="BQ234" i="4"/>
  <c r="BH234" i="4"/>
  <c r="BJ234" i="4" s="1"/>
  <c r="BK234" i="4" s="1"/>
  <c r="AK166" i="4"/>
  <c r="AB166" i="4"/>
  <c r="AD166" i="4" s="1"/>
  <c r="AE166" i="4" s="1"/>
  <c r="AB226" i="4"/>
  <c r="AD226" i="4" s="1"/>
  <c r="AE226" i="4" s="1"/>
  <c r="AK206" i="4"/>
  <c r="AB206" i="4"/>
  <c r="AD206" i="4" s="1"/>
  <c r="AE206" i="4" s="1"/>
  <c r="BR190" i="4"/>
  <c r="AB203" i="4"/>
  <c r="AD203" i="4" s="1"/>
  <c r="AE203" i="4" s="1"/>
  <c r="AK203" i="4"/>
  <c r="BH158" i="4"/>
  <c r="BJ158" i="4" s="1"/>
  <c r="BK158" i="4" s="1"/>
  <c r="BQ200" i="4"/>
  <c r="BH200" i="4"/>
  <c r="BJ200" i="4" s="1"/>
  <c r="BK200" i="4" s="1"/>
  <c r="BH192" i="4"/>
  <c r="BJ192" i="4" s="1"/>
  <c r="BK192" i="4" s="1"/>
  <c r="BQ192" i="4"/>
  <c r="AK178" i="4"/>
  <c r="AB178" i="4"/>
  <c r="AD178" i="4" s="1"/>
  <c r="AE178" i="4" s="1"/>
  <c r="BQ159" i="4"/>
  <c r="BH159" i="4"/>
  <c r="BJ159" i="4" s="1"/>
  <c r="BK159" i="4" s="1"/>
  <c r="BH160" i="4"/>
  <c r="BJ160" i="4" s="1"/>
  <c r="BK160" i="4" s="1"/>
  <c r="BQ160" i="4"/>
  <c r="BH177" i="4"/>
  <c r="BJ177" i="4" s="1"/>
  <c r="BK177" i="4" s="1"/>
  <c r="AL206" i="4"/>
  <c r="AB177" i="4"/>
  <c r="AD177" i="4" s="1"/>
  <c r="AE177" i="4" s="1"/>
  <c r="AK177" i="4"/>
  <c r="BH172" i="4"/>
  <c r="BJ172" i="4" s="1"/>
  <c r="BK172" i="4" s="1"/>
  <c r="BN169" i="4"/>
  <c r="BP169" i="4" s="1"/>
  <c r="CB169" i="4" s="1"/>
  <c r="CC169" i="4" s="1"/>
  <c r="AB182" i="4"/>
  <c r="AD182" i="4" s="1"/>
  <c r="AE182" i="4" s="1"/>
  <c r="AK231" i="4"/>
  <c r="AB231" i="4"/>
  <c r="AD231" i="4" s="1"/>
  <c r="AE231" i="4" s="1"/>
  <c r="AB172" i="4"/>
  <c r="AD172" i="4" s="1"/>
  <c r="AE172" i="4" s="1"/>
  <c r="AL174" i="4"/>
  <c r="BH165" i="4"/>
  <c r="BJ165" i="4" s="1"/>
  <c r="BK165" i="4" s="1"/>
  <c r="BQ165" i="4"/>
  <c r="AB233" i="4"/>
  <c r="AD233" i="4" s="1"/>
  <c r="AE233" i="4" s="1"/>
  <c r="AK233" i="4"/>
  <c r="AK201" i="4"/>
  <c r="AB201" i="4"/>
  <c r="AD201" i="4" s="1"/>
  <c r="AE201" i="4" s="1"/>
  <c r="BQ231" i="4"/>
  <c r="BH231" i="4"/>
  <c r="BJ231" i="4" s="1"/>
  <c r="BK231" i="4" s="1"/>
  <c r="BQ194" i="4"/>
  <c r="BH194" i="4"/>
  <c r="BJ194" i="4" s="1"/>
  <c r="BK194" i="4" s="1"/>
  <c r="AB224" i="4"/>
  <c r="AD224" i="4" s="1"/>
  <c r="AE224" i="4" s="1"/>
  <c r="BH207" i="4"/>
  <c r="BJ207" i="4" s="1"/>
  <c r="BK207" i="4" s="1"/>
  <c r="BQ207" i="4"/>
  <c r="BN167" i="4"/>
  <c r="BP167" i="4" s="1"/>
  <c r="CB167" i="4" s="1"/>
  <c r="CC167" i="4" s="1"/>
  <c r="BN184" i="4"/>
  <c r="BP184" i="4" s="1"/>
  <c r="CB184" i="4" s="1"/>
  <c r="CC184" i="4" s="1"/>
  <c r="AL222" i="4"/>
  <c r="AL203" i="4"/>
  <c r="AK208" i="4"/>
  <c r="AB208" i="4"/>
  <c r="AD208" i="4" s="1"/>
  <c r="AE208" i="4" s="1"/>
  <c r="AB171" i="4"/>
  <c r="AD171" i="4" s="1"/>
  <c r="AE171" i="4" s="1"/>
  <c r="AK171" i="4"/>
  <c r="AB235" i="4"/>
  <c r="AD235" i="4" s="1"/>
  <c r="AE235" i="4" s="1"/>
  <c r="AW216" i="4"/>
  <c r="BH135" i="4"/>
  <c r="BJ135" i="4" s="1"/>
  <c r="BK135" i="4" s="1"/>
  <c r="AB127" i="4"/>
  <c r="AD127" i="4" s="1"/>
  <c r="AE127" i="4" s="1"/>
  <c r="BH91" i="4"/>
  <c r="BJ91" i="4" s="1"/>
  <c r="BK91" i="4" s="1"/>
  <c r="BH154" i="4"/>
  <c r="BJ154" i="4" s="1"/>
  <c r="BK154" i="4" s="1"/>
  <c r="BH142" i="4"/>
  <c r="BJ142" i="4" s="1"/>
  <c r="BK142" i="4" s="1"/>
  <c r="BH72" i="4"/>
  <c r="BJ72" i="4" s="1"/>
  <c r="BK72" i="4" s="1"/>
  <c r="BH116" i="4"/>
  <c r="BJ116" i="4" s="1"/>
  <c r="BK116" i="4" s="1"/>
  <c r="BH95" i="4"/>
  <c r="BJ95" i="4" s="1"/>
  <c r="BK95" i="4" s="1"/>
  <c r="BR135" i="4"/>
  <c r="BY319" i="4"/>
  <c r="CA319" i="4" s="1"/>
  <c r="BH79" i="4"/>
  <c r="BJ79" i="4" s="1"/>
  <c r="BK79" i="4" s="1"/>
  <c r="BH107" i="4"/>
  <c r="BJ107" i="4" s="1"/>
  <c r="BK107" i="4" s="1"/>
  <c r="AW183" i="4"/>
  <c r="BN181" i="4"/>
  <c r="BP181" i="4" s="1"/>
  <c r="CB181" i="4" s="1"/>
  <c r="CC181" i="4" s="1"/>
  <c r="AP140" i="4"/>
  <c r="AS140" i="4" s="1"/>
  <c r="AT140" i="4" s="1"/>
  <c r="AU140" i="4" s="1"/>
  <c r="BR76" i="4"/>
  <c r="BY187" i="4"/>
  <c r="CA187" i="4" s="1"/>
  <c r="BH58" i="4"/>
  <c r="BJ58" i="4" s="1"/>
  <c r="BK58" i="4" s="1"/>
  <c r="BH75" i="4"/>
  <c r="BJ75" i="4" s="1"/>
  <c r="BK75" i="4" s="1"/>
  <c r="AP150" i="4"/>
  <c r="AS150" i="4" s="1"/>
  <c r="AT164" i="4"/>
  <c r="AU164" i="4" s="1"/>
  <c r="BN164" i="4" s="1"/>
  <c r="BP164" i="4" s="1"/>
  <c r="CB164" i="4" s="1"/>
  <c r="CC164" i="4" s="1"/>
  <c r="BR99" i="4"/>
  <c r="BR91" i="4"/>
  <c r="BY291" i="4"/>
  <c r="CA291" i="4" s="1"/>
  <c r="AH88" i="4"/>
  <c r="AJ88" i="4" s="1"/>
  <c r="AS88" i="4" s="1"/>
  <c r="AT88" i="4" s="1"/>
  <c r="AU88" i="4" s="1"/>
  <c r="AW194" i="4"/>
  <c r="BY308" i="4"/>
  <c r="CA308" i="4" s="1"/>
  <c r="AW299" i="4"/>
  <c r="AW184" i="4"/>
  <c r="AP84" i="4"/>
  <c r="AS84" i="4" s="1"/>
  <c r="BY283" i="4"/>
  <c r="CA283" i="4" s="1"/>
  <c r="AW189" i="4"/>
  <c r="BR104" i="4"/>
  <c r="BR105" i="4"/>
  <c r="BR116" i="4"/>
  <c r="AW314" i="4"/>
  <c r="AT246" i="4"/>
  <c r="AU246" i="4" s="1"/>
  <c r="BN246" i="4" s="1"/>
  <c r="BP246" i="4" s="1"/>
  <c r="CB246" i="4" s="1"/>
  <c r="CC246" i="4" s="1"/>
  <c r="BR87" i="4"/>
  <c r="AP156" i="4"/>
  <c r="AS156" i="4" s="1"/>
  <c r="BR75" i="4"/>
  <c r="AP139" i="4"/>
  <c r="AS139" i="4" s="1"/>
  <c r="AT139" i="4" s="1"/>
  <c r="AU139" i="4" s="1"/>
  <c r="BR107" i="4"/>
  <c r="BR62" i="4"/>
  <c r="BR120" i="4"/>
  <c r="AW168" i="4"/>
  <c r="AT230" i="4"/>
  <c r="AU230" i="4" s="1"/>
  <c r="BN230" i="4" s="1"/>
  <c r="BP230" i="4" s="1"/>
  <c r="CB230" i="4" s="1"/>
  <c r="CC230" i="4" s="1"/>
  <c r="BY193" i="4"/>
  <c r="CA193" i="4" s="1"/>
  <c r="BY215" i="4"/>
  <c r="CA215" i="4" s="1"/>
  <c r="BR142" i="4"/>
  <c r="BN303" i="4"/>
  <c r="BP303" i="4" s="1"/>
  <c r="CB303" i="4" s="1"/>
  <c r="CC303" i="4" s="1"/>
  <c r="AW275" i="4"/>
  <c r="AT295" i="4"/>
  <c r="AU295" i="4" s="1"/>
  <c r="BN295" i="4" s="1"/>
  <c r="BP295" i="4" s="1"/>
  <c r="BY295" i="4" s="1"/>
  <c r="CA295" i="4" s="1"/>
  <c r="AW221" i="4"/>
  <c r="BR72" i="4"/>
  <c r="AT269" i="4"/>
  <c r="AU269" i="4" s="1"/>
  <c r="BN269" i="4" s="1"/>
  <c r="BP269" i="4" s="1"/>
  <c r="CB269" i="4" s="1"/>
  <c r="CC269" i="4" s="1"/>
  <c r="AT321" i="4"/>
  <c r="AU321" i="4" s="1"/>
  <c r="BN321" i="4" s="1"/>
  <c r="BP321" i="4" s="1"/>
  <c r="CB321" i="4" s="1"/>
  <c r="CC321" i="4" s="1"/>
  <c r="AW190" i="4"/>
  <c r="BR79" i="4"/>
  <c r="AL127" i="4"/>
  <c r="BN238" i="4"/>
  <c r="BP238" i="4" s="1"/>
  <c r="CB238" i="4" s="1"/>
  <c r="CC238" i="4" s="1"/>
  <c r="BN107" i="4"/>
  <c r="BP107" i="4" s="1"/>
  <c r="CB107" i="4" s="1"/>
  <c r="CC107" i="4" s="1"/>
  <c r="AP130" i="4"/>
  <c r="AS130" i="4" s="1"/>
  <c r="AW253" i="4"/>
  <c r="BR83" i="4"/>
  <c r="BN196" i="4"/>
  <c r="BP196" i="4" s="1"/>
  <c r="CB196" i="4" s="1"/>
  <c r="CC196" i="4" s="1"/>
  <c r="BR89" i="4"/>
  <c r="AS310" i="4"/>
  <c r="AT310" i="4" s="1"/>
  <c r="AU310" i="4" s="1"/>
  <c r="BN310" i="4" s="1"/>
  <c r="BP310" i="4" s="1"/>
  <c r="BR152" i="4"/>
  <c r="AP102" i="4"/>
  <c r="AS102" i="4" s="1"/>
  <c r="AW249" i="4"/>
  <c r="BN76" i="4"/>
  <c r="BP76" i="4" s="1"/>
  <c r="CB76" i="4" s="1"/>
  <c r="CC76" i="4" s="1"/>
  <c r="BY314" i="4"/>
  <c r="CA314" i="4" s="1"/>
  <c r="BN259" i="4"/>
  <c r="BP259" i="4" s="1"/>
  <c r="CB259" i="4" s="1"/>
  <c r="CC259" i="4" s="1"/>
  <c r="BR95" i="4"/>
  <c r="AP103" i="4"/>
  <c r="AS103" i="4" s="1"/>
  <c r="BN305" i="4"/>
  <c r="BP305" i="4" s="1"/>
  <c r="CB305" i="4" s="1"/>
  <c r="CC305" i="4" s="1"/>
  <c r="AT160" i="4"/>
  <c r="AU160" i="4" s="1"/>
  <c r="BN160" i="4" s="1"/>
  <c r="BP160" i="4" s="1"/>
  <c r="CB160" i="4" s="1"/>
  <c r="CC160" i="4" s="1"/>
  <c r="AW160" i="4"/>
  <c r="BN202" i="4"/>
  <c r="BP202" i="4" s="1"/>
  <c r="CB202" i="4" s="1"/>
  <c r="CC202" i="4" s="1"/>
  <c r="AS198" i="4"/>
  <c r="AT198" i="4" s="1"/>
  <c r="AU198" i="4" s="1"/>
  <c r="BN198" i="4" s="1"/>
  <c r="BP198" i="4" s="1"/>
  <c r="BN191" i="4"/>
  <c r="BP191" i="4" s="1"/>
  <c r="CB191" i="4" s="1"/>
  <c r="CC191" i="4" s="1"/>
  <c r="AT270" i="4"/>
  <c r="AU270" i="4" s="1"/>
  <c r="BN270" i="4" s="1"/>
  <c r="BP270" i="4" s="1"/>
  <c r="AW270" i="4"/>
  <c r="AP209" i="4"/>
  <c r="AH209" i="4"/>
  <c r="AJ209" i="4" s="1"/>
  <c r="AP248" i="4"/>
  <c r="AH248" i="4"/>
  <c r="AJ248" i="4" s="1"/>
  <c r="AH127" i="4"/>
  <c r="AJ127" i="4" s="1"/>
  <c r="AS127" i="4" s="1"/>
  <c r="AT127" i="4" s="1"/>
  <c r="AU127" i="4" s="1"/>
  <c r="CB320" i="4"/>
  <c r="CC320" i="4" s="1"/>
  <c r="BY320" i="4"/>
  <c r="CA320" i="4" s="1"/>
  <c r="CB168" i="4"/>
  <c r="CC168" i="4" s="1"/>
  <c r="BY168" i="4"/>
  <c r="CA168" i="4" s="1"/>
  <c r="AT317" i="4"/>
  <c r="AU317" i="4" s="1"/>
  <c r="BN317" i="4" s="1"/>
  <c r="BP317" i="4" s="1"/>
  <c r="AW317" i="4"/>
  <c r="BN304" i="4"/>
  <c r="BP304" i="4" s="1"/>
  <c r="CB304" i="4" s="1"/>
  <c r="CC304" i="4" s="1"/>
  <c r="AT179" i="4"/>
  <c r="AU179" i="4" s="1"/>
  <c r="BN179" i="4" s="1"/>
  <c r="BP179" i="4" s="1"/>
  <c r="AW179" i="4"/>
  <c r="AP199" i="4"/>
  <c r="AH199" i="4"/>
  <c r="AJ199" i="4" s="1"/>
  <c r="AH239" i="4"/>
  <c r="AJ239" i="4" s="1"/>
  <c r="AP239" i="4"/>
  <c r="BN300" i="4"/>
  <c r="BP300" i="4" s="1"/>
  <c r="CB300" i="4" s="1"/>
  <c r="CC300" i="4" s="1"/>
  <c r="AH197" i="4"/>
  <c r="AJ197" i="4" s="1"/>
  <c r="AP197" i="4"/>
  <c r="AL156" i="4"/>
  <c r="CB176" i="4"/>
  <c r="CC176" i="4" s="1"/>
  <c r="BY176" i="4"/>
  <c r="CA176" i="4" s="1"/>
  <c r="AS227" i="4"/>
  <c r="CB250" i="4"/>
  <c r="CC250" i="4" s="1"/>
  <c r="BY250" i="4"/>
  <c r="CA250" i="4" s="1"/>
  <c r="CB216" i="4"/>
  <c r="CC216" i="4" s="1"/>
  <c r="BY216" i="4"/>
  <c r="CA216" i="4" s="1"/>
  <c r="AT325" i="4"/>
  <c r="AU325" i="4" s="1"/>
  <c r="BN325" i="4" s="1"/>
  <c r="BP325" i="4" s="1"/>
  <c r="AW325" i="4"/>
  <c r="CB217" i="4"/>
  <c r="CC217" i="4" s="1"/>
  <c r="BY217" i="4"/>
  <c r="CA217" i="4" s="1"/>
  <c r="CB219" i="4"/>
  <c r="CC219" i="4" s="1"/>
  <c r="BY219" i="4"/>
  <c r="CA219" i="4" s="1"/>
  <c r="CB213" i="4"/>
  <c r="CC213" i="4" s="1"/>
  <c r="BY213" i="4"/>
  <c r="CA213" i="4" s="1"/>
  <c r="AP287" i="4"/>
  <c r="AH287" i="4"/>
  <c r="AJ287" i="4" s="1"/>
  <c r="CB253" i="4"/>
  <c r="CC253" i="4" s="1"/>
  <c r="BY253" i="4"/>
  <c r="CA253" i="4" s="1"/>
  <c r="AP316" i="4"/>
  <c r="AH316" i="4"/>
  <c r="AJ316" i="4" s="1"/>
  <c r="CB221" i="4"/>
  <c r="CC221" i="4" s="1"/>
  <c r="BY221" i="4"/>
  <c r="CA221" i="4" s="1"/>
  <c r="CB162" i="4"/>
  <c r="CC162" i="4" s="1"/>
  <c r="BY162" i="4"/>
  <c r="CA162" i="4" s="1"/>
  <c r="CB258" i="4"/>
  <c r="CC258" i="4" s="1"/>
  <c r="BY258" i="4"/>
  <c r="CA258" i="4" s="1"/>
  <c r="AS186" i="4"/>
  <c r="AS292" i="4"/>
  <c r="BN281" i="4"/>
  <c r="BP281" i="4" s="1"/>
  <c r="CB281" i="4" s="1"/>
  <c r="CC281" i="4" s="1"/>
  <c r="AT318" i="4"/>
  <c r="AU318" i="4" s="1"/>
  <c r="BN318" i="4" s="1"/>
  <c r="BP318" i="4" s="1"/>
  <c r="AW318" i="4"/>
  <c r="BY236" i="4"/>
  <c r="CA236" i="4" s="1"/>
  <c r="AP228" i="4"/>
  <c r="AH228" i="4"/>
  <c r="AJ228" i="4" s="1"/>
  <c r="AP158" i="4"/>
  <c r="AH158" i="4"/>
  <c r="AJ158" i="4" s="1"/>
  <c r="CB279" i="4"/>
  <c r="CC279" i="4" s="1"/>
  <c r="BY279" i="4"/>
  <c r="CA279" i="4" s="1"/>
  <c r="AP277" i="4"/>
  <c r="AH277" i="4"/>
  <c r="AJ277" i="4" s="1"/>
  <c r="CB161" i="4"/>
  <c r="CC161" i="4" s="1"/>
  <c r="BY161" i="4"/>
  <c r="CA161" i="4" s="1"/>
  <c r="AS260" i="4"/>
  <c r="AP207" i="4"/>
  <c r="AH207" i="4"/>
  <c r="AJ207" i="4" s="1"/>
  <c r="AH75" i="4"/>
  <c r="AJ75" i="4" s="1"/>
  <c r="AS75" i="4" s="1"/>
  <c r="AT75" i="4" s="1"/>
  <c r="AU75" i="4" s="1"/>
  <c r="CB183" i="4"/>
  <c r="CC183" i="4" s="1"/>
  <c r="BY183" i="4"/>
  <c r="CA183" i="4" s="1"/>
  <c r="CB288" i="4"/>
  <c r="CC288" i="4" s="1"/>
  <c r="BY288" i="4"/>
  <c r="CA288" i="4" s="1"/>
  <c r="AH294" i="4"/>
  <c r="AJ294" i="4" s="1"/>
  <c r="AP294" i="4"/>
  <c r="BV170" i="4"/>
  <c r="BV309" i="4"/>
  <c r="BN309" i="4"/>
  <c r="BP309" i="4" s="1"/>
  <c r="AH244" i="4"/>
  <c r="AJ244" i="4" s="1"/>
  <c r="AP244" i="4"/>
  <c r="AT220" i="4"/>
  <c r="AU220" i="4" s="1"/>
  <c r="BN220" i="4" s="1"/>
  <c r="BP220" i="4" s="1"/>
  <c r="AW220" i="4"/>
  <c r="CB237" i="4"/>
  <c r="CC237" i="4" s="1"/>
  <c r="BY237" i="4"/>
  <c r="CA237" i="4" s="1"/>
  <c r="AP170" i="4"/>
  <c r="AH170" i="4"/>
  <c r="AJ170" i="4" s="1"/>
  <c r="AT159" i="4"/>
  <c r="AU159" i="4" s="1"/>
  <c r="BN159" i="4" s="1"/>
  <c r="BP159" i="4" s="1"/>
  <c r="CB159" i="4" s="1"/>
  <c r="CC159" i="4" s="1"/>
  <c r="AW159" i="4"/>
  <c r="AT210" i="4"/>
  <c r="AU210" i="4" s="1"/>
  <c r="BN210" i="4" s="1"/>
  <c r="BP210" i="4" s="1"/>
  <c r="AW210" i="4"/>
  <c r="CB185" i="4"/>
  <c r="CC185" i="4" s="1"/>
  <c r="BY185" i="4"/>
  <c r="CA185" i="4" s="1"/>
  <c r="CB255" i="4"/>
  <c r="CC255" i="4" s="1"/>
  <c r="BY255" i="4"/>
  <c r="CA255" i="4" s="1"/>
  <c r="CB189" i="4"/>
  <c r="CC189" i="4" s="1"/>
  <c r="BY189" i="4"/>
  <c r="CA189" i="4" s="1"/>
  <c r="AP273" i="4"/>
  <c r="AH273" i="4"/>
  <c r="AJ273" i="4" s="1"/>
  <c r="BY225" i="4"/>
  <c r="CA225" i="4" s="1"/>
  <c r="AH180" i="4"/>
  <c r="AJ180" i="4" s="1"/>
  <c r="AP180" i="4"/>
  <c r="AH90" i="4"/>
  <c r="AJ90" i="4" s="1"/>
  <c r="AS90" i="4" s="1"/>
  <c r="CB274" i="4"/>
  <c r="CC274" i="4" s="1"/>
  <c r="BY274" i="4"/>
  <c r="CA274" i="4" s="1"/>
  <c r="AT313" i="4"/>
  <c r="AU313" i="4" s="1"/>
  <c r="BN313" i="4" s="1"/>
  <c r="BP313" i="4" s="1"/>
  <c r="AW313" i="4"/>
  <c r="CB223" i="4"/>
  <c r="CC223" i="4" s="1"/>
  <c r="BY223" i="4"/>
  <c r="CA223" i="4" s="1"/>
  <c r="AH284" i="4"/>
  <c r="AJ284" i="4" s="1"/>
  <c r="AP284" i="4"/>
  <c r="CB249" i="4"/>
  <c r="CC249" i="4" s="1"/>
  <c r="BY249" i="4"/>
  <c r="CA249" i="4" s="1"/>
  <c r="BR154" i="4"/>
  <c r="AH148" i="4"/>
  <c r="AJ148" i="4" s="1"/>
  <c r="AS148" i="4" s="1"/>
  <c r="AT148" i="4" s="1"/>
  <c r="AU148" i="4" s="1"/>
  <c r="AP112" i="4"/>
  <c r="AS112" i="4" s="1"/>
  <c r="AH132" i="4"/>
  <c r="AJ132" i="4" s="1"/>
  <c r="AS132" i="4" s="1"/>
  <c r="AT132" i="4" s="1"/>
  <c r="AU132" i="4" s="1"/>
  <c r="AL103" i="4"/>
  <c r="BR130" i="4"/>
  <c r="BR133" i="4"/>
  <c r="BH133" i="4"/>
  <c r="BJ133" i="4" s="1"/>
  <c r="BK133" i="4" s="1"/>
  <c r="BQ155" i="4"/>
  <c r="BH155" i="4"/>
  <c r="BJ155" i="4" s="1"/>
  <c r="BK155" i="4" s="1"/>
  <c r="AB150" i="4"/>
  <c r="AD150" i="4" s="1"/>
  <c r="AE150" i="4" s="1"/>
  <c r="AK150" i="4"/>
  <c r="BH76" i="4"/>
  <c r="BJ76" i="4" s="1"/>
  <c r="BK76" i="4" s="1"/>
  <c r="AL102" i="4"/>
  <c r="BH56" i="4"/>
  <c r="BJ56" i="4" s="1"/>
  <c r="BK56" i="4" s="1"/>
  <c r="AB132" i="4"/>
  <c r="AD132" i="4" s="1"/>
  <c r="AE132" i="4" s="1"/>
  <c r="BQ150" i="4"/>
  <c r="BH150" i="4"/>
  <c r="BJ150" i="4" s="1"/>
  <c r="BK150" i="4" s="1"/>
  <c r="AH141" i="4"/>
  <c r="AJ141" i="4" s="1"/>
  <c r="AS141" i="4" s="1"/>
  <c r="BR69" i="4"/>
  <c r="AL75" i="4"/>
  <c r="AP134" i="4"/>
  <c r="AS134" i="4" s="1"/>
  <c r="AL132" i="4"/>
  <c r="AK88" i="4"/>
  <c r="AB88" i="4"/>
  <c r="AD88" i="4" s="1"/>
  <c r="AE88" i="4" s="1"/>
  <c r="AB93" i="4"/>
  <c r="AD93" i="4" s="1"/>
  <c r="AE93" i="4" s="1"/>
  <c r="AK93" i="4"/>
  <c r="BQ109" i="4"/>
  <c r="BH109" i="4"/>
  <c r="BJ109" i="4" s="1"/>
  <c r="BK109" i="4" s="1"/>
  <c r="AK84" i="4"/>
  <c r="AB84" i="4"/>
  <c r="AD84" i="4" s="1"/>
  <c r="AE84" i="4" s="1"/>
  <c r="AK139" i="4"/>
  <c r="AB139" i="4"/>
  <c r="AD139" i="4" s="1"/>
  <c r="AE139" i="4" s="1"/>
  <c r="AL93" i="4"/>
  <c r="BH105" i="4"/>
  <c r="BJ105" i="4" s="1"/>
  <c r="BK105" i="4" s="1"/>
  <c r="AK134" i="4"/>
  <c r="AB134" i="4"/>
  <c r="AD134" i="4" s="1"/>
  <c r="AE134" i="4" s="1"/>
  <c r="AK112" i="4"/>
  <c r="AB112" i="4"/>
  <c r="AD112" i="4" s="1"/>
  <c r="AE112" i="4" s="1"/>
  <c r="AL78" i="4"/>
  <c r="AB102" i="4"/>
  <c r="AD102" i="4" s="1"/>
  <c r="AE102" i="4" s="1"/>
  <c r="AK148" i="4"/>
  <c r="AB148" i="4"/>
  <c r="AD148" i="4" s="1"/>
  <c r="AE148" i="4" s="1"/>
  <c r="AK140" i="4"/>
  <c r="AB140" i="4"/>
  <c r="AD140" i="4" s="1"/>
  <c r="AE140" i="4" s="1"/>
  <c r="AK141" i="4"/>
  <c r="AB141" i="4"/>
  <c r="AD141" i="4" s="1"/>
  <c r="AE141" i="4" s="1"/>
  <c r="AB78" i="4"/>
  <c r="AD78" i="4" s="1"/>
  <c r="AE78" i="4" s="1"/>
  <c r="BH69" i="4"/>
  <c r="BJ69" i="4" s="1"/>
  <c r="BK69" i="4" s="1"/>
  <c r="AB103" i="4"/>
  <c r="AD103" i="4" s="1"/>
  <c r="AE103" i="4" s="1"/>
  <c r="AK130" i="4"/>
  <c r="AB130" i="4"/>
  <c r="AD130" i="4" s="1"/>
  <c r="AE130" i="4" s="1"/>
  <c r="AK90" i="4"/>
  <c r="AB90" i="4"/>
  <c r="AD90" i="4" s="1"/>
  <c r="AE90" i="4" s="1"/>
  <c r="AB75" i="4"/>
  <c r="AD75" i="4" s="1"/>
  <c r="AE75" i="4" s="1"/>
  <c r="BH39" i="4"/>
  <c r="BJ39" i="4" s="1"/>
  <c r="BK39" i="4" s="1"/>
  <c r="AY12" i="5"/>
  <c r="AY14" i="5"/>
  <c r="D69" i="5" s="1"/>
  <c r="AH54" i="4"/>
  <c r="AJ54" i="4" s="1"/>
  <c r="AS54" i="4" s="1"/>
  <c r="AT54" i="4" s="1"/>
  <c r="AU54" i="4" s="1"/>
  <c r="AL54" i="4"/>
  <c r="AH52" i="4"/>
  <c r="AJ52" i="4" s="1"/>
  <c r="AS52" i="4" s="1"/>
  <c r="AH55" i="4"/>
  <c r="AJ55" i="4" s="1"/>
  <c r="AS55" i="4" s="1"/>
  <c r="BH57" i="4"/>
  <c r="BJ57" i="4" s="1"/>
  <c r="BK57" i="4" s="1"/>
  <c r="AB54" i="4"/>
  <c r="AD54" i="4" s="1"/>
  <c r="AE54" i="4" s="1"/>
  <c r="AB50" i="4"/>
  <c r="AD50" i="4" s="1"/>
  <c r="AE50" i="4" s="1"/>
  <c r="AK52" i="4"/>
  <c r="AB52" i="4"/>
  <c r="AD52" i="4" s="1"/>
  <c r="AE52" i="4" s="1"/>
  <c r="AK55" i="4"/>
  <c r="AB55" i="4"/>
  <c r="AD55" i="4" s="1"/>
  <c r="AE55" i="4" s="1"/>
  <c r="BY145" i="4"/>
  <c r="CA145" i="4" s="1"/>
  <c r="CB145" i="4"/>
  <c r="CC145" i="4" s="1"/>
  <c r="CB12" i="4"/>
  <c r="CC12" i="4" s="1"/>
  <c r="BY12" i="4"/>
  <c r="CA12" i="4" s="1"/>
  <c r="CB121" i="4"/>
  <c r="CC121" i="4" s="1"/>
  <c r="BY121" i="4"/>
  <c r="CA121" i="4" s="1"/>
  <c r="CB65" i="4"/>
  <c r="CC65" i="4" s="1"/>
  <c r="BY65" i="4"/>
  <c r="CA65" i="4" s="1"/>
  <c r="CB153" i="4"/>
  <c r="CC153" i="4" s="1"/>
  <c r="BY153" i="4"/>
  <c r="CA153" i="4" s="1"/>
  <c r="CB14" i="4"/>
  <c r="CC14" i="4" s="1"/>
  <c r="BY14" i="4"/>
  <c r="CA14" i="4" s="1"/>
  <c r="CB67" i="4"/>
  <c r="CC67" i="4" s="1"/>
  <c r="BY67" i="4"/>
  <c r="CA67" i="4" s="1"/>
  <c r="CB64" i="4"/>
  <c r="CC64" i="4" s="1"/>
  <c r="BY64" i="4"/>
  <c r="CA64" i="4" s="1"/>
  <c r="CB126" i="4"/>
  <c r="CC126" i="4" s="1"/>
  <c r="BY126" i="4"/>
  <c r="CA126" i="4" s="1"/>
  <c r="CB9" i="4"/>
  <c r="CC9" i="4" s="1"/>
  <c r="BY9" i="4"/>
  <c r="CA9" i="4" s="1"/>
  <c r="CB82" i="4"/>
  <c r="CC82" i="4" s="1"/>
  <c r="BY82" i="4"/>
  <c r="CA82" i="4" s="1"/>
  <c r="BY119" i="4"/>
  <c r="CA119" i="4" s="1"/>
  <c r="CB119" i="4"/>
  <c r="CC119" i="4" s="1"/>
  <c r="BY124" i="4"/>
  <c r="CA124" i="4" s="1"/>
  <c r="CB124" i="4"/>
  <c r="CC124" i="4" s="1"/>
  <c r="BN144" i="4"/>
  <c r="BP144" i="4" s="1"/>
  <c r="BY144" i="4" s="1"/>
  <c r="CA144" i="4" s="1"/>
  <c r="BY92" i="4"/>
  <c r="CA92" i="4" s="1"/>
  <c r="BN138" i="4"/>
  <c r="BP138" i="4" s="1"/>
  <c r="BN154" i="4"/>
  <c r="BP154" i="4" s="1"/>
  <c r="BN48" i="4"/>
  <c r="BP48" i="4" s="1"/>
  <c r="CB81" i="4"/>
  <c r="CC81" i="4" s="1"/>
  <c r="BN122" i="4"/>
  <c r="BP122" i="4" s="1"/>
  <c r="BN36" i="4"/>
  <c r="BP36" i="4" s="1"/>
  <c r="CB36" i="4" s="1"/>
  <c r="CC36" i="4" s="1"/>
  <c r="BN19" i="4"/>
  <c r="BP19" i="4" s="1"/>
  <c r="BN8" i="4"/>
  <c r="BP8" i="4" s="1"/>
  <c r="BN99" i="4"/>
  <c r="BP99" i="4" s="1"/>
  <c r="CB99" i="4" s="1"/>
  <c r="CC99" i="4" s="1"/>
  <c r="BN123" i="4"/>
  <c r="BP123" i="4" s="1"/>
  <c r="BY123" i="4" s="1"/>
  <c r="CA123" i="4" s="1"/>
  <c r="BN151" i="4"/>
  <c r="BP151" i="4" s="1"/>
  <c r="BN147" i="4"/>
  <c r="BP147" i="4" s="1"/>
  <c r="BY147" i="4" s="1"/>
  <c r="CA147" i="4" s="1"/>
  <c r="BN18" i="4"/>
  <c r="BP18" i="4" s="1"/>
  <c r="CB101" i="4"/>
  <c r="CC101" i="4" s="1"/>
  <c r="BN66" i="4"/>
  <c r="BP66" i="4" s="1"/>
  <c r="BN143" i="4"/>
  <c r="BP143" i="4" s="1"/>
  <c r="BN7" i="4"/>
  <c r="BP7" i="4" s="1"/>
  <c r="BN105" i="4"/>
  <c r="BP105" i="4" s="1"/>
  <c r="CB105" i="4" s="1"/>
  <c r="CC105" i="4" s="1"/>
  <c r="BN108" i="4"/>
  <c r="BP108" i="4" s="1"/>
  <c r="BN13" i="4"/>
  <c r="BP13" i="4" s="1"/>
  <c r="BN86" i="4"/>
  <c r="BP86" i="4" s="1"/>
  <c r="BN70" i="4"/>
  <c r="BP70" i="4" s="1"/>
  <c r="BN136" i="4"/>
  <c r="BP136" i="4" s="1"/>
  <c r="BN15" i="4"/>
  <c r="BP15" i="4" s="1"/>
  <c r="BN97" i="4"/>
  <c r="BP97" i="4" s="1"/>
  <c r="BN120" i="4"/>
  <c r="BP120" i="4" s="1"/>
  <c r="CB120" i="4" s="1"/>
  <c r="CC120" i="4" s="1"/>
  <c r="BN47" i="4"/>
  <c r="BP47" i="4" s="1"/>
  <c r="BY117" i="4"/>
  <c r="CA117" i="4" s="1"/>
  <c r="BN72" i="4"/>
  <c r="BP72" i="4" s="1"/>
  <c r="CB72" i="4" s="1"/>
  <c r="CC72" i="4" s="1"/>
  <c r="BN89" i="4"/>
  <c r="BP89" i="4" s="1"/>
  <c r="CB89" i="4" s="1"/>
  <c r="CC89" i="4" s="1"/>
  <c r="BN137" i="4"/>
  <c r="BP137" i="4" s="1"/>
  <c r="BY137" i="4" s="1"/>
  <c r="CA137" i="4" s="1"/>
  <c r="BN27" i="4"/>
  <c r="BP27" i="4" s="1"/>
  <c r="BN51" i="4"/>
  <c r="BP51" i="4" s="1"/>
  <c r="BY51" i="4" s="1"/>
  <c r="CA51" i="4" s="1"/>
  <c r="CB10" i="4"/>
  <c r="CC10" i="4" s="1"/>
  <c r="CB24" i="4"/>
  <c r="CC24" i="4" s="1"/>
  <c r="CB17" i="4"/>
  <c r="CC17" i="4" s="1"/>
  <c r="AW45" i="4"/>
  <c r="AH50" i="4"/>
  <c r="AJ50" i="4" s="1"/>
  <c r="AS50" i="4" s="1"/>
  <c r="AW19" i="4"/>
  <c r="AW51" i="4"/>
  <c r="AP93" i="4"/>
  <c r="AS93" i="4" s="1"/>
  <c r="AT93" i="4" s="1"/>
  <c r="AU93" i="4" s="1"/>
  <c r="AT114" i="4"/>
  <c r="AU114" i="4" s="1"/>
  <c r="AW27" i="4"/>
  <c r="AL50" i="4"/>
  <c r="AH78" i="4"/>
  <c r="AJ78" i="4" s="1"/>
  <c r="AS78" i="4" s="1"/>
  <c r="AL42" i="4"/>
  <c r="AS106" i="4"/>
  <c r="AT106" i="4" s="1"/>
  <c r="AU106" i="4" s="1"/>
  <c r="AS22" i="4"/>
  <c r="AT22" i="4" s="1"/>
  <c r="AU22" i="4" s="1"/>
  <c r="AB42" i="4"/>
  <c r="AD42" i="4" s="1"/>
  <c r="AE42" i="4" s="1"/>
  <c r="AW18" i="4"/>
  <c r="AS142" i="4"/>
  <c r="AT142" i="4" s="1"/>
  <c r="AU142" i="4" s="1"/>
  <c r="AS26" i="4"/>
  <c r="AT26" i="4" s="1"/>
  <c r="AU26" i="4" s="1"/>
  <c r="AP42" i="4"/>
  <c r="AS42" i="4" s="1"/>
  <c r="AT42" i="4" s="1"/>
  <c r="AU42" i="4" s="1"/>
  <c r="AP34" i="4"/>
  <c r="AS34" i="4" s="1"/>
  <c r="AH41" i="4"/>
  <c r="AJ41" i="4" s="1"/>
  <c r="AS41" i="4" s="1"/>
  <c r="AT41" i="4" s="1"/>
  <c r="AU41" i="4" s="1"/>
  <c r="AK38" i="4"/>
  <c r="AB38" i="4"/>
  <c r="AD38" i="4" s="1"/>
  <c r="AE38" i="4" s="1"/>
  <c r="AS98" i="4"/>
  <c r="AT98" i="4" s="1"/>
  <c r="AU98" i="4" s="1"/>
  <c r="AS83" i="4"/>
  <c r="AT83" i="4" s="1"/>
  <c r="AU83" i="4" s="1"/>
  <c r="AT95" i="4"/>
  <c r="AU95" i="4" s="1"/>
  <c r="AW95" i="4"/>
  <c r="AL38" i="4"/>
  <c r="AB34" i="4"/>
  <c r="AD34" i="4" s="1"/>
  <c r="AE34" i="4" s="1"/>
  <c r="AK34" i="4"/>
  <c r="AL34" i="4"/>
  <c r="AK41" i="4"/>
  <c r="AB41" i="4"/>
  <c r="AD41" i="4" s="1"/>
  <c r="AE41" i="4" s="1"/>
  <c r="AW104" i="4"/>
  <c r="AT104" i="4"/>
  <c r="AU104" i="4" s="1"/>
  <c r="AW63" i="4"/>
  <c r="AT63" i="4"/>
  <c r="AU63" i="4" s="1"/>
  <c r="BV31" i="4"/>
  <c r="BV55" i="4"/>
  <c r="AW31" i="4"/>
  <c r="AT31" i="4"/>
  <c r="AU31" i="4" s="1"/>
  <c r="AW85" i="4"/>
  <c r="AT85" i="4"/>
  <c r="AU85" i="4" s="1"/>
  <c r="BV39" i="4"/>
  <c r="BV45" i="4"/>
  <c r="BN45" i="4"/>
  <c r="BP45" i="4" s="1"/>
  <c r="AW109" i="4"/>
  <c r="AT109" i="4"/>
  <c r="AU109" i="4" s="1"/>
  <c r="BV25" i="4"/>
  <c r="BN25" i="4"/>
  <c r="BP25" i="4" s="1"/>
  <c r="BV56" i="4"/>
  <c r="BV58" i="4"/>
  <c r="AW23" i="4"/>
  <c r="AT23" i="4"/>
  <c r="AU23" i="4" s="1"/>
  <c r="AW61" i="4"/>
  <c r="AT61" i="4"/>
  <c r="AU61" i="4" s="1"/>
  <c r="BV41" i="4"/>
  <c r="AW157" i="4"/>
  <c r="AT157" i="4"/>
  <c r="AU157" i="4" s="1"/>
  <c r="AW111" i="4"/>
  <c r="AT111" i="4"/>
  <c r="AU111" i="4" s="1"/>
  <c r="BV33" i="4"/>
  <c r="BV46" i="4"/>
  <c r="BV54" i="4"/>
  <c r="AW99" i="4"/>
  <c r="AW152" i="4"/>
  <c r="AT152" i="4"/>
  <c r="AU152" i="4" s="1"/>
  <c r="AW59" i="4"/>
  <c r="AT59" i="4"/>
  <c r="AU59" i="4" s="1"/>
  <c r="BV37" i="4"/>
  <c r="BN37" i="4"/>
  <c r="BP37" i="4" s="1"/>
  <c r="AW66" i="4"/>
  <c r="AW115" i="4"/>
  <c r="AT115" i="4"/>
  <c r="AU115" i="4" s="1"/>
  <c r="AW20" i="4"/>
  <c r="AT20" i="4"/>
  <c r="AU20" i="4" s="1"/>
  <c r="BV29" i="4"/>
  <c r="BN29" i="4"/>
  <c r="BP29" i="4" s="1"/>
  <c r="BV49" i="4"/>
  <c r="BV57" i="4"/>
  <c r="BN57" i="4"/>
  <c r="BP57" i="4" s="1"/>
  <c r="AW133" i="4"/>
  <c r="AT133" i="4"/>
  <c r="AU133" i="4" s="1"/>
  <c r="AW21" i="4"/>
  <c r="AT21" i="4"/>
  <c r="AU21" i="4" s="1"/>
  <c r="AS33" i="4"/>
  <c r="AT33" i="4" s="1"/>
  <c r="AU33" i="4" s="1"/>
  <c r="AS32" i="4"/>
  <c r="AT32" i="4" s="1"/>
  <c r="AU32" i="4" s="1"/>
  <c r="AS113" i="4"/>
  <c r="AS60" i="4"/>
  <c r="AS125" i="4"/>
  <c r="AT125" i="4" s="1"/>
  <c r="AU125" i="4" s="1"/>
  <c r="AS28" i="4"/>
  <c r="AT28" i="4" s="1"/>
  <c r="AU28" i="4" s="1"/>
  <c r="AS118" i="4"/>
  <c r="AS62" i="4"/>
  <c r="AS91" i="4"/>
  <c r="AT91" i="4" s="1"/>
  <c r="AU91" i="4" s="1"/>
  <c r="AS35" i="4"/>
  <c r="AT35" i="4" s="1"/>
  <c r="AU35" i="4" s="1"/>
  <c r="AS38" i="4"/>
  <c r="AS74" i="4"/>
  <c r="AS110" i="4"/>
  <c r="AT110" i="4" s="1"/>
  <c r="AU110" i="4" s="1"/>
  <c r="AS71" i="4"/>
  <c r="AT71" i="4" s="1"/>
  <c r="AU71" i="4" s="1"/>
  <c r="AS53" i="4"/>
  <c r="AT53" i="4" s="1"/>
  <c r="AU53" i="4" s="1"/>
  <c r="AS69" i="4"/>
  <c r="AS11" i="4"/>
  <c r="AT11" i="4" s="1"/>
  <c r="AU11" i="4" s="1"/>
  <c r="AS43" i="4"/>
  <c r="AS146" i="4"/>
  <c r="AT146" i="4" s="1"/>
  <c r="AU146" i="4" s="1"/>
  <c r="AS96" i="4"/>
  <c r="AT96" i="4" s="1"/>
  <c r="AU96" i="4" s="1"/>
  <c r="AS129" i="4"/>
  <c r="AS56" i="4"/>
  <c r="AS39" i="4"/>
  <c r="AT39" i="4" s="1"/>
  <c r="AU39" i="4" s="1"/>
  <c r="AS46" i="4"/>
  <c r="AT46" i="4" s="1"/>
  <c r="AU46" i="4" s="1"/>
  <c r="AS94" i="4"/>
  <c r="AT94" i="4" s="1"/>
  <c r="AU94" i="4" s="1"/>
  <c r="AH30" i="4"/>
  <c r="AJ30" i="4" s="1"/>
  <c r="AP30" i="4"/>
  <c r="AH44" i="4"/>
  <c r="AJ44" i="4" s="1"/>
  <c r="AP44" i="4"/>
  <c r="AP68" i="4"/>
  <c r="AH68" i="4"/>
  <c r="AJ68" i="4" s="1"/>
  <c r="AH155" i="4"/>
  <c r="AJ155" i="4" s="1"/>
  <c r="AP155" i="4"/>
  <c r="AP73" i="4"/>
  <c r="AH73" i="4"/>
  <c r="AJ73" i="4" s="1"/>
  <c r="AP80" i="4"/>
  <c r="AH80" i="4"/>
  <c r="AJ80" i="4" s="1"/>
  <c r="AP16" i="4"/>
  <c r="AH16" i="4"/>
  <c r="AJ16" i="4" s="1"/>
  <c r="AH100" i="4"/>
  <c r="AJ100" i="4" s="1"/>
  <c r="AP100" i="4"/>
  <c r="AP40" i="4"/>
  <c r="AH40" i="4"/>
  <c r="AJ40" i="4" s="1"/>
  <c r="AP58" i="4"/>
  <c r="AH58" i="4"/>
  <c r="AJ58" i="4" s="1"/>
  <c r="AH149" i="4"/>
  <c r="AJ149" i="4" s="1"/>
  <c r="AP149" i="4"/>
  <c r="AH135" i="4"/>
  <c r="AJ135" i="4" s="1"/>
  <c r="AP135" i="4"/>
  <c r="AP49" i="4"/>
  <c r="AH49" i="4"/>
  <c r="AJ49" i="4" s="1"/>
  <c r="AP131" i="4"/>
  <c r="AH131" i="4"/>
  <c r="AJ131" i="4" s="1"/>
  <c r="AP128" i="4"/>
  <c r="AH128" i="4"/>
  <c r="AJ128" i="4" s="1"/>
  <c r="AP79" i="4"/>
  <c r="AH79" i="4"/>
  <c r="AJ79" i="4" s="1"/>
  <c r="AH116" i="4"/>
  <c r="AJ116" i="4" s="1"/>
  <c r="AP116" i="4"/>
  <c r="AP87" i="4"/>
  <c r="AH87" i="4"/>
  <c r="AJ87" i="4" s="1"/>
  <c r="AH77" i="4"/>
  <c r="AJ77" i="4" s="1"/>
  <c r="AP77" i="4"/>
  <c r="BR58" i="4"/>
  <c r="BR56" i="4"/>
  <c r="BR49" i="4"/>
  <c r="BH54" i="4"/>
  <c r="BJ54" i="4" s="1"/>
  <c r="BK54" i="4" s="1"/>
  <c r="BH46" i="4"/>
  <c r="BJ46" i="4" s="1"/>
  <c r="BK46" i="4" s="1"/>
  <c r="BR54" i="4"/>
  <c r="BR55" i="4"/>
  <c r="BR57" i="4"/>
  <c r="BH55" i="4"/>
  <c r="BJ55" i="4" s="1"/>
  <c r="BK55" i="4" s="1"/>
  <c r="BH45" i="4"/>
  <c r="BJ45" i="4" s="1"/>
  <c r="BK45" i="4" s="1"/>
  <c r="BH49" i="4"/>
  <c r="BJ49" i="4" s="1"/>
  <c r="BK49" i="4" s="1"/>
  <c r="BH37" i="4"/>
  <c r="BJ37" i="4" s="1"/>
  <c r="BK37" i="4" s="1"/>
  <c r="BR37" i="4"/>
  <c r="BH41" i="4"/>
  <c r="BJ41" i="4" s="1"/>
  <c r="BK41" i="4" s="1"/>
  <c r="BR46" i="4"/>
  <c r="BR39" i="4"/>
  <c r="BR41" i="4"/>
  <c r="BR45" i="4"/>
  <c r="BH31" i="4"/>
  <c r="BJ31" i="4" s="1"/>
  <c r="BK31" i="4" s="1"/>
  <c r="BR31" i="4"/>
  <c r="BY24" i="4"/>
  <c r="CA24" i="4" s="1"/>
  <c r="BY10" i="4"/>
  <c r="CA10" i="4" s="1"/>
  <c r="BH33" i="4"/>
  <c r="BJ33" i="4" s="1"/>
  <c r="BK33" i="4" s="1"/>
  <c r="BR25" i="4"/>
  <c r="BH29" i="4"/>
  <c r="BJ29" i="4" s="1"/>
  <c r="BK29" i="4" s="1"/>
  <c r="BR29" i="4"/>
  <c r="BR33" i="4"/>
  <c r="BH25" i="4"/>
  <c r="BJ25" i="4" s="1"/>
  <c r="BK25" i="4" s="1"/>
  <c r="BY17" i="4"/>
  <c r="CA17" i="4" s="1"/>
  <c r="BY293" i="4" l="1"/>
  <c r="CA293" i="4" s="1"/>
  <c r="BY192" i="4"/>
  <c r="CA192" i="4" s="1"/>
  <c r="BY218" i="4"/>
  <c r="CA218" i="4" s="1"/>
  <c r="BY285" i="4"/>
  <c r="CA285" i="4" s="1"/>
  <c r="BY267" i="4"/>
  <c r="CA267" i="4" s="1"/>
  <c r="BY265" i="4"/>
  <c r="CA265" i="4" s="1"/>
  <c r="BY275" i="4"/>
  <c r="CA275" i="4" s="1"/>
  <c r="BY190" i="4"/>
  <c r="CA190" i="4" s="1"/>
  <c r="BY286" i="4"/>
  <c r="CA286" i="4" s="1"/>
  <c r="BY254" i="4"/>
  <c r="CA254" i="4" s="1"/>
  <c r="BY324" i="4"/>
  <c r="CA324" i="4" s="1"/>
  <c r="BY247" i="4"/>
  <c r="CA247" i="4" s="1"/>
  <c r="BY165" i="4"/>
  <c r="CA165" i="4" s="1"/>
  <c r="BY266" i="4"/>
  <c r="CA266" i="4" s="1"/>
  <c r="BY252" i="4"/>
  <c r="CA252" i="4" s="1"/>
  <c r="BY232" i="4"/>
  <c r="CA232" i="4" s="1"/>
  <c r="BY200" i="4"/>
  <c r="CA200" i="4" s="1"/>
  <c r="BY184" i="4"/>
  <c r="CA184" i="4" s="1"/>
  <c r="BY299" i="4"/>
  <c r="CA299" i="4" s="1"/>
  <c r="BY181" i="4"/>
  <c r="CA181" i="4" s="1"/>
  <c r="BY169" i="4"/>
  <c r="CA169" i="4" s="1"/>
  <c r="BY194" i="4"/>
  <c r="CA194" i="4" s="1"/>
  <c r="BY234" i="4"/>
  <c r="CA234" i="4" s="1"/>
  <c r="BY167" i="4"/>
  <c r="CA167" i="4" s="1"/>
  <c r="AT271" i="4"/>
  <c r="AU271" i="4" s="1"/>
  <c r="BN271" i="4" s="1"/>
  <c r="BP271" i="4" s="1"/>
  <c r="CB271" i="4" s="1"/>
  <c r="CC271" i="4" s="1"/>
  <c r="BY164" i="4"/>
  <c r="CA164" i="4" s="1"/>
  <c r="CB295" i="4"/>
  <c r="CC295" i="4" s="1"/>
  <c r="BY230" i="4"/>
  <c r="CA230" i="4" s="1"/>
  <c r="AW182" i="4"/>
  <c r="AT315" i="4"/>
  <c r="AU315" i="4" s="1"/>
  <c r="BN315" i="4" s="1"/>
  <c r="BP315" i="4" s="1"/>
  <c r="BY315" i="4" s="1"/>
  <c r="CA315" i="4" s="1"/>
  <c r="BY269" i="4"/>
  <c r="CA269" i="4" s="1"/>
  <c r="AT262" i="4"/>
  <c r="AU262" i="4" s="1"/>
  <c r="BN262" i="4" s="1"/>
  <c r="BP262" i="4" s="1"/>
  <c r="CB262" i="4" s="1"/>
  <c r="CC262" i="4" s="1"/>
  <c r="BY305" i="4"/>
  <c r="CA305" i="4" s="1"/>
  <c r="AW231" i="4"/>
  <c r="BY246" i="4"/>
  <c r="CA246" i="4" s="1"/>
  <c r="AW310" i="4"/>
  <c r="AS244" i="4"/>
  <c r="AW244" i="4" s="1"/>
  <c r="AT307" i="4"/>
  <c r="AU307" i="4" s="1"/>
  <c r="BN307" i="4" s="1"/>
  <c r="BP307" i="4" s="1"/>
  <c r="CB307" i="4" s="1"/>
  <c r="CC307" i="4" s="1"/>
  <c r="AW235" i="4"/>
  <c r="AT282" i="4"/>
  <c r="AU282" i="4" s="1"/>
  <c r="BN282" i="4" s="1"/>
  <c r="BP282" i="4" s="1"/>
  <c r="BY282" i="4" s="1"/>
  <c r="CA282" i="4" s="1"/>
  <c r="AS228" i="4"/>
  <c r="AT228" i="4" s="1"/>
  <c r="AU228" i="4" s="1"/>
  <c r="BN228" i="4" s="1"/>
  <c r="BP228" i="4" s="1"/>
  <c r="BY202" i="4"/>
  <c r="CA202" i="4" s="1"/>
  <c r="BY303" i="4"/>
  <c r="CA303" i="4" s="1"/>
  <c r="AW323" i="4"/>
  <c r="BY321" i="4"/>
  <c r="CA321" i="4" s="1"/>
  <c r="AT280" i="4"/>
  <c r="AU280" i="4" s="1"/>
  <c r="BN280" i="4" s="1"/>
  <c r="BP280" i="4" s="1"/>
  <c r="CB280" i="4" s="1"/>
  <c r="CC280" i="4" s="1"/>
  <c r="AW171" i="4"/>
  <c r="AW177" i="4"/>
  <c r="AW297" i="4"/>
  <c r="AW241" i="4"/>
  <c r="AW224" i="4"/>
  <c r="AW226" i="4"/>
  <c r="BY191" i="4"/>
  <c r="CA191" i="4" s="1"/>
  <c r="AS248" i="4"/>
  <c r="AT248" i="4" s="1"/>
  <c r="AU248" i="4" s="1"/>
  <c r="BN248" i="4" s="1"/>
  <c r="BP248" i="4" s="1"/>
  <c r="AW278" i="4"/>
  <c r="AW289" i="4"/>
  <c r="AW198" i="4"/>
  <c r="BY259" i="4"/>
  <c r="CA259" i="4" s="1"/>
  <c r="BY238" i="4"/>
  <c r="CA238" i="4" s="1"/>
  <c r="AW174" i="4"/>
  <c r="AW214" i="4"/>
  <c r="AW206" i="4"/>
  <c r="BY160" i="4"/>
  <c r="CA160" i="4" s="1"/>
  <c r="AS284" i="4"/>
  <c r="AT284" i="4" s="1"/>
  <c r="AU284" i="4" s="1"/>
  <c r="BN284" i="4" s="1"/>
  <c r="BP284" i="4" s="1"/>
  <c r="BY196" i="4"/>
  <c r="CA196" i="4" s="1"/>
  <c r="AW302" i="4"/>
  <c r="AS170" i="4"/>
  <c r="AT170" i="4" s="1"/>
  <c r="AU170" i="4" s="1"/>
  <c r="BN170" i="4" s="1"/>
  <c r="BP170" i="4" s="1"/>
  <c r="CB170" i="4" s="1"/>
  <c r="CC170" i="4" s="1"/>
  <c r="AT322" i="4"/>
  <c r="AU322" i="4" s="1"/>
  <c r="BN322" i="4" s="1"/>
  <c r="BP322" i="4" s="1"/>
  <c r="CB322" i="4" s="1"/>
  <c r="CC322" i="4" s="1"/>
  <c r="AW268" i="4"/>
  <c r="AW243" i="4"/>
  <c r="AS158" i="4"/>
  <c r="AW158" i="4" s="1"/>
  <c r="CB312" i="4"/>
  <c r="CC312" i="4" s="1"/>
  <c r="BY312" i="4"/>
  <c r="CA312" i="4" s="1"/>
  <c r="BY304" i="4"/>
  <c r="CA304" i="4" s="1"/>
  <c r="AW312" i="4"/>
  <c r="AT166" i="4"/>
  <c r="AU166" i="4" s="1"/>
  <c r="BN166" i="4" s="1"/>
  <c r="BP166" i="4" s="1"/>
  <c r="CB166" i="4" s="1"/>
  <c r="CC166" i="4" s="1"/>
  <c r="CB309" i="4"/>
  <c r="CC309" i="4" s="1"/>
  <c r="AS316" i="4"/>
  <c r="AT316" i="4" s="1"/>
  <c r="AU316" i="4" s="1"/>
  <c r="BN316" i="4" s="1"/>
  <c r="BP316" i="4" s="1"/>
  <c r="BY300" i="4"/>
  <c r="CA300" i="4" s="1"/>
  <c r="CB270" i="4"/>
  <c r="CC270" i="4" s="1"/>
  <c r="BY270" i="4"/>
  <c r="CA270" i="4" s="1"/>
  <c r="AS277" i="4"/>
  <c r="AT277" i="4" s="1"/>
  <c r="AU277" i="4" s="1"/>
  <c r="BN277" i="4" s="1"/>
  <c r="BP277" i="4" s="1"/>
  <c r="CB210" i="4"/>
  <c r="CC210" i="4" s="1"/>
  <c r="BY210" i="4"/>
  <c r="CA210" i="4" s="1"/>
  <c r="CB278" i="4"/>
  <c r="CC278" i="4" s="1"/>
  <c r="BY278" i="4"/>
  <c r="CA278" i="4" s="1"/>
  <c r="AT222" i="4"/>
  <c r="AU222" i="4" s="1"/>
  <c r="BN222" i="4" s="1"/>
  <c r="BP222" i="4" s="1"/>
  <c r="AW222" i="4"/>
  <c r="CB317" i="4"/>
  <c r="CC317" i="4" s="1"/>
  <c r="BY317" i="4"/>
  <c r="CA317" i="4" s="1"/>
  <c r="CB171" i="4"/>
  <c r="CC171" i="4" s="1"/>
  <c r="BY171" i="4"/>
  <c r="CA171" i="4" s="1"/>
  <c r="AT212" i="4"/>
  <c r="AU212" i="4" s="1"/>
  <c r="BN212" i="4" s="1"/>
  <c r="BP212" i="4" s="1"/>
  <c r="AW212" i="4"/>
  <c r="CB323" i="4"/>
  <c r="CC323" i="4" s="1"/>
  <c r="BY323" i="4"/>
  <c r="CA323" i="4" s="1"/>
  <c r="BY159" i="4"/>
  <c r="CA159" i="4" s="1"/>
  <c r="CB179" i="4"/>
  <c r="CC179" i="4" s="1"/>
  <c r="BY179" i="4"/>
  <c r="CA179" i="4" s="1"/>
  <c r="AT203" i="4"/>
  <c r="AU203" i="4" s="1"/>
  <c r="BN203" i="4" s="1"/>
  <c r="BP203" i="4" s="1"/>
  <c r="AW203" i="4"/>
  <c r="AS273" i="4"/>
  <c r="CB206" i="4"/>
  <c r="CC206" i="4" s="1"/>
  <c r="BY206" i="4"/>
  <c r="CA206" i="4" s="1"/>
  <c r="CB182" i="4"/>
  <c r="CC182" i="4" s="1"/>
  <c r="BY182" i="4"/>
  <c r="CA182" i="4" s="1"/>
  <c r="AS207" i="4"/>
  <c r="AT261" i="4"/>
  <c r="AU261" i="4" s="1"/>
  <c r="BN261" i="4" s="1"/>
  <c r="BP261" i="4" s="1"/>
  <c r="AW261" i="4"/>
  <c r="CB231" i="4"/>
  <c r="CC231" i="4" s="1"/>
  <c r="BY231" i="4"/>
  <c r="CA231" i="4" s="1"/>
  <c r="AT242" i="4"/>
  <c r="AU242" i="4" s="1"/>
  <c r="BN242" i="4" s="1"/>
  <c r="BP242" i="4" s="1"/>
  <c r="AW242" i="4"/>
  <c r="AT208" i="4"/>
  <c r="AU208" i="4" s="1"/>
  <c r="BN208" i="4" s="1"/>
  <c r="BP208" i="4" s="1"/>
  <c r="AW208" i="4"/>
  <c r="AT172" i="4"/>
  <c r="AU172" i="4" s="1"/>
  <c r="BN172" i="4" s="1"/>
  <c r="BP172" i="4" s="1"/>
  <c r="AW172" i="4"/>
  <c r="BY281" i="4"/>
  <c r="CA281" i="4" s="1"/>
  <c r="CB297" i="4"/>
  <c r="CC297" i="4" s="1"/>
  <c r="BY297" i="4"/>
  <c r="CA297" i="4" s="1"/>
  <c r="AT276" i="4"/>
  <c r="AU276" i="4" s="1"/>
  <c r="BN276" i="4" s="1"/>
  <c r="BP276" i="4" s="1"/>
  <c r="AW276" i="4"/>
  <c r="CB198" i="4"/>
  <c r="CC198" i="4" s="1"/>
  <c r="BY198" i="4"/>
  <c r="CA198" i="4" s="1"/>
  <c r="AT301" i="4"/>
  <c r="AU301" i="4" s="1"/>
  <c r="BN301" i="4" s="1"/>
  <c r="BP301" i="4" s="1"/>
  <c r="AW301" i="4"/>
  <c r="AT186" i="4"/>
  <c r="AU186" i="4" s="1"/>
  <c r="BN186" i="4" s="1"/>
  <c r="BP186" i="4" s="1"/>
  <c r="AW186" i="4"/>
  <c r="CB174" i="4"/>
  <c r="CC174" i="4" s="1"/>
  <c r="BY174" i="4"/>
  <c r="CA174" i="4" s="1"/>
  <c r="CB325" i="4"/>
  <c r="CC325" i="4" s="1"/>
  <c r="BY325" i="4"/>
  <c r="CA325" i="4" s="1"/>
  <c r="AT227" i="4"/>
  <c r="AU227" i="4" s="1"/>
  <c r="BN227" i="4" s="1"/>
  <c r="BP227" i="4" s="1"/>
  <c r="AW227" i="4"/>
  <c r="AS239" i="4"/>
  <c r="AT296" i="4"/>
  <c r="AU296" i="4" s="1"/>
  <c r="BN296" i="4" s="1"/>
  <c r="BP296" i="4" s="1"/>
  <c r="AW296" i="4"/>
  <c r="AT272" i="4"/>
  <c r="AU272" i="4" s="1"/>
  <c r="BN272" i="4" s="1"/>
  <c r="BP272" i="4" s="1"/>
  <c r="AW272" i="4"/>
  <c r="CB302" i="4"/>
  <c r="CC302" i="4" s="1"/>
  <c r="BY302" i="4"/>
  <c r="CA302" i="4" s="1"/>
  <c r="CB241" i="4"/>
  <c r="CC241" i="4" s="1"/>
  <c r="BY241" i="4"/>
  <c r="CA241" i="4" s="1"/>
  <c r="AT298" i="4"/>
  <c r="AU298" i="4" s="1"/>
  <c r="BN298" i="4" s="1"/>
  <c r="BP298" i="4" s="1"/>
  <c r="AW298" i="4"/>
  <c r="CB243" i="4"/>
  <c r="CC243" i="4" s="1"/>
  <c r="BY243" i="4"/>
  <c r="CA243" i="4" s="1"/>
  <c r="CB235" i="4"/>
  <c r="CC235" i="4" s="1"/>
  <c r="BY235" i="4"/>
  <c r="CA235" i="4" s="1"/>
  <c r="AT260" i="4"/>
  <c r="AU260" i="4" s="1"/>
  <c r="BN260" i="4" s="1"/>
  <c r="BP260" i="4" s="1"/>
  <c r="AW260" i="4"/>
  <c r="CB318" i="4"/>
  <c r="CC318" i="4" s="1"/>
  <c r="BY318" i="4"/>
  <c r="CA318" i="4" s="1"/>
  <c r="CB214" i="4"/>
  <c r="CC214" i="4" s="1"/>
  <c r="BY214" i="4"/>
  <c r="CA214" i="4" s="1"/>
  <c r="AT201" i="4"/>
  <c r="AU201" i="4" s="1"/>
  <c r="BN201" i="4" s="1"/>
  <c r="BP201" i="4" s="1"/>
  <c r="AW201" i="4"/>
  <c r="AS209" i="4"/>
  <c r="CB313" i="4"/>
  <c r="CC313" i="4" s="1"/>
  <c r="BY313" i="4"/>
  <c r="CA313" i="4" s="1"/>
  <c r="AT240" i="4"/>
  <c r="AU240" i="4" s="1"/>
  <c r="BN240" i="4" s="1"/>
  <c r="BP240" i="4" s="1"/>
  <c r="AW240" i="4"/>
  <c r="BY309" i="4"/>
  <c r="CA309" i="4" s="1"/>
  <c r="CB268" i="4"/>
  <c r="CC268" i="4" s="1"/>
  <c r="BY268" i="4"/>
  <c r="CA268" i="4" s="1"/>
  <c r="AT251" i="4"/>
  <c r="AU251" i="4" s="1"/>
  <c r="BN251" i="4" s="1"/>
  <c r="BP251" i="4" s="1"/>
  <c r="AW251" i="4"/>
  <c r="AT211" i="4"/>
  <c r="AU211" i="4" s="1"/>
  <c r="BN211" i="4" s="1"/>
  <c r="BP211" i="4" s="1"/>
  <c r="AW211" i="4"/>
  <c r="AT256" i="4"/>
  <c r="AU256" i="4" s="1"/>
  <c r="BN256" i="4" s="1"/>
  <c r="BP256" i="4" s="1"/>
  <c r="AW256" i="4"/>
  <c r="AS180" i="4"/>
  <c r="AT264" i="4"/>
  <c r="AU264" i="4" s="1"/>
  <c r="BN264" i="4" s="1"/>
  <c r="BP264" i="4" s="1"/>
  <c r="AW264" i="4"/>
  <c r="AS294" i="4"/>
  <c r="CB177" i="4"/>
  <c r="CC177" i="4" s="1"/>
  <c r="BY177" i="4"/>
  <c r="CA177" i="4" s="1"/>
  <c r="AT306" i="4"/>
  <c r="AU306" i="4" s="1"/>
  <c r="BN306" i="4" s="1"/>
  <c r="BP306" i="4" s="1"/>
  <c r="AW306" i="4"/>
  <c r="AS287" i="4"/>
  <c r="AS197" i="4"/>
  <c r="AS199" i="4"/>
  <c r="AT233" i="4"/>
  <c r="AU233" i="4" s="1"/>
  <c r="BN233" i="4" s="1"/>
  <c r="BP233" i="4" s="1"/>
  <c r="AW233" i="4"/>
  <c r="AT245" i="4"/>
  <c r="AU245" i="4" s="1"/>
  <c r="BN245" i="4" s="1"/>
  <c r="BP245" i="4" s="1"/>
  <c r="AW245" i="4"/>
  <c r="AT188" i="4"/>
  <c r="AU188" i="4" s="1"/>
  <c r="BN188" i="4" s="1"/>
  <c r="BP188" i="4" s="1"/>
  <c r="AW188" i="4"/>
  <c r="CB220" i="4"/>
  <c r="CC220" i="4" s="1"/>
  <c r="BY220" i="4"/>
  <c r="CA220" i="4" s="1"/>
  <c r="CB224" i="4"/>
  <c r="CC224" i="4" s="1"/>
  <c r="BY224" i="4"/>
  <c r="CA224" i="4" s="1"/>
  <c r="AT178" i="4"/>
  <c r="AU178" i="4" s="1"/>
  <c r="BN178" i="4" s="1"/>
  <c r="BP178" i="4" s="1"/>
  <c r="AW178" i="4"/>
  <c r="AT292" i="4"/>
  <c r="AU292" i="4" s="1"/>
  <c r="BN292" i="4" s="1"/>
  <c r="BP292" i="4" s="1"/>
  <c r="AW292" i="4"/>
  <c r="CB226" i="4"/>
  <c r="CC226" i="4" s="1"/>
  <c r="BY226" i="4"/>
  <c r="CA226" i="4" s="1"/>
  <c r="AT290" i="4"/>
  <c r="AU290" i="4" s="1"/>
  <c r="BN290" i="4" s="1"/>
  <c r="BP290" i="4" s="1"/>
  <c r="AW290" i="4"/>
  <c r="CB310" i="4"/>
  <c r="CC310" i="4" s="1"/>
  <c r="BY310" i="4"/>
  <c r="CA310" i="4" s="1"/>
  <c r="BY289" i="4"/>
  <c r="CA289" i="4" s="1"/>
  <c r="B69" i="5"/>
  <c r="A69" i="5" s="1"/>
  <c r="D68" i="5"/>
  <c r="B68" i="5" s="1"/>
  <c r="A68" i="5" s="1"/>
  <c r="CB108" i="4"/>
  <c r="CC108" i="4" s="1"/>
  <c r="BY108" i="4"/>
  <c r="CA108" i="4" s="1"/>
  <c r="CB7" i="4"/>
  <c r="CC7" i="4" s="1"/>
  <c r="BY7" i="4"/>
  <c r="CA7" i="4" s="1"/>
  <c r="BY154" i="4"/>
  <c r="CA154" i="4" s="1"/>
  <c r="CB154" i="4"/>
  <c r="CC154" i="4" s="1"/>
  <c r="CB8" i="4"/>
  <c r="CC8" i="4" s="1"/>
  <c r="BY8" i="4"/>
  <c r="CA8" i="4" s="1"/>
  <c r="BY86" i="4"/>
  <c r="CA86" i="4" s="1"/>
  <c r="CB86" i="4"/>
  <c r="CC86" i="4" s="1"/>
  <c r="BY66" i="4"/>
  <c r="CA66" i="4" s="1"/>
  <c r="CB66" i="4"/>
  <c r="CC66" i="4" s="1"/>
  <c r="BY136" i="4"/>
  <c r="CA136" i="4" s="1"/>
  <c r="CB136" i="4"/>
  <c r="CC136" i="4" s="1"/>
  <c r="CB137" i="4"/>
  <c r="CC137" i="4" s="1"/>
  <c r="CB97" i="4"/>
  <c r="CC97" i="4" s="1"/>
  <c r="BY97" i="4"/>
  <c r="CA97" i="4" s="1"/>
  <c r="CB19" i="4"/>
  <c r="CC19" i="4" s="1"/>
  <c r="BY19" i="4"/>
  <c r="CA19" i="4" s="1"/>
  <c r="BY138" i="4"/>
  <c r="CA138" i="4" s="1"/>
  <c r="CB138" i="4"/>
  <c r="CC138" i="4" s="1"/>
  <c r="BY18" i="4"/>
  <c r="CA18" i="4" s="1"/>
  <c r="CB18" i="4"/>
  <c r="CC18" i="4" s="1"/>
  <c r="BY70" i="4"/>
  <c r="CA70" i="4" s="1"/>
  <c r="CB70" i="4"/>
  <c r="CC70" i="4" s="1"/>
  <c r="BY151" i="4"/>
  <c r="CA151" i="4" s="1"/>
  <c r="CB151" i="4"/>
  <c r="CC151" i="4" s="1"/>
  <c r="BY143" i="4"/>
  <c r="CA143" i="4" s="1"/>
  <c r="CB143" i="4"/>
  <c r="CC143" i="4" s="1"/>
  <c r="CB122" i="4"/>
  <c r="CC122" i="4" s="1"/>
  <c r="BY122" i="4"/>
  <c r="CA122" i="4" s="1"/>
  <c r="CB15" i="4"/>
  <c r="CC15" i="4" s="1"/>
  <c r="BY15" i="4"/>
  <c r="CA15" i="4" s="1"/>
  <c r="BY47" i="4"/>
  <c r="CA47" i="4" s="1"/>
  <c r="CB47" i="4"/>
  <c r="CC47" i="4" s="1"/>
  <c r="CB27" i="4"/>
  <c r="CC27" i="4" s="1"/>
  <c r="BY27" i="4"/>
  <c r="CA27" i="4" s="1"/>
  <c r="BY13" i="4"/>
  <c r="CA13" i="4" s="1"/>
  <c r="CB13" i="4"/>
  <c r="CC13" i="4" s="1"/>
  <c r="BY48" i="4"/>
  <c r="CA48" i="4" s="1"/>
  <c r="CB48" i="4"/>
  <c r="CC48" i="4" s="1"/>
  <c r="BN94" i="4"/>
  <c r="BP94" i="4" s="1"/>
  <c r="BN104" i="4"/>
  <c r="BP104" i="4" s="1"/>
  <c r="CB104" i="4" s="1"/>
  <c r="CC104" i="4" s="1"/>
  <c r="BN46" i="4"/>
  <c r="BP46" i="4" s="1"/>
  <c r="CB46" i="4" s="1"/>
  <c r="CC46" i="4" s="1"/>
  <c r="BN54" i="4"/>
  <c r="BP54" i="4" s="1"/>
  <c r="BN115" i="4"/>
  <c r="BP115" i="4" s="1"/>
  <c r="BN146" i="4"/>
  <c r="BP146" i="4" s="1"/>
  <c r="BN110" i="4"/>
  <c r="BP110" i="4" s="1"/>
  <c r="BY110" i="4" s="1"/>
  <c r="CA110" i="4" s="1"/>
  <c r="BN61" i="4"/>
  <c r="BP61" i="4" s="1"/>
  <c r="BN109" i="4"/>
  <c r="BP109" i="4" s="1"/>
  <c r="BN98" i="4"/>
  <c r="BP98" i="4" s="1"/>
  <c r="BN127" i="4"/>
  <c r="BP127" i="4" s="1"/>
  <c r="BY127" i="4" s="1"/>
  <c r="CA127" i="4" s="1"/>
  <c r="BY36" i="4"/>
  <c r="CA36" i="4" s="1"/>
  <c r="BN85" i="4"/>
  <c r="BP85" i="4" s="1"/>
  <c r="BN148" i="4"/>
  <c r="BP148" i="4" s="1"/>
  <c r="BN11" i="4"/>
  <c r="BP11" i="4" s="1"/>
  <c r="BN28" i="4"/>
  <c r="BP28" i="4" s="1"/>
  <c r="BN33" i="4"/>
  <c r="BP33" i="4" s="1"/>
  <c r="BN23" i="4"/>
  <c r="BP23" i="4" s="1"/>
  <c r="BN114" i="4"/>
  <c r="BP114" i="4" s="1"/>
  <c r="CB144" i="4"/>
  <c r="CC144" i="4" s="1"/>
  <c r="CB147" i="4"/>
  <c r="CC147" i="4" s="1"/>
  <c r="BN157" i="4"/>
  <c r="BP157" i="4" s="1"/>
  <c r="BN140" i="4"/>
  <c r="BP140" i="4" s="1"/>
  <c r="BN75" i="4"/>
  <c r="BP75" i="4" s="1"/>
  <c r="BN35" i="4"/>
  <c r="BP35" i="4" s="1"/>
  <c r="BY35" i="4" s="1"/>
  <c r="CA35" i="4" s="1"/>
  <c r="BN125" i="4"/>
  <c r="BP125" i="4" s="1"/>
  <c r="BN21" i="4"/>
  <c r="BP21" i="4" s="1"/>
  <c r="BN59" i="4"/>
  <c r="BP59" i="4" s="1"/>
  <c r="BN111" i="4"/>
  <c r="BP111" i="4" s="1"/>
  <c r="BN63" i="4"/>
  <c r="BP63" i="4" s="1"/>
  <c r="BN41" i="4"/>
  <c r="BP41" i="4" s="1"/>
  <c r="BN93" i="4"/>
  <c r="BP93" i="4" s="1"/>
  <c r="BN133" i="4"/>
  <c r="BP133" i="4" s="1"/>
  <c r="BN32" i="4"/>
  <c r="BP32" i="4" s="1"/>
  <c r="BN132" i="4"/>
  <c r="BP132" i="4" s="1"/>
  <c r="BN88" i="4"/>
  <c r="BP88" i="4" s="1"/>
  <c r="BN139" i="4"/>
  <c r="BP139" i="4" s="1"/>
  <c r="BN20" i="4"/>
  <c r="BP20" i="4" s="1"/>
  <c r="BN22" i="4"/>
  <c r="BP22" i="4" s="1"/>
  <c r="BN53" i="4"/>
  <c r="BP53" i="4" s="1"/>
  <c r="BN152" i="4"/>
  <c r="BP152" i="4" s="1"/>
  <c r="BN106" i="4"/>
  <c r="BP106" i="4" s="1"/>
  <c r="BN95" i="4"/>
  <c r="BP95" i="4" s="1"/>
  <c r="BN91" i="4"/>
  <c r="BP91" i="4" s="1"/>
  <c r="BN42" i="4"/>
  <c r="BP42" i="4" s="1"/>
  <c r="BY42" i="4" s="1"/>
  <c r="CA42" i="4" s="1"/>
  <c r="CB51" i="4"/>
  <c r="CC51" i="4" s="1"/>
  <c r="BN71" i="4"/>
  <c r="BP71" i="4" s="1"/>
  <c r="BN26" i="4"/>
  <c r="BP26" i="4" s="1"/>
  <c r="CB123" i="4"/>
  <c r="CC123" i="4" s="1"/>
  <c r="BN39" i="4"/>
  <c r="BP39" i="4" s="1"/>
  <c r="CB39" i="4" s="1"/>
  <c r="CC39" i="4" s="1"/>
  <c r="BN96" i="4"/>
  <c r="BP96" i="4" s="1"/>
  <c r="BN31" i="4"/>
  <c r="BP31" i="4" s="1"/>
  <c r="BN83" i="4"/>
  <c r="BP83" i="4" s="1"/>
  <c r="BN142" i="4"/>
  <c r="BP142" i="4" s="1"/>
  <c r="CB57" i="4"/>
  <c r="CC57" i="4" s="1"/>
  <c r="CB29" i="4"/>
  <c r="CC29" i="4" s="1"/>
  <c r="CB45" i="4"/>
  <c r="CC45" i="4" s="1"/>
  <c r="CB25" i="4"/>
  <c r="CC25" i="4" s="1"/>
  <c r="CB37" i="4"/>
  <c r="CC37" i="4" s="1"/>
  <c r="AW98" i="4"/>
  <c r="AW127" i="4"/>
  <c r="AW88" i="4"/>
  <c r="AW148" i="4"/>
  <c r="AW106" i="4"/>
  <c r="AW140" i="4"/>
  <c r="AW46" i="4"/>
  <c r="AW28" i="4"/>
  <c r="AW33" i="4"/>
  <c r="AW132" i="4"/>
  <c r="AW26" i="4"/>
  <c r="AW22" i="4"/>
  <c r="AW110" i="4"/>
  <c r="AW93" i="4"/>
  <c r="AW146" i="4"/>
  <c r="AW35" i="4"/>
  <c r="AW125" i="4"/>
  <c r="AW71" i="4"/>
  <c r="AW75" i="4"/>
  <c r="AW53" i="4"/>
  <c r="AW32" i="4"/>
  <c r="AW42" i="4"/>
  <c r="AW142" i="4"/>
  <c r="AS155" i="4"/>
  <c r="AT155" i="4" s="1"/>
  <c r="AU155" i="4" s="1"/>
  <c r="AW83" i="4"/>
  <c r="AW54" i="4"/>
  <c r="AS116" i="4"/>
  <c r="AT116" i="4" s="1"/>
  <c r="AU116" i="4" s="1"/>
  <c r="AW94" i="4"/>
  <c r="AW41" i="4"/>
  <c r="AW103" i="4"/>
  <c r="AT103" i="4"/>
  <c r="AU103" i="4" s="1"/>
  <c r="AW74" i="4"/>
  <c r="AT74" i="4"/>
  <c r="AU74" i="4" s="1"/>
  <c r="AW113" i="4"/>
  <c r="AT113" i="4"/>
  <c r="AU113" i="4" s="1"/>
  <c r="AW38" i="4"/>
  <c r="AT38" i="4"/>
  <c r="AU38" i="4" s="1"/>
  <c r="AW150" i="4"/>
  <c r="AT150" i="4"/>
  <c r="AU150" i="4" s="1"/>
  <c r="AW11" i="4"/>
  <c r="AW130" i="4"/>
  <c r="AT130" i="4"/>
  <c r="AU130" i="4" s="1"/>
  <c r="AW50" i="4"/>
  <c r="AT50" i="4"/>
  <c r="AU50" i="4" s="1"/>
  <c r="AW84" i="4"/>
  <c r="AT84" i="4"/>
  <c r="AU84" i="4" s="1"/>
  <c r="AW43" i="4"/>
  <c r="AT43" i="4"/>
  <c r="AU43" i="4" s="1"/>
  <c r="AW141" i="4"/>
  <c r="AT141" i="4"/>
  <c r="AU141" i="4" s="1"/>
  <c r="AW78" i="4"/>
  <c r="AT78" i="4"/>
  <c r="AU78" i="4" s="1"/>
  <c r="AW134" i="4"/>
  <c r="AT134" i="4"/>
  <c r="AU134" i="4" s="1"/>
  <c r="AW69" i="4"/>
  <c r="AT69" i="4"/>
  <c r="AU69" i="4" s="1"/>
  <c r="AW91" i="4"/>
  <c r="AW129" i="4"/>
  <c r="AT129" i="4"/>
  <c r="AU129" i="4" s="1"/>
  <c r="AW112" i="4"/>
  <c r="AT112" i="4"/>
  <c r="AU112" i="4" s="1"/>
  <c r="AW62" i="4"/>
  <c r="AT62" i="4"/>
  <c r="AU62" i="4" s="1"/>
  <c r="AW55" i="4"/>
  <c r="AT55" i="4"/>
  <c r="AU55" i="4" s="1"/>
  <c r="AW156" i="4"/>
  <c r="AT156" i="4"/>
  <c r="AU156" i="4" s="1"/>
  <c r="AW102" i="4"/>
  <c r="AT102" i="4"/>
  <c r="AU102" i="4" s="1"/>
  <c r="AW56" i="4"/>
  <c r="AT56" i="4"/>
  <c r="AU56" i="4" s="1"/>
  <c r="AW90" i="4"/>
  <c r="AT90" i="4"/>
  <c r="AU90" i="4" s="1"/>
  <c r="AW52" i="4"/>
  <c r="AT52" i="4"/>
  <c r="AU52" i="4" s="1"/>
  <c r="AW139" i="4"/>
  <c r="AW39" i="4"/>
  <c r="AW96" i="4"/>
  <c r="AW34" i="4"/>
  <c r="AT34" i="4"/>
  <c r="AU34" i="4" s="1"/>
  <c r="AW118" i="4"/>
  <c r="AT118" i="4"/>
  <c r="AU118" i="4" s="1"/>
  <c r="AW60" i="4"/>
  <c r="AT60" i="4"/>
  <c r="AU60" i="4" s="1"/>
  <c r="AS58" i="4"/>
  <c r="AS77" i="4"/>
  <c r="AT77" i="4" s="1"/>
  <c r="AU77" i="4" s="1"/>
  <c r="AS128" i="4"/>
  <c r="AT128" i="4" s="1"/>
  <c r="AU128" i="4" s="1"/>
  <c r="AS135" i="4"/>
  <c r="AT135" i="4" s="1"/>
  <c r="AU135" i="4" s="1"/>
  <c r="AS44" i="4"/>
  <c r="AS79" i="4"/>
  <c r="AS149" i="4"/>
  <c r="AS40" i="4"/>
  <c r="AS80" i="4"/>
  <c r="AS30" i="4"/>
  <c r="AT30" i="4" s="1"/>
  <c r="AU30" i="4" s="1"/>
  <c r="AS68" i="4"/>
  <c r="AS87" i="4"/>
  <c r="AT87" i="4" s="1"/>
  <c r="AU87" i="4" s="1"/>
  <c r="AS131" i="4"/>
  <c r="AS100" i="4"/>
  <c r="AS73" i="4"/>
  <c r="AS49" i="4"/>
  <c r="AS16" i="4"/>
  <c r="BY72" i="4"/>
  <c r="CA72" i="4" s="1"/>
  <c r="BY45" i="4"/>
  <c r="CA45" i="4" s="1"/>
  <c r="BY29" i="4"/>
  <c r="CA29" i="4" s="1"/>
  <c r="BY107" i="4"/>
  <c r="CA107" i="4" s="1"/>
  <c r="BY57" i="4"/>
  <c r="CA57" i="4" s="1"/>
  <c r="BY25" i="4"/>
  <c r="CA25" i="4" s="1"/>
  <c r="BY76" i="4"/>
  <c r="CA76" i="4" s="1"/>
  <c r="BY99" i="4"/>
  <c r="CA99" i="4" s="1"/>
  <c r="BY89" i="4"/>
  <c r="CA89" i="4" s="1"/>
  <c r="BY105" i="4"/>
  <c r="CA105" i="4" s="1"/>
  <c r="BY37" i="4"/>
  <c r="CA37" i="4" s="1"/>
  <c r="BY120" i="4"/>
  <c r="CA120" i="4" s="1"/>
  <c r="BY271" i="4" l="1"/>
  <c r="CA271" i="4" s="1"/>
  <c r="AT158" i="4"/>
  <c r="AU158" i="4" s="1"/>
  <c r="BN158" i="4" s="1"/>
  <c r="BP158" i="4" s="1"/>
  <c r="CB158" i="4" s="1"/>
  <c r="CC158" i="4" s="1"/>
  <c r="CB315" i="4"/>
  <c r="CC315" i="4" s="1"/>
  <c r="AT244" i="4"/>
  <c r="AU244" i="4" s="1"/>
  <c r="BN244" i="4" s="1"/>
  <c r="BP244" i="4" s="1"/>
  <c r="CB244" i="4" s="1"/>
  <c r="CC244" i="4" s="1"/>
  <c r="BY262" i="4"/>
  <c r="CA262" i="4" s="1"/>
  <c r="AW284" i="4"/>
  <c r="CB282" i="4"/>
  <c r="CC282" i="4" s="1"/>
  <c r="BY166" i="4"/>
  <c r="CA166" i="4" s="1"/>
  <c r="BY307" i="4"/>
  <c r="CA307" i="4" s="1"/>
  <c r="AW228" i="4"/>
  <c r="AW170" i="4"/>
  <c r="BY280" i="4"/>
  <c r="CA280" i="4" s="1"/>
  <c r="AW248" i="4"/>
  <c r="BY322" i="4"/>
  <c r="CA322" i="4" s="1"/>
  <c r="AW277" i="4"/>
  <c r="AW316" i="4"/>
  <c r="BY170" i="4"/>
  <c r="CA170" i="4" s="1"/>
  <c r="CB178" i="4"/>
  <c r="CC178" i="4" s="1"/>
  <c r="BY178" i="4"/>
  <c r="CA178" i="4" s="1"/>
  <c r="CB306" i="4"/>
  <c r="CC306" i="4" s="1"/>
  <c r="BY306" i="4"/>
  <c r="CA306" i="4" s="1"/>
  <c r="CB292" i="4"/>
  <c r="CC292" i="4" s="1"/>
  <c r="BY292" i="4"/>
  <c r="CA292" i="4" s="1"/>
  <c r="CB188" i="4"/>
  <c r="CC188" i="4" s="1"/>
  <c r="BY188" i="4"/>
  <c r="CA188" i="4" s="1"/>
  <c r="CB264" i="4"/>
  <c r="CC264" i="4" s="1"/>
  <c r="BY264" i="4"/>
  <c r="CA264" i="4" s="1"/>
  <c r="CB242" i="4"/>
  <c r="CC242" i="4" s="1"/>
  <c r="BY242" i="4"/>
  <c r="CA242" i="4" s="1"/>
  <c r="AT180" i="4"/>
  <c r="AU180" i="4" s="1"/>
  <c r="BN180" i="4" s="1"/>
  <c r="BP180" i="4" s="1"/>
  <c r="AW180" i="4"/>
  <c r="CB211" i="4"/>
  <c r="CC211" i="4" s="1"/>
  <c r="BY211" i="4"/>
  <c r="CA211" i="4" s="1"/>
  <c r="CB201" i="4"/>
  <c r="CC201" i="4" s="1"/>
  <c r="BY201" i="4"/>
  <c r="CA201" i="4" s="1"/>
  <c r="CB227" i="4"/>
  <c r="CC227" i="4" s="1"/>
  <c r="BY227" i="4"/>
  <c r="CA227" i="4" s="1"/>
  <c r="CB301" i="4"/>
  <c r="CC301" i="4" s="1"/>
  <c r="BY301" i="4"/>
  <c r="CA301" i="4" s="1"/>
  <c r="CB228" i="4"/>
  <c r="CC228" i="4" s="1"/>
  <c r="BY228" i="4"/>
  <c r="CA228" i="4" s="1"/>
  <c r="CB240" i="4"/>
  <c r="CC240" i="4" s="1"/>
  <c r="BY240" i="4"/>
  <c r="CA240" i="4" s="1"/>
  <c r="CB290" i="4"/>
  <c r="CC290" i="4" s="1"/>
  <c r="BY290" i="4"/>
  <c r="CA290" i="4" s="1"/>
  <c r="CB233" i="4"/>
  <c r="CC233" i="4" s="1"/>
  <c r="BY233" i="4"/>
  <c r="CA233" i="4" s="1"/>
  <c r="CB272" i="4"/>
  <c r="CC272" i="4" s="1"/>
  <c r="BY272" i="4"/>
  <c r="CA272" i="4" s="1"/>
  <c r="CB172" i="4"/>
  <c r="CC172" i="4" s="1"/>
  <c r="BY172" i="4"/>
  <c r="CA172" i="4" s="1"/>
  <c r="CB261" i="4"/>
  <c r="CC261" i="4" s="1"/>
  <c r="BY261" i="4"/>
  <c r="CA261" i="4" s="1"/>
  <c r="CB203" i="4"/>
  <c r="CC203" i="4" s="1"/>
  <c r="BY203" i="4"/>
  <c r="CA203" i="4" s="1"/>
  <c r="AT199" i="4"/>
  <c r="AU199" i="4" s="1"/>
  <c r="BN199" i="4" s="1"/>
  <c r="BP199" i="4" s="1"/>
  <c r="AW199" i="4"/>
  <c r="CB248" i="4"/>
  <c r="CC248" i="4" s="1"/>
  <c r="BY248" i="4"/>
  <c r="CA248" i="4" s="1"/>
  <c r="CB277" i="4"/>
  <c r="CC277" i="4" s="1"/>
  <c r="BY277" i="4"/>
  <c r="CA277" i="4" s="1"/>
  <c r="CB276" i="4"/>
  <c r="CC276" i="4" s="1"/>
  <c r="BY276" i="4"/>
  <c r="CA276" i="4" s="1"/>
  <c r="AT207" i="4"/>
  <c r="AU207" i="4" s="1"/>
  <c r="BN207" i="4" s="1"/>
  <c r="BP207" i="4" s="1"/>
  <c r="AW207" i="4"/>
  <c r="CB222" i="4"/>
  <c r="CC222" i="4" s="1"/>
  <c r="BY222" i="4"/>
  <c r="CA222" i="4" s="1"/>
  <c r="CB245" i="4"/>
  <c r="CC245" i="4" s="1"/>
  <c r="BY245" i="4"/>
  <c r="CA245" i="4" s="1"/>
  <c r="CB251" i="4"/>
  <c r="CC251" i="4" s="1"/>
  <c r="BY251" i="4"/>
  <c r="CA251" i="4" s="1"/>
  <c r="AT197" i="4"/>
  <c r="AU197" i="4" s="1"/>
  <c r="BN197" i="4" s="1"/>
  <c r="BP197" i="4" s="1"/>
  <c r="AW197" i="4"/>
  <c r="AT294" i="4"/>
  <c r="AU294" i="4" s="1"/>
  <c r="BN294" i="4" s="1"/>
  <c r="BP294" i="4" s="1"/>
  <c r="AW294" i="4"/>
  <c r="CB284" i="4"/>
  <c r="CC284" i="4" s="1"/>
  <c r="BY284" i="4"/>
  <c r="CA284" i="4" s="1"/>
  <c r="CB298" i="4"/>
  <c r="CC298" i="4" s="1"/>
  <c r="BY298" i="4"/>
  <c r="CA298" i="4" s="1"/>
  <c r="CB296" i="4"/>
  <c r="CC296" i="4" s="1"/>
  <c r="BY296" i="4"/>
  <c r="CA296" i="4" s="1"/>
  <c r="CB208" i="4"/>
  <c r="CC208" i="4" s="1"/>
  <c r="BY208" i="4"/>
  <c r="CA208" i="4" s="1"/>
  <c r="AT273" i="4"/>
  <c r="AU273" i="4" s="1"/>
  <c r="BN273" i="4" s="1"/>
  <c r="BP273" i="4" s="1"/>
  <c r="AW273" i="4"/>
  <c r="AT287" i="4"/>
  <c r="AU287" i="4" s="1"/>
  <c r="BN287" i="4" s="1"/>
  <c r="BP287" i="4" s="1"/>
  <c r="AW287" i="4"/>
  <c r="CB256" i="4"/>
  <c r="CC256" i="4" s="1"/>
  <c r="BY256" i="4"/>
  <c r="CA256" i="4" s="1"/>
  <c r="AT209" i="4"/>
  <c r="AU209" i="4" s="1"/>
  <c r="BN209" i="4" s="1"/>
  <c r="BP209" i="4" s="1"/>
  <c r="AW209" i="4"/>
  <c r="CB316" i="4"/>
  <c r="CC316" i="4" s="1"/>
  <c r="BY316" i="4"/>
  <c r="CA316" i="4" s="1"/>
  <c r="CB260" i="4"/>
  <c r="CC260" i="4" s="1"/>
  <c r="BY260" i="4"/>
  <c r="CA260" i="4" s="1"/>
  <c r="AT239" i="4"/>
  <c r="AU239" i="4" s="1"/>
  <c r="BN239" i="4" s="1"/>
  <c r="BP239" i="4" s="1"/>
  <c r="AW239" i="4"/>
  <c r="CB186" i="4"/>
  <c r="CC186" i="4" s="1"/>
  <c r="BY186" i="4"/>
  <c r="CA186" i="4" s="1"/>
  <c r="CB212" i="4"/>
  <c r="CC212" i="4" s="1"/>
  <c r="BY212" i="4"/>
  <c r="CA212" i="4" s="1"/>
  <c r="BY54" i="4"/>
  <c r="CA54" i="4" s="1"/>
  <c r="CB54" i="4"/>
  <c r="CC54" i="4" s="1"/>
  <c r="CB152" i="4"/>
  <c r="CC152" i="4" s="1"/>
  <c r="BY152" i="4"/>
  <c r="CA152" i="4" s="1"/>
  <c r="BY146" i="4"/>
  <c r="CA146" i="4" s="1"/>
  <c r="CB146" i="4"/>
  <c r="CC146" i="4" s="1"/>
  <c r="BY26" i="4"/>
  <c r="CA26" i="4" s="1"/>
  <c r="CB26" i="4"/>
  <c r="CC26" i="4" s="1"/>
  <c r="CB133" i="4"/>
  <c r="CC133" i="4" s="1"/>
  <c r="BY133" i="4"/>
  <c r="CA133" i="4" s="1"/>
  <c r="BY98" i="4"/>
  <c r="CA98" i="4" s="1"/>
  <c r="CB98" i="4"/>
  <c r="CC98" i="4" s="1"/>
  <c r="CB142" i="4"/>
  <c r="CC142" i="4" s="1"/>
  <c r="BY142" i="4"/>
  <c r="CA142" i="4" s="1"/>
  <c r="BY28" i="4"/>
  <c r="CA28" i="4" s="1"/>
  <c r="CB28" i="4"/>
  <c r="CC28" i="4" s="1"/>
  <c r="BY61" i="4"/>
  <c r="CA61" i="4" s="1"/>
  <c r="CB61" i="4"/>
  <c r="CC61" i="4" s="1"/>
  <c r="BY139" i="4"/>
  <c r="CA139" i="4" s="1"/>
  <c r="CB139" i="4"/>
  <c r="CC139" i="4" s="1"/>
  <c r="BY111" i="4"/>
  <c r="CA111" i="4" s="1"/>
  <c r="CB111" i="4"/>
  <c r="CC111" i="4" s="1"/>
  <c r="BY39" i="4"/>
  <c r="CA39" i="4" s="1"/>
  <c r="BY104" i="4"/>
  <c r="CA104" i="4" s="1"/>
  <c r="CB35" i="4"/>
  <c r="CC35" i="4" s="1"/>
  <c r="BY53" i="4"/>
  <c r="CA53" i="4" s="1"/>
  <c r="CB53" i="4"/>
  <c r="CC53" i="4" s="1"/>
  <c r="BY22" i="4"/>
  <c r="CA22" i="4" s="1"/>
  <c r="CB22" i="4"/>
  <c r="CC22" i="4" s="1"/>
  <c r="BY114" i="4"/>
  <c r="CA114" i="4" s="1"/>
  <c r="CB114" i="4"/>
  <c r="CC114" i="4" s="1"/>
  <c r="BY132" i="4"/>
  <c r="CA132" i="4" s="1"/>
  <c r="CB132" i="4"/>
  <c r="CC132" i="4" s="1"/>
  <c r="BY157" i="4"/>
  <c r="CA157" i="4" s="1"/>
  <c r="CB157" i="4"/>
  <c r="CC157" i="4" s="1"/>
  <c r="BY11" i="4"/>
  <c r="CA11" i="4" s="1"/>
  <c r="CB11" i="4"/>
  <c r="CC11" i="4" s="1"/>
  <c r="CB109" i="4"/>
  <c r="CC109" i="4" s="1"/>
  <c r="BY109" i="4"/>
  <c r="CA109" i="4" s="1"/>
  <c r="CB83" i="4"/>
  <c r="CC83" i="4" s="1"/>
  <c r="BY83" i="4"/>
  <c r="CA83" i="4" s="1"/>
  <c r="CB71" i="4"/>
  <c r="CC71" i="4" s="1"/>
  <c r="BY71" i="4"/>
  <c r="CA71" i="4" s="1"/>
  <c r="BY32" i="4"/>
  <c r="CA32" i="4" s="1"/>
  <c r="CB32" i="4"/>
  <c r="CC32" i="4" s="1"/>
  <c r="BY59" i="4"/>
  <c r="CA59" i="4" s="1"/>
  <c r="CB59" i="4"/>
  <c r="CC59" i="4" s="1"/>
  <c r="BY148" i="4"/>
  <c r="CA148" i="4" s="1"/>
  <c r="CB148" i="4"/>
  <c r="CC148" i="4" s="1"/>
  <c r="BY21" i="4"/>
  <c r="CA21" i="4" s="1"/>
  <c r="CB21" i="4"/>
  <c r="CC21" i="4" s="1"/>
  <c r="BY20" i="4"/>
  <c r="CA20" i="4" s="1"/>
  <c r="CB20" i="4"/>
  <c r="CC20" i="4" s="1"/>
  <c r="BY93" i="4"/>
  <c r="CA93" i="4" s="1"/>
  <c r="CB93" i="4"/>
  <c r="CC93" i="4" s="1"/>
  <c r="BY23" i="4"/>
  <c r="CA23" i="4" s="1"/>
  <c r="CB23" i="4"/>
  <c r="CC23" i="4" s="1"/>
  <c r="CB31" i="4"/>
  <c r="CC31" i="4" s="1"/>
  <c r="BY31" i="4"/>
  <c r="CA31" i="4" s="1"/>
  <c r="CB85" i="4"/>
  <c r="CC85" i="4" s="1"/>
  <c r="BY85" i="4"/>
  <c r="CA85" i="4" s="1"/>
  <c r="CB96" i="4"/>
  <c r="CC96" i="4" s="1"/>
  <c r="BY96" i="4"/>
  <c r="CA96" i="4" s="1"/>
  <c r="BY125" i="4"/>
  <c r="CA125" i="4" s="1"/>
  <c r="CB125" i="4"/>
  <c r="CC125" i="4" s="1"/>
  <c r="CB91" i="4"/>
  <c r="CC91" i="4" s="1"/>
  <c r="BY91" i="4"/>
  <c r="CA91" i="4" s="1"/>
  <c r="CB41" i="4"/>
  <c r="CC41" i="4" s="1"/>
  <c r="BY41" i="4"/>
  <c r="CA41" i="4" s="1"/>
  <c r="CB33" i="4"/>
  <c r="CC33" i="4" s="1"/>
  <c r="BY33" i="4"/>
  <c r="CA33" i="4" s="1"/>
  <c r="CB95" i="4"/>
  <c r="CC95" i="4" s="1"/>
  <c r="BY95" i="4"/>
  <c r="CA95" i="4" s="1"/>
  <c r="BY63" i="4"/>
  <c r="CA63" i="4" s="1"/>
  <c r="CB63" i="4"/>
  <c r="CC63" i="4" s="1"/>
  <c r="CB75" i="4"/>
  <c r="CC75" i="4" s="1"/>
  <c r="BY75" i="4"/>
  <c r="CA75" i="4" s="1"/>
  <c r="BY94" i="4"/>
  <c r="CA94" i="4" s="1"/>
  <c r="CB94" i="4"/>
  <c r="CC94" i="4" s="1"/>
  <c r="BY106" i="4"/>
  <c r="CA106" i="4" s="1"/>
  <c r="CB106" i="4"/>
  <c r="CC106" i="4" s="1"/>
  <c r="CB88" i="4"/>
  <c r="CC88" i="4" s="1"/>
  <c r="BY88" i="4"/>
  <c r="CA88" i="4" s="1"/>
  <c r="BY140" i="4"/>
  <c r="CA140" i="4" s="1"/>
  <c r="CB140" i="4"/>
  <c r="CC140" i="4" s="1"/>
  <c r="BY115" i="4"/>
  <c r="CA115" i="4" s="1"/>
  <c r="CB115" i="4"/>
  <c r="CC115" i="4" s="1"/>
  <c r="BN87" i="4"/>
  <c r="BP87" i="4" s="1"/>
  <c r="CB87" i="4" s="1"/>
  <c r="CC87" i="4" s="1"/>
  <c r="BN155" i="4"/>
  <c r="BP155" i="4" s="1"/>
  <c r="BN90" i="4"/>
  <c r="BP90" i="4" s="1"/>
  <c r="BN55" i="4"/>
  <c r="BP55" i="4" s="1"/>
  <c r="BN74" i="4"/>
  <c r="BP74" i="4" s="1"/>
  <c r="CB74" i="4" s="1"/>
  <c r="CC74" i="4" s="1"/>
  <c r="BN135" i="4"/>
  <c r="BP135" i="4" s="1"/>
  <c r="BN128" i="4"/>
  <c r="BP128" i="4" s="1"/>
  <c r="BN56" i="4"/>
  <c r="BP56" i="4" s="1"/>
  <c r="BN62" i="4"/>
  <c r="BP62" i="4" s="1"/>
  <c r="BN150" i="4"/>
  <c r="BP150" i="4" s="1"/>
  <c r="BN103" i="4"/>
  <c r="BP103" i="4" s="1"/>
  <c r="CB110" i="4"/>
  <c r="CC110" i="4" s="1"/>
  <c r="BN69" i="4"/>
  <c r="BP69" i="4" s="1"/>
  <c r="BN43" i="4"/>
  <c r="BP43" i="4" s="1"/>
  <c r="BY43" i="4" s="1"/>
  <c r="CA43" i="4" s="1"/>
  <c r="BN77" i="4"/>
  <c r="BP77" i="4" s="1"/>
  <c r="BN84" i="4"/>
  <c r="BP84" i="4" s="1"/>
  <c r="BN102" i="4"/>
  <c r="BP102" i="4" s="1"/>
  <c r="BN112" i="4"/>
  <c r="BP112" i="4" s="1"/>
  <c r="BN38" i="4"/>
  <c r="BP38" i="4" s="1"/>
  <c r="CB127" i="4"/>
  <c r="CC127" i="4" s="1"/>
  <c r="BN134" i="4"/>
  <c r="BP134" i="4" s="1"/>
  <c r="BY46" i="4"/>
  <c r="CA46" i="4" s="1"/>
  <c r="BN60" i="4"/>
  <c r="BP60" i="4" s="1"/>
  <c r="BN78" i="4"/>
  <c r="BP78" i="4" s="1"/>
  <c r="BN50" i="4"/>
  <c r="BP50" i="4" s="1"/>
  <c r="CB42" i="4"/>
  <c r="CC42" i="4" s="1"/>
  <c r="BN34" i="4"/>
  <c r="BP34" i="4" s="1"/>
  <c r="BY34" i="4" s="1"/>
  <c r="CA34" i="4" s="1"/>
  <c r="BN52" i="4"/>
  <c r="BP52" i="4" s="1"/>
  <c r="BN156" i="4"/>
  <c r="BP156" i="4" s="1"/>
  <c r="BN129" i="4"/>
  <c r="BP129" i="4" s="1"/>
  <c r="CB129" i="4" s="1"/>
  <c r="CC129" i="4" s="1"/>
  <c r="BN113" i="4"/>
  <c r="BP113" i="4" s="1"/>
  <c r="BY113" i="4" s="1"/>
  <c r="CA113" i="4" s="1"/>
  <c r="BN116" i="4"/>
  <c r="BP116" i="4" s="1"/>
  <c r="BN30" i="4"/>
  <c r="BP30" i="4" s="1"/>
  <c r="BN118" i="4"/>
  <c r="BP118" i="4" s="1"/>
  <c r="BY118" i="4" s="1"/>
  <c r="CA118" i="4" s="1"/>
  <c r="BN141" i="4"/>
  <c r="BP141" i="4" s="1"/>
  <c r="BY141" i="4" s="1"/>
  <c r="CA141" i="4" s="1"/>
  <c r="BN130" i="4"/>
  <c r="BP130" i="4" s="1"/>
  <c r="AW77" i="4"/>
  <c r="AW116" i="4"/>
  <c r="AW155" i="4"/>
  <c r="AW128" i="4"/>
  <c r="AW87" i="4"/>
  <c r="AW49" i="4"/>
  <c r="AT49" i="4"/>
  <c r="AU49" i="4" s="1"/>
  <c r="AW40" i="4"/>
  <c r="AT40" i="4"/>
  <c r="AU40" i="4" s="1"/>
  <c r="AW58" i="4"/>
  <c r="AT58" i="4"/>
  <c r="AU58" i="4" s="1"/>
  <c r="AW73" i="4"/>
  <c r="AT73" i="4"/>
  <c r="AU73" i="4" s="1"/>
  <c r="AW149" i="4"/>
  <c r="AT149" i="4"/>
  <c r="AU149" i="4" s="1"/>
  <c r="AW100" i="4"/>
  <c r="AT100" i="4"/>
  <c r="AU100" i="4" s="1"/>
  <c r="AW79" i="4"/>
  <c r="AT79" i="4"/>
  <c r="AU79" i="4" s="1"/>
  <c r="AW131" i="4"/>
  <c r="AT131" i="4"/>
  <c r="AU131" i="4" s="1"/>
  <c r="AW44" i="4"/>
  <c r="AT44" i="4"/>
  <c r="AU44" i="4" s="1"/>
  <c r="AW30" i="4"/>
  <c r="AW68" i="4"/>
  <c r="AT68" i="4"/>
  <c r="AU68" i="4" s="1"/>
  <c r="AW135" i="4"/>
  <c r="AW16" i="4"/>
  <c r="AT16" i="4"/>
  <c r="AU16" i="4" s="1"/>
  <c r="AW80" i="4"/>
  <c r="AT80" i="4"/>
  <c r="AU80" i="4" s="1"/>
  <c r="BY158" i="4" l="1"/>
  <c r="CA158" i="4" s="1"/>
  <c r="BY244" i="4"/>
  <c r="CA244" i="4" s="1"/>
  <c r="CB287" i="4"/>
  <c r="CC287" i="4" s="1"/>
  <c r="BY287" i="4"/>
  <c r="CA287" i="4" s="1"/>
  <c r="CB273" i="4"/>
  <c r="CC273" i="4" s="1"/>
  <c r="BY273" i="4"/>
  <c r="CA273" i="4" s="1"/>
  <c r="CB180" i="4"/>
  <c r="CC180" i="4" s="1"/>
  <c r="BY180" i="4"/>
  <c r="CA180" i="4" s="1"/>
  <c r="CB209" i="4"/>
  <c r="CC209" i="4" s="1"/>
  <c r="BY209" i="4"/>
  <c r="CA209" i="4" s="1"/>
  <c r="CB294" i="4"/>
  <c r="CC294" i="4" s="1"/>
  <c r="BY294" i="4"/>
  <c r="CA294" i="4" s="1"/>
  <c r="CB239" i="4"/>
  <c r="CC239" i="4" s="1"/>
  <c r="BY239" i="4"/>
  <c r="CA239" i="4" s="1"/>
  <c r="CB197" i="4"/>
  <c r="CC197" i="4" s="1"/>
  <c r="BY197" i="4"/>
  <c r="CA197" i="4" s="1"/>
  <c r="CB207" i="4"/>
  <c r="CC207" i="4" s="1"/>
  <c r="BY207" i="4"/>
  <c r="CA207" i="4" s="1"/>
  <c r="CB199" i="4"/>
  <c r="CC199" i="4" s="1"/>
  <c r="BY199" i="4"/>
  <c r="CA199" i="4" s="1"/>
  <c r="BY60" i="4"/>
  <c r="CA60" i="4" s="1"/>
  <c r="CB60" i="4"/>
  <c r="CC60" i="4" s="1"/>
  <c r="CB134" i="4"/>
  <c r="CC134" i="4" s="1"/>
  <c r="BY134" i="4"/>
  <c r="CA134" i="4" s="1"/>
  <c r="CB112" i="4"/>
  <c r="CC112" i="4" s="1"/>
  <c r="BY112" i="4"/>
  <c r="CA112" i="4" s="1"/>
  <c r="BY62" i="4"/>
  <c r="CA62" i="4" s="1"/>
  <c r="CB62" i="4"/>
  <c r="CC62" i="4" s="1"/>
  <c r="CB43" i="4"/>
  <c r="CC43" i="4" s="1"/>
  <c r="CB118" i="4"/>
  <c r="CC118" i="4" s="1"/>
  <c r="BY56" i="4"/>
  <c r="CA56" i="4" s="1"/>
  <c r="CB56" i="4"/>
  <c r="CC56" i="4" s="1"/>
  <c r="CB128" i="4"/>
  <c r="CC128" i="4" s="1"/>
  <c r="BY128" i="4"/>
  <c r="CA128" i="4" s="1"/>
  <c r="CB50" i="4"/>
  <c r="CC50" i="4" s="1"/>
  <c r="BY50" i="4"/>
  <c r="CA50" i="4" s="1"/>
  <c r="BY78" i="4"/>
  <c r="CA78" i="4" s="1"/>
  <c r="CB78" i="4"/>
  <c r="CC78" i="4" s="1"/>
  <c r="BY38" i="4"/>
  <c r="CA38" i="4" s="1"/>
  <c r="CB38" i="4"/>
  <c r="CC38" i="4" s="1"/>
  <c r="BY103" i="4"/>
  <c r="CA103" i="4" s="1"/>
  <c r="CB103" i="4"/>
  <c r="CC103" i="4" s="1"/>
  <c r="CB156" i="4"/>
  <c r="CC156" i="4" s="1"/>
  <c r="BY156" i="4"/>
  <c r="CA156" i="4" s="1"/>
  <c r="BY102" i="4"/>
  <c r="CA102" i="4" s="1"/>
  <c r="CB102" i="4"/>
  <c r="CC102" i="4" s="1"/>
  <c r="CB150" i="4"/>
  <c r="CC150" i="4" s="1"/>
  <c r="BY150" i="4"/>
  <c r="CA150" i="4" s="1"/>
  <c r="BY55" i="4"/>
  <c r="CA55" i="4" s="1"/>
  <c r="CB55" i="4"/>
  <c r="CC55" i="4" s="1"/>
  <c r="BY116" i="4"/>
  <c r="CA116" i="4" s="1"/>
  <c r="CB116" i="4"/>
  <c r="CC116" i="4" s="1"/>
  <c r="CB130" i="4"/>
  <c r="CC130" i="4" s="1"/>
  <c r="BY130" i="4"/>
  <c r="CA130" i="4" s="1"/>
  <c r="BY69" i="4"/>
  <c r="CA69" i="4" s="1"/>
  <c r="CB69" i="4"/>
  <c r="CC69" i="4" s="1"/>
  <c r="CB52" i="4"/>
  <c r="CC52" i="4" s="1"/>
  <c r="BY52" i="4"/>
  <c r="CA52" i="4" s="1"/>
  <c r="CB84" i="4"/>
  <c r="CC84" i="4" s="1"/>
  <c r="BY84" i="4"/>
  <c r="CA84" i="4" s="1"/>
  <c r="BY90" i="4"/>
  <c r="CA90" i="4" s="1"/>
  <c r="CB90" i="4"/>
  <c r="CC90" i="4" s="1"/>
  <c r="CB135" i="4"/>
  <c r="CC135" i="4" s="1"/>
  <c r="BY135" i="4"/>
  <c r="CA135" i="4" s="1"/>
  <c r="CB30" i="4"/>
  <c r="CC30" i="4" s="1"/>
  <c r="BY30" i="4"/>
  <c r="CA30" i="4" s="1"/>
  <c r="CB77" i="4"/>
  <c r="CC77" i="4" s="1"/>
  <c r="BY77" i="4"/>
  <c r="CA77" i="4" s="1"/>
  <c r="CB155" i="4"/>
  <c r="CC155" i="4" s="1"/>
  <c r="BY155" i="4"/>
  <c r="CA155" i="4" s="1"/>
  <c r="CB141" i="4"/>
  <c r="CC141" i="4" s="1"/>
  <c r="BY74" i="4"/>
  <c r="CA74" i="4" s="1"/>
  <c r="BY129" i="4"/>
  <c r="CA129" i="4" s="1"/>
  <c r="BN131" i="4"/>
  <c r="BP131" i="4" s="1"/>
  <c r="BN73" i="4"/>
  <c r="BP73" i="4" s="1"/>
  <c r="CB34" i="4"/>
  <c r="CC34" i="4" s="1"/>
  <c r="BY87" i="4"/>
  <c r="CA87" i="4" s="1"/>
  <c r="BN58" i="4"/>
  <c r="BP58" i="4" s="1"/>
  <c r="BN68" i="4"/>
  <c r="BP68" i="4" s="1"/>
  <c r="CB113" i="4"/>
  <c r="CC113" i="4" s="1"/>
  <c r="BN79" i="4"/>
  <c r="BP79" i="4" s="1"/>
  <c r="BY79" i="4" s="1"/>
  <c r="CA79" i="4" s="1"/>
  <c r="BN100" i="4"/>
  <c r="BP100" i="4" s="1"/>
  <c r="BY100" i="4" s="1"/>
  <c r="CA100" i="4" s="1"/>
  <c r="BN16" i="4"/>
  <c r="BP16" i="4" s="1"/>
  <c r="BN40" i="4"/>
  <c r="BP40" i="4" s="1"/>
  <c r="BY40" i="4" s="1"/>
  <c r="CA40" i="4" s="1"/>
  <c r="BN80" i="4"/>
  <c r="BP80" i="4" s="1"/>
  <c r="CB80" i="4" s="1"/>
  <c r="CC80" i="4" s="1"/>
  <c r="BN44" i="4"/>
  <c r="BP44" i="4" s="1"/>
  <c r="BN149" i="4"/>
  <c r="BP149" i="4" s="1"/>
  <c r="BN49" i="4"/>
  <c r="BP49" i="4" s="1"/>
  <c r="CB100" i="4" l="1"/>
  <c r="CC100" i="4" s="1"/>
  <c r="CB44" i="4"/>
  <c r="CC44" i="4" s="1"/>
  <c r="BY44" i="4"/>
  <c r="CA44" i="4" s="1"/>
  <c r="BY49" i="4"/>
  <c r="CA49" i="4" s="1"/>
  <c r="CB49" i="4"/>
  <c r="CC49" i="4" s="1"/>
  <c r="BY58" i="4"/>
  <c r="CA58" i="4" s="1"/>
  <c r="CB58" i="4"/>
  <c r="CC58" i="4" s="1"/>
  <c r="BY149" i="4"/>
  <c r="CA149" i="4" s="1"/>
  <c r="CB149" i="4"/>
  <c r="CC149" i="4" s="1"/>
  <c r="BY131" i="4"/>
  <c r="CA131" i="4" s="1"/>
  <c r="CB131" i="4"/>
  <c r="CC131" i="4" s="1"/>
  <c r="BY73" i="4"/>
  <c r="CA73" i="4" s="1"/>
  <c r="CB73" i="4"/>
  <c r="CC73" i="4" s="1"/>
  <c r="BY16" i="4"/>
  <c r="CA16" i="4" s="1"/>
  <c r="CB16" i="4"/>
  <c r="CC16" i="4" s="1"/>
  <c r="BY68" i="4"/>
  <c r="CA68" i="4" s="1"/>
  <c r="CB68" i="4"/>
  <c r="CC68" i="4" s="1"/>
  <c r="CB79" i="4"/>
  <c r="CC79" i="4" s="1"/>
  <c r="BY80" i="4"/>
  <c r="CA80" i="4" s="1"/>
  <c r="CB40" i="4"/>
  <c r="CC40"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Cai, Yinsong</author>
  </authors>
  <commentList>
    <comment ref="A3" authorId="0" shapeId="0" xr:uid="{00000000-0006-0000-0000-000001000000}">
      <text>
        <r>
          <rPr>
            <b/>
            <sz val="11"/>
            <color indexed="10"/>
            <rFont val="Tahoma"/>
            <family val="2"/>
          </rPr>
          <t>Welcome to the LM5157/58 Design Tool</t>
        </r>
        <r>
          <rPr>
            <sz val="9"/>
            <color indexed="81"/>
            <rFont val="Tahoma"/>
            <family val="2"/>
          </rPr>
          <t xml:space="preserve">
This stand-alone tool facilitates and assists the power supply engineer with design of a DC-DC boost converter based on the LM5157/58 boost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G7" authorId="0" shapeId="0" xr:uid="{00000000-0006-0000-0000-000003000000}">
      <text>
        <r>
          <rPr>
            <b/>
            <sz val="9"/>
            <color indexed="81"/>
            <rFont val="Tahoma"/>
            <family val="2"/>
          </rPr>
          <t xml:space="preserve">Minimum Input Voltage:
</t>
        </r>
        <r>
          <rPr>
            <sz val="9"/>
            <color indexed="81"/>
            <rFont val="Tahoma"/>
            <family val="2"/>
          </rPr>
          <t>Enter the minimum operating input voltage.
The LM5157/LM51571 BIAS pin voltage operating range is 2.9V to 45V.
The LM5158/LM51581 BIAS pin voltage operating range is 3.2V to 60V.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the maximum rating of the selected device
   For LM5157 and LM51571, the input max is 45V
   For LM5158 and LM51581, the input max is 60V
-The input voltage is below 1.5V</t>
        </r>
      </text>
    </comment>
    <comment ref="G8" authorId="0" shapeId="0" xr:uid="{00000000-0006-0000-0000-000004000000}">
      <text>
        <r>
          <rPr>
            <b/>
            <sz val="9"/>
            <color indexed="81"/>
            <rFont val="Tahoma"/>
            <family val="2"/>
          </rPr>
          <t xml:space="preserve">Nominal Input Voltage:
</t>
        </r>
        <r>
          <rPr>
            <sz val="9"/>
            <color indexed="81"/>
            <rFont val="Tahoma"/>
            <family val="2"/>
          </rPr>
          <t>Enter the nominal operating input voltage.
The LM5157/LM51571 BIAS pin voltage operating range is 1.5V to 45V.
The LM5158/LM51581 BIAS pin voltage operating range is 1.5V to 60V.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shapeId="0" xr:uid="{00000000-0006-0000-0000-000005000000}">
      <text>
        <r>
          <rPr>
            <b/>
            <sz val="9"/>
            <color indexed="81"/>
            <rFont val="Tahoma"/>
            <family val="2"/>
          </rPr>
          <t>Maximum Input Voltage:</t>
        </r>
        <r>
          <rPr>
            <sz val="9"/>
            <color indexed="81"/>
            <rFont val="Tahoma"/>
            <family val="2"/>
          </rPr>
          <t xml:space="preserve">
Enter the maximum operating input voltage.
The LM5157/LM51571 BIAS pin voltage operating range is 2.9V to 45V.
The LM5158/LM51581 BIAS pin voltage operating range is 3.2V to 60V.
</t>
        </r>
        <r>
          <rPr>
            <b/>
            <sz val="9"/>
            <color indexed="10"/>
            <rFont val="Tahoma"/>
            <family val="2"/>
          </rPr>
          <t xml:space="preserve">
The text in the cell is flagged red if:</t>
        </r>
        <r>
          <rPr>
            <sz val="9"/>
            <color indexed="81"/>
            <rFont val="Tahoma"/>
            <family val="2"/>
          </rPr>
          <t xml:space="preserve">
-The input voltage is above the maximum rating of the selected device
   For LM5157 and LM51571, the input max is 45V
   For LM5158 and LM51581, the input max is 60V
-The input voltage is below 1.5V</t>
        </r>
      </text>
    </comment>
    <comment ref="G10" authorId="0" shapeId="0" xr:uid="{00000000-0006-0000-0000-000006000000}">
      <text>
        <r>
          <rPr>
            <b/>
            <sz val="9"/>
            <color indexed="81"/>
            <rFont val="Tahoma"/>
            <family val="2"/>
          </rPr>
          <t>Output Voltage:</t>
        </r>
        <r>
          <rPr>
            <sz val="9"/>
            <color indexed="81"/>
            <rFont val="Tahoma"/>
            <family val="2"/>
          </rPr>
          <t xml:space="preserve">
Enter the desired output voltage.
For LM5157 and LM51571, the output max is 48V
For LM5158 and LM51581, the output max is 85V
</t>
        </r>
        <r>
          <rPr>
            <b/>
            <sz val="9"/>
            <color indexed="10"/>
            <rFont val="Tahoma"/>
            <family val="2"/>
          </rPr>
          <t xml:space="preserve">
The text in the cell is flagged red if:</t>
        </r>
        <r>
          <rPr>
            <sz val="9"/>
            <color indexed="81"/>
            <rFont val="Tahoma"/>
            <family val="2"/>
          </rPr>
          <t xml:space="preserve">
-The output voltage is below maximum input voltage
-The output voltage is above the maximum rating of the selected device</t>
        </r>
      </text>
    </comment>
    <comment ref="G12" authorId="0" shapeId="0" xr:uid="{00000000-0006-0000-0000-000007000000}">
      <text>
        <r>
          <rPr>
            <b/>
            <sz val="9"/>
            <color indexed="81"/>
            <rFont val="Tahoma"/>
            <family val="2"/>
          </rPr>
          <t>Operating Frequency (set by RT):</t>
        </r>
        <r>
          <rPr>
            <sz val="9"/>
            <color indexed="81"/>
            <rFont val="Tahoma"/>
            <family val="2"/>
          </rPr>
          <t xml:space="preserve">
This cell defines the free-running switching frequency set by the RT resistor. 
</t>
        </r>
        <r>
          <rPr>
            <sz val="11"/>
            <color indexed="10"/>
            <rFont val="Calibri"/>
            <family val="2"/>
            <scheme val="minor"/>
          </rPr>
          <t>The text in the cell is flagged red if:</t>
        </r>
        <r>
          <rPr>
            <sz val="9"/>
            <color indexed="81"/>
            <rFont val="Tahoma"/>
            <family val="2"/>
          </rPr>
          <t xml:space="preserve">
-The frequency is below 100 kHz
-The frequency is above 2.2 MHz</t>
        </r>
      </text>
    </comment>
    <comment ref="G14" authorId="0" shapeId="0" xr:uid="{00000000-0006-0000-0000-000008000000}">
      <text>
        <r>
          <rPr>
            <b/>
            <sz val="9"/>
            <color indexed="81"/>
            <rFont val="Tahoma"/>
            <family val="2"/>
          </rPr>
          <t xml:space="preserve">Estimated Efficiency
</t>
        </r>
        <r>
          <rPr>
            <sz val="9"/>
            <color indexed="81"/>
            <rFont val="Tahoma"/>
            <family val="2"/>
          </rPr>
          <t>A good estimate at full load current and Vsupply(min) is around the 85% to 95% range</t>
        </r>
      </text>
    </comment>
    <comment ref="G16" authorId="0" shapeId="0" xr:uid="{00000000-0006-0000-0000-000009000000}">
      <text>
        <r>
          <rPr>
            <b/>
            <sz val="9"/>
            <color indexed="81"/>
            <rFont val="Tahoma"/>
            <family val="2"/>
          </rPr>
          <t xml:space="preserve">Maximum duty cycle
</t>
        </r>
        <r>
          <rPr>
            <sz val="9"/>
            <color indexed="81"/>
            <rFont val="Tahoma"/>
            <family val="2"/>
          </rPr>
          <t xml:space="preserve">Limit of the LM5157x/LM5158x. See the datasheet for more detail on how the maximum duty cycle changes with switching frequency
</t>
        </r>
      </text>
    </comment>
    <comment ref="G20" authorId="0" shapeId="0" xr:uid="{00000000-0006-0000-0000-00000A00000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t>
        </r>
      </text>
    </comment>
    <comment ref="G22" authorId="0" shapeId="0" xr:uid="{00000000-0006-0000-0000-00000B000000}">
      <text>
        <r>
          <rPr>
            <b/>
            <sz val="9"/>
            <color indexed="81"/>
            <rFont val="Tahoma"/>
            <family val="2"/>
          </rPr>
          <t xml:space="preserve">Filter Inductance:
</t>
        </r>
        <r>
          <rPr>
            <sz val="9"/>
            <color indexed="81"/>
            <rFont val="Tahoma"/>
            <family val="2"/>
          </rPr>
          <t xml:space="preserve">Enter the filter inductance here.
</t>
        </r>
      </text>
    </comment>
    <comment ref="G23" authorId="0" shapeId="0" xr:uid="{00000000-0006-0000-0000-00000C000000}">
      <text>
        <r>
          <rPr>
            <b/>
            <sz val="9"/>
            <color indexed="81"/>
            <rFont val="Tahoma"/>
            <family val="2"/>
          </rPr>
          <t xml:space="preserve">Inductor DCR:
</t>
        </r>
        <r>
          <rPr>
            <sz val="9"/>
            <color indexed="81"/>
            <rFont val="Tahoma"/>
            <family val="2"/>
          </rPr>
          <t xml:space="preserve">Enter the inductor DC resistance here. This is typically specified in the inductor datasheet at 25°C copper temperature.
</t>
        </r>
      </text>
    </comment>
    <comment ref="G24" authorId="0" shapeId="0" xr:uid="{00000000-0006-0000-0000-00000D000000}">
      <text>
        <r>
          <rPr>
            <b/>
            <sz val="9"/>
            <color indexed="81"/>
            <rFont val="Tahoma"/>
            <family val="2"/>
          </rPr>
          <t>Peak Inductor Current</t>
        </r>
        <r>
          <rPr>
            <sz val="9"/>
            <color indexed="81"/>
            <rFont val="Tahoma"/>
            <family val="2"/>
          </rPr>
          <t xml:space="preserve">
Maximum peak inductor current during normal operation.  This is also the peak MOSFET current in Boost.
Internal MOSFET current limit for LM51581 is 1.5A.
Internal MOSFET current limit for LM5187 is 3A.
Internal MOSFET current limit for LM51571 is 4.33A.
Internal MOSFET current limit for LM5157 is 6.5A.
The recommendation is based on 15% peak current limit margin.
</t>
        </r>
        <r>
          <rPr>
            <b/>
            <sz val="9"/>
            <color indexed="10"/>
            <rFont val="Tahoma"/>
            <family val="2"/>
          </rPr>
          <t>The text in the cell is flagged red if:</t>
        </r>
        <r>
          <rPr>
            <sz val="9"/>
            <color indexed="81"/>
            <rFont val="Tahoma"/>
            <family val="2"/>
          </rPr>
          <t xml:space="preserve">
- The peak current is above 6.5A.</t>
        </r>
      </text>
    </comment>
    <comment ref="G27" authorId="1" shapeId="0" xr:uid="{00000000-0006-0000-0000-00000E000000}">
      <text>
        <r>
          <rPr>
            <b/>
            <sz val="9"/>
            <color indexed="81"/>
            <rFont val="Tahoma"/>
            <family val="2"/>
          </rPr>
          <t>Device Selection</t>
        </r>
        <r>
          <rPr>
            <sz val="9"/>
            <color indexed="81"/>
            <rFont val="Tahoma"/>
            <family val="2"/>
          </rPr>
          <t xml:space="preserve">
Internal MOSFET current limit for LM51571 is 4.33A.
Internal MOSFET current limit for LM5157 is 6.5A.
Internal MOSFET current limit for LM51581 is 1.5A.
Internal MOSFET current limit for LM5158 is 3A.
The recommendation is based on 15% peak current limit margin.</t>
        </r>
        <r>
          <rPr>
            <b/>
            <sz val="9"/>
            <color indexed="81"/>
            <rFont val="Tahoma"/>
            <family val="2"/>
          </rPr>
          <t xml:space="preserve">
</t>
        </r>
        <r>
          <rPr>
            <b/>
            <sz val="9"/>
            <color indexed="10"/>
            <rFont val="Tahoma"/>
            <family val="2"/>
          </rPr>
          <t>The text in the cell is flagged red with "No Device" if:</t>
        </r>
        <r>
          <rPr>
            <sz val="9"/>
            <color indexed="81"/>
            <rFont val="Tahoma"/>
            <family val="2"/>
          </rPr>
          <t xml:space="preserve">
- The peak current is above the limit.
- The max input or output voltage is above the limit.
</t>
        </r>
      </text>
    </comment>
    <comment ref="G28" authorId="1" shapeId="0" xr:uid="{00000000-0006-0000-0000-00000F000000}">
      <text>
        <r>
          <rPr>
            <b/>
            <sz val="9"/>
            <color indexed="81"/>
            <rFont val="Tahoma"/>
            <family val="2"/>
          </rPr>
          <t xml:space="preserve">User Select Device:
</t>
        </r>
        <r>
          <rPr>
            <sz val="9"/>
            <color indexed="81"/>
            <rFont val="Tahoma"/>
            <family val="2"/>
          </rPr>
          <t xml:space="preserve">Select the device here
</t>
        </r>
      </text>
    </comment>
    <comment ref="G29" authorId="0" shapeId="0" xr:uid="{00000000-0006-0000-0000-000010000000}">
      <text>
        <r>
          <rPr>
            <b/>
            <sz val="9"/>
            <color indexed="81"/>
            <rFont val="Tahoma"/>
            <family val="2"/>
          </rPr>
          <t>Peak Current Limit Margin</t>
        </r>
        <r>
          <rPr>
            <sz val="9"/>
            <color indexed="81"/>
            <rFont val="Tahoma"/>
            <family val="2"/>
          </rPr>
          <t xml:space="preserve">
Margin above the calculated peak inductor current. Margin must be given to allow for load transients and component tolerances.
</t>
        </r>
        <r>
          <rPr>
            <b/>
            <sz val="9"/>
            <color indexed="10"/>
            <rFont val="Tahoma"/>
            <family val="2"/>
          </rPr>
          <t xml:space="preserve">
The text in the cell is flagged red if:</t>
        </r>
        <r>
          <rPr>
            <sz val="9"/>
            <color indexed="81"/>
            <rFont val="Tahoma"/>
            <family val="2"/>
          </rPr>
          <t xml:space="preserve">
- The margin is below 15%</t>
        </r>
      </text>
    </comment>
    <comment ref="G30" authorId="1" shapeId="0" xr:uid="{00000000-0006-0000-0000-000011000000}">
      <text>
        <r>
          <rPr>
            <b/>
            <sz val="9"/>
            <color indexed="81"/>
            <rFont val="Tahoma"/>
            <family val="2"/>
          </rPr>
          <t xml:space="preserve">Slope Compensation Check
</t>
        </r>
        <r>
          <rPr>
            <sz val="9"/>
            <color indexed="81"/>
            <rFont val="Tahoma"/>
            <family val="2"/>
          </rPr>
          <t xml:space="preserve">
According to peak current mode control theory, the slope of the compensation ramp must be greater than half of the sensed inductor current falling slope to prevent subharmonic oscillation at high duty cycle.</t>
        </r>
        <r>
          <rPr>
            <b/>
            <sz val="9"/>
            <color indexed="81"/>
            <rFont val="Tahoma"/>
            <family val="2"/>
          </rPr>
          <t xml:space="preserve">
</t>
        </r>
        <r>
          <rPr>
            <b/>
            <sz val="9"/>
            <color indexed="10"/>
            <rFont val="Tahoma"/>
            <family val="2"/>
          </rPr>
          <t>The text in the cell is flagged red with "Fail" if:</t>
        </r>
        <r>
          <rPr>
            <b/>
            <sz val="9"/>
            <color indexed="81"/>
            <rFont val="Tahoma"/>
            <family val="2"/>
          </rPr>
          <t xml:space="preserve">
</t>
        </r>
        <r>
          <rPr>
            <sz val="9"/>
            <color indexed="81"/>
            <rFont val="Tahoma"/>
            <family val="2"/>
          </rPr>
          <t>- The slope compensation ramp is smaller than half of the sensed inductor current falling slope. Need to increase the inductor.</t>
        </r>
        <r>
          <rPr>
            <sz val="9"/>
            <color indexed="81"/>
            <rFont val="Tahoma"/>
            <family val="2"/>
          </rPr>
          <t xml:space="preserve">
</t>
        </r>
      </text>
    </comment>
    <comment ref="G52" authorId="0" shapeId="0" xr:uid="{00000000-0006-0000-0000-000012000000}">
      <text>
        <r>
          <rPr>
            <b/>
            <sz val="9"/>
            <color indexed="81"/>
            <rFont val="Tahoma"/>
            <family val="2"/>
          </rPr>
          <t xml:space="preserve">Changes the input voltage value. Allow for evaluation of the control loop ane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K20" authorId="0" shapeId="0" xr:uid="{00000000-0006-0000-0100-000001000000}">
      <text>
        <r>
          <rPr>
            <b/>
            <sz val="9"/>
            <color indexed="81"/>
            <rFont val="Tahoma"/>
            <family val="2"/>
          </rPr>
          <t>Forced off time limit? 
[2 True, 1 False]</t>
        </r>
        <r>
          <rPr>
            <sz val="9"/>
            <color indexed="81"/>
            <rFont val="Tahoma"/>
            <family val="2"/>
          </rPr>
          <t xml:space="preserve">
</t>
        </r>
      </text>
    </comment>
    <comment ref="K81" authorId="0" shapeId="0" xr:uid="{00000000-0006-0000-0100-000002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82" authorId="0" shapeId="0" xr:uid="{00000000-0006-0000-0100-000003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W6" authorId="0" shapeId="0" xr:uid="{00000000-0006-0000-0200-000001000000}">
      <text>
        <r>
          <rPr>
            <b/>
            <sz val="9"/>
            <color indexed="81"/>
            <rFont val="Tahoma"/>
            <family val="2"/>
          </rPr>
          <t xml:space="preserve">1 = DCM operation
2 = CCM operation
</t>
        </r>
      </text>
    </comment>
    <comment ref="BC6" authorId="0" shapeId="0" xr:uid="{00000000-0006-0000-0200-000002000000}">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<sst xmlns="http://schemas.openxmlformats.org/spreadsheetml/2006/main" count="992" uniqueCount="597">
  <si>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</si>
  <si>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</si>
  <si>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</si>
  <si>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</si>
  <si>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</si>
  <si>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</si>
  <si>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</si>
  <si>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</si>
  <si>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</si>
  <si>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</si>
  <si>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Estimated Efficiency</t>
  </si>
  <si>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</si>
  <si>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</si>
  <si>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</si>
  <si>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</si>
  <si>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</si>
  <si>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</si>
  <si>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</si>
  <si>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</si>
  <si>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</si>
  <si>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</si>
  <si>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</si>
  <si>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</si>
  <si>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</si>
  <si>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</si>
  <si>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</si>
  <si>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</si>
  <si>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</si>
  <si>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</si>
  <si>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</si>
  <si>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</si>
  <si>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</si>
  <si>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</si>
  <si>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</si>
  <si>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</si>
  <si>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</si>
  <si>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</si>
  <si>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</si>
  <si>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</si>
  <si>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</si>
  <si>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</si>
  <si>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Estimated efficiency</t>
  </si>
  <si>
    <t>Total output power</t>
  </si>
  <si>
    <t>Minimum load resistance</t>
  </si>
  <si>
    <t>Dc_max_ideal</t>
  </si>
  <si>
    <t>Maximum duty cycle at the minimum input voltage</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</si>
  <si>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</si>
  <si>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</si>
  <si>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</si>
  <si>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</si>
  <si>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</si>
  <si>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</si>
  <si>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</si>
  <si>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</si>
  <si>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</si>
  <si>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</si>
  <si>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</si>
  <si>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</si>
  <si>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</si>
  <si>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</si>
  <si>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</si>
  <si>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</si>
  <si>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</si>
  <si>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</si>
  <si>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</si>
  <si>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</si>
  <si>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</si>
  <si>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</si>
  <si>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</si>
  <si>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</si>
  <si>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</si>
  <si>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</si>
  <si>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</si>
  <si>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Forced off time limit? [2 True, 1 False]</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</si>
  <si>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</si>
  <si>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</si>
  <si>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</si>
  <si>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</si>
  <si>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</si>
  <si>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</si>
  <si>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</si>
  <si>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</si>
  <si>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r>
      <t>Max Inductor DCR, R</t>
    </r>
    <r>
      <rPr>
        <vertAlign val="subscript"/>
        <sz val="10"/>
        <color theme="1"/>
        <rFont val="Calibri"/>
        <family val="2"/>
        <scheme val="minor"/>
      </rPr>
      <t>DCR</t>
    </r>
  </si>
  <si>
    <t>Dc_VIN_min</t>
  </si>
  <si>
    <t>Dc_VIN_nom</t>
  </si>
  <si>
    <t>Dc_VIN_max</t>
  </si>
  <si>
    <t>Duty cycle at the mimum input voltage (CCM)</t>
  </si>
  <si>
    <t>Duty cycle at the nominal input voltage (CCM)</t>
  </si>
  <si>
    <t>Duty cycle at the maximum input voltage (CCM)</t>
  </si>
  <si>
    <t>ton_min</t>
  </si>
  <si>
    <t>Typical Ton minimum value</t>
  </si>
  <si>
    <t>Lcalc_VIN_min</t>
  </si>
  <si>
    <t>Inductor at Minimum input voltage</t>
  </si>
  <si>
    <t>IL_avg_VIN_min</t>
  </si>
  <si>
    <t>IL_avg_VIN_nom</t>
  </si>
  <si>
    <t>IL_avg_VIN_max</t>
  </si>
  <si>
    <t>Average input current at minimum input voltage. 100% Eff assumed</t>
  </si>
  <si>
    <t>Average input current at nominal input voltage. 100% Eff assumed</t>
  </si>
  <si>
    <t>Average input current at maximum input voltage. 100% Eff assumed</t>
  </si>
  <si>
    <t>H</t>
  </si>
  <si>
    <t>ILrip</t>
  </si>
  <si>
    <t>Lopt</t>
  </si>
  <si>
    <t>Optimal inductor. Based off the average</t>
  </si>
  <si>
    <t>Lm</t>
  </si>
  <si>
    <t>Selected filter inductor</t>
  </si>
  <si>
    <t>uH</t>
  </si>
  <si>
    <t>Rdcr</t>
  </si>
  <si>
    <r>
      <t>m</t>
    </r>
    <r>
      <rPr>
        <sz val="11"/>
        <color theme="1"/>
        <rFont val="Calibri"/>
        <family val="2"/>
      </rPr>
      <t>Ω</t>
    </r>
  </si>
  <si>
    <r>
      <t>Peak inductor current, IL</t>
    </r>
    <r>
      <rPr>
        <vertAlign val="subscript"/>
        <sz val="10"/>
        <color theme="1"/>
        <rFont val="Calibri"/>
        <family val="2"/>
        <scheme val="minor"/>
      </rPr>
      <t>PK</t>
    </r>
  </si>
  <si>
    <t>Strategy 1</t>
  </si>
  <si>
    <t>Strategy 2</t>
  </si>
  <si>
    <t>VIN_33</t>
  </si>
  <si>
    <t>IIN_33</t>
  </si>
  <si>
    <t>Lopt_2</t>
  </si>
  <si>
    <t>.</t>
  </si>
  <si>
    <t>ILp_VINmin</t>
  </si>
  <si>
    <t>Peak inductor current at VIN min. Including estimated efficiency</t>
  </si>
  <si>
    <t>ILrip_VINmin</t>
  </si>
  <si>
    <t xml:space="preserve">Inductor ripple current at VIN min. </t>
  </si>
  <si>
    <t>ILrip_VINnom</t>
  </si>
  <si>
    <t>ILp_VINnom</t>
  </si>
  <si>
    <t>ILrip_VINmax</t>
  </si>
  <si>
    <t>ILp_VINmax</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</si>
  <si>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</si>
  <si>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</si>
  <si>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</si>
  <si>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</si>
  <si>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</si>
  <si>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</si>
  <si>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Ipk_margin</t>
  </si>
  <si>
    <t>Peak current limit margin. 20% is a typical value</t>
  </si>
  <si>
    <t>Ipk_selected</t>
  </si>
  <si>
    <t>Selected peak current limit based on margin selection</t>
  </si>
  <si>
    <t>Peak ripple ratio: Boost this happens at 33%</t>
  </si>
  <si>
    <t>Dc_rip_max</t>
  </si>
  <si>
    <t>This value used to make the selection</t>
  </si>
  <si>
    <t>Input current at maximum ripple duty cycle</t>
  </si>
  <si>
    <t>Input voltage at maximum ripple duty cycle. If maximum input voltage Dc is &gt;.33 this value will be used</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</si>
  <si>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</si>
  <si>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</si>
  <si>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</si>
  <si>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</si>
  <si>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</si>
  <si>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</si>
  <si>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</si>
  <si>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</si>
  <si>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Rsl_int</t>
  </si>
  <si>
    <t>Rcs_wo_sl</t>
  </si>
  <si>
    <t>Current sense resistor without slope compensation</t>
  </si>
  <si>
    <t>Vcl</t>
  </si>
  <si>
    <t>Current Limit Value. See datsheet for Parameters</t>
  </si>
  <si>
    <t>Flag_ext_sl</t>
  </si>
  <si>
    <t>External Compensation? (0-no, 1-yes)</t>
  </si>
  <si>
    <t>Rcs_w_sl</t>
  </si>
  <si>
    <t>Rcs_ext_sl_ratio</t>
  </si>
  <si>
    <t>External Slope compensation ratio. Constant</t>
  </si>
  <si>
    <t>R_sl_ext</t>
  </si>
  <si>
    <t>R_cs_calc</t>
  </si>
  <si>
    <t>R_sl_calc</t>
  </si>
  <si>
    <t>R_cs</t>
  </si>
  <si>
    <t>R_sl</t>
  </si>
  <si>
    <t>Current Sense Resistor calculated</t>
  </si>
  <si>
    <t>External slope compensation resistor</t>
  </si>
  <si>
    <t>Calculated external slope compensation resistor</t>
  </si>
  <si>
    <t>Calculated current sense resistor with slope compensation included</t>
  </si>
  <si>
    <t>Selected external slope compensation</t>
  </si>
  <si>
    <t>Check to make sure that slope compensation is high enough at the minimum input voltage</t>
  </si>
  <si>
    <t>Slope Compensation</t>
  </si>
  <si>
    <t>sl_vin_min</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</si>
  <si>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</si>
  <si>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</si>
  <si>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</si>
  <si>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</si>
  <si>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</si>
  <si>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</si>
  <si>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</si>
  <si>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</si>
  <si>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</si>
  <si>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</si>
  <si>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Will add this later. Can be left off for APL</t>
  </si>
  <si>
    <t>Step 4: Output Capacitor Selection</t>
  </si>
  <si>
    <r>
      <t>Desired Output ripple ripple voltage (</t>
    </r>
    <r>
      <rPr>
        <sz val="11"/>
        <color theme="1"/>
        <rFont val="Calibri"/>
        <family val="2"/>
      </rPr>
      <t>Δv</t>
    </r>
    <r>
      <rPr>
        <vertAlign val="subscript"/>
        <sz val="11"/>
        <color theme="1"/>
        <rFont val="Calibri"/>
        <family val="2"/>
      </rPr>
      <t>OUT</t>
    </r>
    <r>
      <rPr>
        <sz val="11"/>
        <color theme="1"/>
        <rFont val="Calibri"/>
        <family val="2"/>
      </rPr>
      <t>)</t>
    </r>
  </si>
  <si>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</si>
  <si>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</si>
  <si>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</si>
  <si>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</si>
  <si>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</si>
  <si>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</si>
  <si>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</si>
  <si>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</si>
  <si>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</si>
  <si>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</si>
  <si>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</si>
  <si>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t>RMS current of the output capacitor at VIN min IOUT max. RMS current rating should be larger than this.</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</si>
  <si>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</si>
  <si>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</si>
  <si>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</si>
  <si>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Selected output capacitance ESR</t>
  </si>
  <si>
    <t>Cout</t>
  </si>
  <si>
    <t>Step 5: Loop Compensation</t>
  </si>
  <si>
    <t>Input Parameters</t>
  </si>
  <si>
    <t>Output Voltage</t>
  </si>
  <si>
    <t>Component Selection</t>
  </si>
  <si>
    <t>LM</t>
  </si>
  <si>
    <t>filter Inductor</t>
  </si>
  <si>
    <t>Current sense resi</t>
  </si>
  <si>
    <t>External Slope Compensation Resistor</t>
  </si>
  <si>
    <t>Suggested bandwidth</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</si>
  <si>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</si>
  <si>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</si>
  <si>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</si>
  <si>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</si>
  <si>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</si>
  <si>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</si>
  <si>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</si>
  <si>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</si>
  <si>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</si>
  <si>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</si>
  <si>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</si>
  <si>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</si>
  <si>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</si>
  <si>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</si>
  <si>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</si>
  <si>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</si>
  <si>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</si>
  <si>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</si>
  <si>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</si>
  <si>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</si>
  <si>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</si>
  <si>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</si>
  <si>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</si>
  <si>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</si>
  <si>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</si>
  <si>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</si>
  <si>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</si>
  <si>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</si>
  <si>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</si>
  <si>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</si>
  <si>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</si>
  <si>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</si>
  <si>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</si>
  <si>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</si>
  <si>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</si>
  <si>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</si>
  <si>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</si>
  <si>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</si>
  <si>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</si>
  <si>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</si>
  <si>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</si>
  <si>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</si>
  <si>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</si>
  <si>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</si>
  <si>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</si>
  <si>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</si>
  <si>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</si>
  <si>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</si>
  <si>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Plant Parameters</t>
  </si>
  <si>
    <t>wz_ea</t>
  </si>
  <si>
    <t>Adc_ea</t>
  </si>
  <si>
    <t>gm_ea</t>
  </si>
  <si>
    <t>Error Amplifier Gain</t>
  </si>
  <si>
    <t>A/V</t>
  </si>
  <si>
    <t>wp0_ea</t>
  </si>
  <si>
    <t>wp1_ea</t>
  </si>
  <si>
    <t>ADC_ea</t>
  </si>
  <si>
    <t xml:space="preserve">Gain </t>
  </si>
  <si>
    <t>Open Loop Response</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</si>
  <si>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</si>
  <si>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</si>
  <si>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</si>
  <si>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</si>
  <si>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</si>
  <si>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</si>
  <si>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</si>
  <si>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</si>
  <si>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</si>
  <si>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</si>
  <si>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</si>
  <si>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</si>
  <si>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</si>
  <si>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</si>
  <si>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</si>
  <si>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</si>
  <si>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</si>
  <si>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</si>
  <si>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</si>
  <si>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</si>
  <si>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t>Fcross_est</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</si>
  <si>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</si>
  <si>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</si>
  <si>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</si>
  <si>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</si>
  <si>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Conservative. Set Fcross to be 1/5th the RHP zero frequency or 1/10th SW: whichever is lower</t>
  </si>
  <si>
    <t>Select the lower crossover frequency</t>
  </si>
  <si>
    <t>Gplant_fc</t>
  </si>
  <si>
    <t>Gain of the plant at the desired crossover frequency</t>
  </si>
  <si>
    <t>Fcross</t>
  </si>
  <si>
    <t>wz_RHP</t>
  </si>
  <si>
    <t>Gplant_fc_dB</t>
  </si>
  <si>
    <t>Plant gain at crossover frequency (dB)</t>
  </si>
  <si>
    <t>Gea_mid_calc</t>
  </si>
  <si>
    <t>Error Amplifier Mid-band gain to set cross over frequency correctly</t>
  </si>
  <si>
    <t>Rcomp_Calc</t>
  </si>
  <si>
    <t>Calculate on based on the desired Mid-band gain needed to set the crossover frequency</t>
  </si>
  <si>
    <t>fz_ea_est</t>
  </si>
  <si>
    <t>Set the fz_ea 1/10th the cross over frequency (Common approach)</t>
  </si>
  <si>
    <t>Set the fz_ea geometerically inbetween crossover and the wp_lf</t>
  </si>
  <si>
    <t>Fz_ea_1</t>
  </si>
  <si>
    <t>Fz_ea_2</t>
  </si>
  <si>
    <t>CCOMP_calc</t>
  </si>
  <si>
    <t>CHF_Calc</t>
  </si>
  <si>
    <t>fp_ea_est</t>
  </si>
  <si>
    <r>
      <t>Select a top feedback resistor(R</t>
    </r>
    <r>
      <rPr>
        <vertAlign val="subscript"/>
        <sz val="11"/>
        <color theme="1"/>
        <rFont val="Calibri"/>
        <family val="2"/>
        <scheme val="minor"/>
      </rPr>
      <t>FBT</t>
    </r>
    <r>
      <rPr>
        <sz val="11"/>
        <color theme="1"/>
        <rFont val="Calibri"/>
        <family val="2"/>
        <scheme val="minor"/>
      </rPr>
      <t>)</t>
    </r>
  </si>
  <si>
    <r>
      <t>Select a bottomresistor based on calculated balue(R</t>
    </r>
    <r>
      <rPr>
        <vertAlign val="subscript"/>
        <sz val="11"/>
        <color theme="1"/>
        <rFont val="Calibri"/>
        <family val="2"/>
        <scheme val="minor"/>
      </rPr>
      <t>FBB</t>
    </r>
    <r>
      <rPr>
        <sz val="11"/>
        <color theme="1"/>
        <rFont val="Calibri"/>
        <family val="2"/>
        <scheme val="minor"/>
      </rPr>
      <t>)</t>
    </r>
  </si>
  <si>
    <t>Step 5: Soft-Start Capacitor Selection</t>
  </si>
  <si>
    <t>Step 6: UVLO Resistor Divider Selection</t>
  </si>
  <si>
    <r>
      <t>R</t>
    </r>
    <r>
      <rPr>
        <vertAlign val="subscript"/>
        <sz val="11"/>
        <color theme="1"/>
        <rFont val="Calibri"/>
        <family val="2"/>
        <scheme val="minor"/>
      </rPr>
      <t>COMP</t>
    </r>
  </si>
  <si>
    <t>Calculated</t>
  </si>
  <si>
    <t>Selected</t>
  </si>
  <si>
    <t>Steps</t>
  </si>
  <si>
    <t>Step size</t>
  </si>
  <si>
    <t>VIN</t>
  </si>
  <si>
    <t>DCM/CCM</t>
  </si>
  <si>
    <t>DC</t>
  </si>
  <si>
    <t>IIN</t>
  </si>
  <si>
    <t>Icrms_min</t>
  </si>
  <si>
    <t>Minimum required RMS current rating for the output capacitor bank</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</si>
  <si>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</si>
  <si>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</si>
  <si>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</si>
  <si>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</si>
  <si>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</si>
  <si>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</si>
  <si>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</si>
  <si>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</si>
  <si>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</si>
  <si>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</si>
  <si>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</si>
  <si>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</si>
  <si>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</si>
  <si>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</si>
  <si>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</si>
  <si>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</si>
  <si>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</si>
  <si>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Step 6: UVLO Resistor Selection</t>
  </si>
  <si>
    <t>Step 5: Soft-start Capacitor selection</t>
  </si>
  <si>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</si>
  <si>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</si>
  <si>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</si>
  <si>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</si>
  <si>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</si>
  <si>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</si>
  <si>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</si>
  <si>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</si>
  <si>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</si>
  <si>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</si>
  <si>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</si>
  <si>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</si>
  <si>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</si>
  <si>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</si>
  <si>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</si>
  <si>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</si>
  <si>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</si>
  <si>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</si>
  <si>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</si>
  <si>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</si>
  <si>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Step  7: Loop Compensation</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</si>
  <si>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</si>
  <si>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</si>
  <si>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</si>
  <si>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</si>
  <si>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</si>
  <si>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</si>
  <si>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</si>
  <si>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</si>
  <si>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</si>
  <si>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</si>
  <si>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</si>
  <si>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</si>
  <si>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</si>
  <si>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</si>
  <si>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</si>
  <si>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</si>
  <si>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</si>
  <si>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</si>
  <si>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</si>
  <si>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</si>
  <si>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</si>
  <si>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nC</t>
  </si>
  <si>
    <t>S</t>
  </si>
  <si>
    <t>Diode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</si>
  <si>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</si>
  <si>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</si>
  <si>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</si>
  <si>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</si>
  <si>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</si>
  <si>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</si>
  <si>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</si>
  <si>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</si>
  <si>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</si>
  <si>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</si>
  <si>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</si>
  <si>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</si>
  <si>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</si>
  <si>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</si>
  <si>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</si>
  <si>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</si>
  <si>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</si>
  <si>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</si>
  <si>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</si>
  <si>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 regulator</t>
  </si>
  <si>
    <t>Vcc</t>
  </si>
  <si>
    <t>Regulated output voltage of internal LDO. Can change if this is externally biased.</t>
  </si>
  <si>
    <t>Need to double check this value</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</si>
  <si>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</si>
  <si>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</si>
  <si>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</si>
  <si>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</si>
  <si>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</si>
  <si>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</si>
  <si>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</si>
  <si>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</si>
  <si>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</si>
  <si>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</si>
  <si>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</si>
  <si>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</si>
  <si>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</si>
  <si>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</si>
  <si>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</si>
  <si>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</si>
  <si>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</si>
  <si>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</si>
  <si>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</si>
  <si>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</si>
  <si>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</si>
  <si>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Inductor</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</si>
  <si>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</si>
  <si>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</si>
  <si>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</si>
  <si>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</si>
  <si>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Variable output current (Need to add this in</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</si>
  <si>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</si>
  <si>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</si>
  <si>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</si>
  <si>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</si>
  <si>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</si>
  <si>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</si>
  <si>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</si>
  <si>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</si>
  <si>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</si>
  <si>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</si>
  <si>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</si>
  <si>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Selected band width (F</t>
    </r>
    <r>
      <rPr>
        <vertAlign val="subscript"/>
        <sz val="11"/>
        <color theme="1"/>
        <rFont val="Calibri"/>
        <family val="2"/>
        <scheme val="minor"/>
      </rPr>
      <t>CO</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</si>
  <si>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</si>
  <si>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</si>
  <si>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</si>
  <si>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</si>
  <si>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</si>
  <si>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</si>
  <si>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</si>
  <si>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</si>
  <si>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</si>
  <si>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</si>
  <si>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</si>
  <si>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</si>
  <si>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</si>
  <si>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</si>
  <si>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</si>
  <si>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</si>
  <si>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</si>
  <si>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</si>
  <si>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</si>
  <si>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</si>
  <si>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</si>
  <si>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r>
      <t>Ideal Duty Cycle at V</t>
    </r>
    <r>
      <rPr>
        <vertAlign val="subscript"/>
        <sz val="10"/>
        <color theme="1"/>
        <rFont val="Calibri"/>
        <family val="2"/>
        <scheme val="minor"/>
      </rPr>
      <t xml:space="preserve">SUPPLY(MIN) </t>
    </r>
  </si>
  <si>
    <r>
      <t>Boost Converter Duty Cycle Limit by LM5155 at V</t>
    </r>
    <r>
      <rPr>
        <vertAlign val="subscript"/>
        <sz val="10"/>
        <color theme="1"/>
        <rFont val="Calibri"/>
        <family val="2"/>
        <scheme val="minor"/>
      </rPr>
      <t>SUPPLY(MIN)</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</si>
  <si>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</si>
  <si>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</si>
  <si>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</si>
  <si>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</si>
  <si>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</si>
  <si>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r>
      <t>Recommended minimum average current rating (I</t>
    </r>
    <r>
      <rPr>
        <vertAlign val="subscript"/>
        <sz val="11"/>
        <color theme="1"/>
        <rFont val="Calibri"/>
        <family val="2"/>
        <scheme val="minor"/>
      </rPr>
      <t>D_AVG</t>
    </r>
    <r>
      <rPr>
        <sz val="11"/>
        <color theme="1"/>
        <rFont val="Calibri"/>
        <family val="2"/>
        <scheme val="minor"/>
      </rPr>
      <t>)</t>
    </r>
  </si>
  <si>
    <t>Ipk_lim_margin</t>
  </si>
  <si>
    <t>Minimum peak current limit margin percentage</t>
  </si>
  <si>
    <t>Slope Compensation Check</t>
  </si>
  <si>
    <t>Inductor current falling slope referenced to COMP</t>
  </si>
  <si>
    <t>V/I</t>
  </si>
  <si>
    <t>Essential sensing resistor, switch current to comp transfer ratio: dV_COMP/dI_SW</t>
  </si>
  <si>
    <t>Slope Comp Ramp</t>
  </si>
  <si>
    <t>Sn_half</t>
  </si>
  <si>
    <t>Half of Inductor current falling slope referenced to COMP</t>
  </si>
  <si>
    <t>Not the real value, but together gives 0.5V slope referenced to COMP</t>
  </si>
  <si>
    <t>fz_rhp_VINnom</t>
  </si>
  <si>
    <t>wz_RHP_VINnom</t>
  </si>
  <si>
    <t>CHF_Calc_nom</t>
  </si>
  <si>
    <t>HF cap calculated based on min input voltage</t>
  </si>
  <si>
    <t>HF cap calculated based on nom input voltage, results in higher CHF and usually a little bit better margin</t>
  </si>
  <si>
    <t>Device Recommenation</t>
  </si>
  <si>
    <t>Isw_lim_57</t>
  </si>
  <si>
    <t>Isw_lim_571</t>
  </si>
  <si>
    <t>Internal MOSFET Current Limit for LM5157</t>
  </si>
  <si>
    <t>Internal MOSFET Current Limit for LM51571</t>
  </si>
  <si>
    <t>Selected Device Current Limit</t>
  </si>
  <si>
    <t>Device Selected</t>
  </si>
  <si>
    <t>LM5157</t>
  </si>
  <si>
    <t>Recommended Device Current Limit</t>
  </si>
  <si>
    <t>Lookup Table for Current Limit</t>
  </si>
  <si>
    <t>LM51571</t>
  </si>
  <si>
    <t>I_lim_s</t>
  </si>
  <si>
    <t>I_lim_r</t>
  </si>
  <si>
    <t>tr_sw_fix</t>
  </si>
  <si>
    <t>tf_sw_fix</t>
  </si>
  <si>
    <t>Total  IC Losses</t>
  </si>
  <si>
    <t>Temperature</t>
  </si>
  <si>
    <t>Rdson</t>
  </si>
  <si>
    <t>Temperature coefficient</t>
  </si>
  <si>
    <t>Tk</t>
  </si>
  <si>
    <t>degC/W</t>
  </si>
  <si>
    <t>Ambient temperature (add to input)</t>
  </si>
  <si>
    <t>Ta</t>
  </si>
  <si>
    <t>degC</t>
  </si>
  <si>
    <t>Total IC losses</t>
  </si>
  <si>
    <r>
      <t>P</t>
    </r>
    <r>
      <rPr>
        <sz val="8"/>
        <color theme="1"/>
        <rFont val="Calibri"/>
        <family val="2"/>
        <scheme val="minor"/>
      </rPr>
      <t>IC</t>
    </r>
    <r>
      <rPr>
        <sz val="11"/>
        <color theme="1"/>
        <rFont val="Calibri"/>
        <family val="2"/>
        <scheme val="minor"/>
      </rPr>
      <t>(W)</t>
    </r>
  </si>
  <si>
    <t>Pre-Calc</t>
  </si>
  <si>
    <t>RDS_on_5V</t>
  </si>
  <si>
    <t>Vcc_real</t>
  </si>
  <si>
    <t>Real VCC voltage. Consider the case when bias/vin&lt;5V</t>
  </si>
  <si>
    <t>Thermal Estimation</t>
  </si>
  <si>
    <t>Ambient Temperature (Ta)</t>
  </si>
  <si>
    <t>  °C</t>
  </si>
  <si>
    <t>Internal MOSFET Current Limit for LM5158</t>
  </si>
  <si>
    <t>Internal MOSFET Current Limit for LM51581</t>
  </si>
  <si>
    <t>Isw_lim_58</t>
  </si>
  <si>
    <t>Isw_lim_581</t>
  </si>
  <si>
    <t>Vin_op_max_57</t>
  </si>
  <si>
    <t>Vout_op_max_57</t>
  </si>
  <si>
    <t>Vin_op_max_58</t>
  </si>
  <si>
    <t>Vout_op_max_58</t>
  </si>
  <si>
    <t>Maximum BIAS pin operating voltage of LM5157</t>
  </si>
  <si>
    <t>Maximum Boost Converter Output  of LM5157</t>
  </si>
  <si>
    <t>Maximum BIAS pin operating voltage  of LM5158</t>
  </si>
  <si>
    <t>Maximum Boost Converter Output  of LM5158</t>
  </si>
  <si>
    <t>if vout &gt; vout_58 &amp;&amp; il pk &gt; isw_57  &amp;&amp; vin &gt; vin_58 = no device</t>
  </si>
  <si>
    <t>vin_max &lt; vin_max_58 &amp;&amp; vout &lt; vout_58</t>
  </si>
  <si>
    <t>vin_max &lt; ving_57 &amp;&amp; vout &lt; vout_57</t>
  </si>
  <si>
    <t>x</t>
  </si>
  <si>
    <t>y</t>
  </si>
  <si>
    <t>if il pk &lt; isw_581 &amp; x</t>
  </si>
  <si>
    <t>if il pk &gt; isw_581 &amp;&amp;  &lt; isw_58  &amp;&amp; x</t>
  </si>
  <si>
    <t>if il pk &gt; isw_58 &amp;&amp; &lt;isw_571  &amp;&amp; y</t>
  </si>
  <si>
    <t>if il pk &gt; isw_571 &amp;&amp; v&lt;isw_57 &amp;&amp; y</t>
  </si>
  <si>
    <t>lm51581</t>
  </si>
  <si>
    <t>lm51571</t>
  </si>
  <si>
    <t>lm5157</t>
  </si>
  <si>
    <t>lm5158</t>
  </si>
  <si>
    <t>vin</t>
  </si>
  <si>
    <t>il pk</t>
  </si>
  <si>
    <t>vout</t>
  </si>
  <si>
    <t>LM5158</t>
  </si>
  <si>
    <t>LM51581</t>
  </si>
  <si>
    <t>Vin_op_max_s</t>
  </si>
  <si>
    <t>Vo_op_max_s</t>
  </si>
  <si>
    <t>Selected Device Input Voltage Limit</t>
  </si>
  <si>
    <t>Selected Device Output Voltage Limit</t>
  </si>
  <si>
    <t>LM5157x/LM5158x DC/DC BOOST Converter Design Tool</t>
  </si>
  <si>
    <t>Step 2: Filter Inductor, Peak Current, and Device Selection</t>
  </si>
  <si>
    <t>sch_LM5157</t>
  </si>
  <si>
    <t>Lookup Table for Schematic</t>
  </si>
  <si>
    <t>sch_LM51571</t>
  </si>
  <si>
    <t>sch_LM5158</t>
  </si>
  <si>
    <t>sch_LM51581</t>
  </si>
  <si>
    <t>RDS_on_45</t>
  </si>
  <si>
    <t>On-State Resistance consider VCC with 45mOhm as base</t>
  </si>
  <si>
    <r>
      <t>On-State Resistance with RDS_on_5V as base, assume proportional, R</t>
    </r>
    <r>
      <rPr>
        <vertAlign val="subscript"/>
        <sz val="10"/>
        <rFont val="Arial"/>
        <family val="2"/>
      </rPr>
      <t>DS(on)</t>
    </r>
  </si>
  <si>
    <t>On-State Resistance at 5V VCC (BIAS &gt;= 5V), typical 45m, here use the simulation measurement, more accurate</t>
  </si>
  <si>
    <t>temp</t>
  </si>
  <si>
    <t>Tk_f</t>
  </si>
  <si>
    <t>Temperature coefficient for iteration</t>
  </si>
  <si>
    <t>Efficiency / IC Temperature Analyzer</t>
  </si>
  <si>
    <t>Version Number</t>
  </si>
  <si>
    <t>1.0.0</t>
  </si>
  <si>
    <t>Version History</t>
  </si>
  <si>
    <t>Version</t>
  </si>
  <si>
    <t>Change List Description</t>
  </si>
  <si>
    <t>Initial Release</t>
  </si>
  <si>
    <t>Rev 1.0.0</t>
  </si>
  <si>
    <t>XOVER SEARCH</t>
  </si>
  <si>
    <t>xover</t>
  </si>
  <si>
    <t>phase margin</t>
  </si>
  <si>
    <t>Gain Cross</t>
  </si>
  <si>
    <t>Phase Cross</t>
  </si>
  <si>
    <t>Acs_57</t>
  </si>
  <si>
    <t>R_cs_57</t>
  </si>
  <si>
    <t>Acs_58</t>
  </si>
  <si>
    <t>R_cs_58</t>
  </si>
  <si>
    <t>Step 3: Device Selection</t>
  </si>
  <si>
    <t>November-2021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</si>
</sst>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0.000E+00"/>
    <numFmt numFmtId="166" formatCode="0.0000"/>
    <numFmt numFmtId="167" formatCode="0.0000E+00"/>
    <numFmt numFmtId="168" formatCode="0.0"/>
    <numFmt numFmtId="169" formatCode="0.0E+00"/>
  </numFmts>
  <fonts count="46"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indexed="10"/>
      <name val="Calibri"/>
      <family val="2"/>
      <scheme val="minor"/>
    </font>
    <font>
      <sz val="11"/>
      <color rgb="FFFF0000"/>
      <name val="Calibri"/>
      <family val="2"/>
      <scheme val="minor"/>
    </font>
    <font>
      <sz val="8"/>
      <color theme="1"/>
      <name val="Calibri"/>
      <family val="2"/>
      <scheme val="minor"/>
    </font>
    <font>
      <b/>
      <sz val="16"/>
      <color theme="1"/>
      <name val="Calibri"/>
      <family val="2"/>
      <scheme val="minor"/>
    </font>
    <font>
      <sz val="11"/>
      <color theme="1"/>
      <name val="Arial"/>
      <family val="2"/>
    </font>
    <font>
      <b/>
      <sz val="10"/>
      <color theme="1"/>
      <name val="Arial"/>
      <family val="2"/>
    </font>
    <font>
      <sz val="10"/>
      <color theme="1"/>
      <name val="Arial"/>
      <family val="2"/>
    </font>
    <font>
      <u/>
      <sz val="11"/>
      <color theme="10"/>
      <name val="Calibri"/>
      <family val="2"/>
      <scheme val="minor"/>
    </font>
    <font>
      <b/>
      <u/>
      <sz val="10"/>
      <color theme="10"/>
      <name val="Arial"/>
      <family val="2"/>
    </font>
    <font>
      <b/>
      <sz val="10"/>
      <color theme="0"/>
      <name val="Arial"/>
      <family val="2"/>
    </font>
    <font>
      <b/>
      <u/>
      <sz val="11"/>
      <color theme="10"/>
      <name val="Arial"/>
      <family val="2"/>
    </font>
    <font>
      <b/>
      <sz val="11"/>
      <name val="Arial"/>
      <family val="2"/>
    </font>
    <font>
      <sz val="11"/>
      <name val="Arial"/>
      <family val="2"/>
    </font>
  </fonts>
  <fills count="20">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
      <patternFill patternType="solid">
        <fgColor rgb="FFDE0000"/>
        <bgColor indexed="64"/>
      </patternFill>
    </fill>
    <fill>
      <patternFill patternType="solid">
        <fgColor indexed="44"/>
        <bgColor indexed="64"/>
      </patternFill>
    </fill>
  </fills>
  <borders count="3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theme="0"/>
      </top>
      <bottom/>
      <diagonal/>
    </border>
    <border>
      <left style="medium">
        <color indexed="64"/>
      </left>
      <right style="medium">
        <color indexed="64"/>
      </right>
      <top style="thin">
        <color theme="0"/>
      </top>
      <bottom style="thin">
        <color theme="0"/>
      </bottom>
      <diagonal/>
    </border>
    <border>
      <left style="medium">
        <color indexed="64"/>
      </left>
      <right style="medium">
        <color indexed="64"/>
      </right>
      <top style="thin">
        <color theme="0"/>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indexed="64"/>
      </bottom>
      <diagonal/>
    </border>
  </borders>
  <cellStyleXfs count="9">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xf numFmtId="0" fontId="40" fillId="0" borderId="0" applyNumberFormat="0" applyFill="0" applyBorder="0" applyAlignment="0" applyProtection="0"/>
  </cellStyleXfs>
  <cellXfs count="284">
    <xf numFmtId="0" fontId="0" fillId="0" borderId="0" xfId="0"/>
    <xf numFmtId="0" fontId="0" fillId="9" borderId="0" xfId="0" applyFill="1"/>
    <xf numFmtId="0" fontId="16" fillId="0" borderId="0" xfId="0" applyFont="1"/>
    <xf numFmtId="0" fontId="0" fillId="10" borderId="0" xfId="0" applyFill="1"/>
    <xf numFmtId="0" fontId="0" fillId="0" borderId="0" xfId="0"/>
    <xf numFmtId="0" fontId="4" fillId="0" borderId="0" xfId="3"/>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4" fillId="0" borderId="0" xfId="3"/>
    <xf numFmtId="0" fontId="5" fillId="0" borderId="0" xfId="3" applyFont="1"/>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applyBorder="1"/>
    <xf numFmtId="0" fontId="5" fillId="0" borderId="0" xfId="3" applyFont="1" applyBorder="1" applyAlignment="1">
      <alignment horizontal="center"/>
    </xf>
    <xf numFmtId="0" fontId="4" fillId="0" borderId="0" xfId="3"/>
    <xf numFmtId="0" fontId="9" fillId="0" borderId="0" xfId="3" applyFont="1" applyBorder="1"/>
    <xf numFmtId="0" fontId="5" fillId="0" borderId="0" xfId="3" applyFont="1" applyAlignment="1">
      <alignment horizontal="center"/>
    </xf>
    <xf numFmtId="2" fontId="0" fillId="10" borderId="0" xfId="0" applyNumberFormat="1" applyFill="1"/>
    <xf numFmtId="0" fontId="0" fillId="11" borderId="0" xfId="0" applyFill="1"/>
    <xf numFmtId="165" fontId="0" fillId="9" borderId="0" xfId="0" applyNumberFormat="1" applyFill="1"/>
    <xf numFmtId="0" fontId="5" fillId="0" borderId="0" xfId="3" applyFont="1" applyFill="1" applyAlignment="1">
      <alignment horizontal="right"/>
    </xf>
    <xf numFmtId="0" fontId="4" fillId="0" borderId="0" xfId="3" applyFont="1" applyFill="1" applyAlignment="1">
      <alignment horizontal="center"/>
    </xf>
    <xf numFmtId="0" fontId="5" fillId="0" borderId="0" xfId="3" applyFont="1" applyFill="1"/>
    <xf numFmtId="0" fontId="0" fillId="0" borderId="0" xfId="0" applyFill="1"/>
    <xf numFmtId="164" fontId="0" fillId="9" borderId="0" xfId="0" applyNumberFormat="1" applyFill="1"/>
    <xf numFmtId="2" fontId="0" fillId="9" borderId="0" xfId="0" applyNumberFormat="1" applyFill="1"/>
    <xf numFmtId="1" fontId="0" fillId="9" borderId="0" xfId="0" applyNumberFormat="1" applyFill="1"/>
    <xf numFmtId="0" fontId="15" fillId="0" borderId="0" xfId="0" applyFont="1" applyFill="1" applyBorder="1"/>
    <xf numFmtId="0" fontId="0" fillId="0" borderId="0" xfId="0"/>
    <xf numFmtId="164" fontId="0" fillId="0" borderId="0" xfId="0" applyNumberFormat="1"/>
    <xf numFmtId="11" fontId="14" fillId="10" borderId="0" xfId="0" applyNumberFormat="1" applyFont="1" applyFill="1"/>
    <xf numFmtId="0" fontId="17" fillId="0" borderId="0" xfId="0" applyFont="1"/>
    <xf numFmtId="0" fontId="5" fillId="0" borderId="0" xfId="3" applyFont="1" applyAlignment="1">
      <alignment horizontal="center"/>
    </xf>
    <xf numFmtId="2" fontId="0" fillId="0" borderId="0" xfId="0" applyNumberFormat="1"/>
    <xf numFmtId="167" fontId="0" fillId="9" borderId="0" xfId="0" applyNumberFormat="1" applyFill="1"/>
    <xf numFmtId="11" fontId="0" fillId="9" borderId="0" xfId="0" applyNumberFormat="1" applyFill="1"/>
    <xf numFmtId="0" fontId="0" fillId="0" borderId="0" xfId="0" applyFont="1"/>
    <xf numFmtId="0" fontId="5" fillId="0" borderId="0" xfId="3" applyFont="1" applyFill="1" applyAlignment="1">
      <alignment horizontal="left"/>
    </xf>
    <xf numFmtId="166" fontId="0" fillId="9" borderId="0" xfId="0" applyNumberFormat="1" applyFill="1"/>
    <xf numFmtId="0" fontId="19" fillId="0" borderId="0" xfId="0" applyFont="1"/>
    <xf numFmtId="0" fontId="21" fillId="0" borderId="0" xfId="0" applyFont="1"/>
    <xf numFmtId="0" fontId="0" fillId="12" borderId="0" xfId="0" applyFill="1"/>
    <xf numFmtId="1" fontId="0" fillId="0" borderId="0" xfId="0" applyNumberFormat="1"/>
    <xf numFmtId="0" fontId="5" fillId="0" borderId="0" xfId="3" applyFont="1" applyAlignment="1">
      <alignment horizontal="center"/>
    </xf>
    <xf numFmtId="0" fontId="22" fillId="0" borderId="0" xfId="0" applyFont="1"/>
    <xf numFmtId="0" fontId="23" fillId="0" borderId="0" xfId="0" applyFont="1"/>
    <xf numFmtId="164" fontId="4" fillId="0" borderId="0" xfId="3" applyNumberFormat="1"/>
    <xf numFmtId="0" fontId="0" fillId="0" borderId="0" xfId="0" applyBorder="1"/>
    <xf numFmtId="2" fontId="0" fillId="0" borderId="0" xfId="0" applyNumberFormat="1" applyBorder="1"/>
    <xf numFmtId="0" fontId="24"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8" xfId="3" applyFill="1" applyBorder="1"/>
    <xf numFmtId="0" fontId="4" fillId="0" borderId="9" xfId="3" applyFill="1" applyBorder="1"/>
    <xf numFmtId="0" fontId="0" fillId="0" borderId="5" xfId="0" applyBorder="1"/>
    <xf numFmtId="0" fontId="4" fillId="0" borderId="7" xfId="3" applyBorder="1"/>
    <xf numFmtId="0" fontId="4" fillId="0" borderId="7" xfId="3" applyFill="1" applyBorder="1"/>
    <xf numFmtId="0" fontId="0" fillId="0" borderId="6" xfId="0" applyBorder="1"/>
    <xf numFmtId="0" fontId="0" fillId="0" borderId="7" xfId="0" applyBorder="1"/>
    <xf numFmtId="0" fontId="0" fillId="0" borderId="9" xfId="0" applyBorder="1"/>
    <xf numFmtId="164" fontId="0" fillId="0" borderId="0" xfId="0" applyNumberFormat="1" applyBorder="1"/>
    <xf numFmtId="164" fontId="0" fillId="0" borderId="8" xfId="0" applyNumberFormat="1" applyBorder="1"/>
    <xf numFmtId="0" fontId="4" fillId="0" borderId="5" xfId="3" applyBorder="1"/>
    <xf numFmtId="2" fontId="0" fillId="0" borderId="10" xfId="0" applyNumberFormat="1" applyBorder="1"/>
    <xf numFmtId="0" fontId="25" fillId="0" borderId="0" xfId="0" applyFont="1"/>
    <xf numFmtId="0" fontId="26" fillId="0" borderId="0" xfId="3" applyFont="1"/>
    <xf numFmtId="168" fontId="0" fillId="0" borderId="0" xfId="0" applyNumberFormat="1"/>
    <xf numFmtId="0" fontId="0" fillId="0" borderId="2" xfId="0" applyBorder="1"/>
    <xf numFmtId="164" fontId="4" fillId="0" borderId="3" xfId="3" applyNumberFormat="1" applyBorder="1"/>
    <xf numFmtId="0" fontId="4" fillId="0" borderId="3" xfId="3" applyBorder="1"/>
    <xf numFmtId="0" fontId="0" fillId="0" borderId="3" xfId="0" applyBorder="1"/>
    <xf numFmtId="0" fontId="4" fillId="0" borderId="2" xfId="3" applyBorder="1"/>
    <xf numFmtId="164" fontId="0" fillId="0" borderId="3" xfId="0" applyNumberFormat="1" applyBorder="1"/>
    <xf numFmtId="0" fontId="0" fillId="0" borderId="4" xfId="0" applyBorder="1"/>
    <xf numFmtId="164" fontId="4" fillId="0" borderId="0" xfId="3" applyNumberFormat="1" applyBorder="1"/>
    <xf numFmtId="0" fontId="4" fillId="0" borderId="0" xfId="3" applyBorder="1"/>
    <xf numFmtId="164" fontId="4" fillId="0" borderId="8" xfId="3" applyNumberFormat="1" applyBorder="1"/>
    <xf numFmtId="0" fontId="4" fillId="0" borderId="0" xfId="3" applyFill="1" applyBorder="1"/>
    <xf numFmtId="0" fontId="4" fillId="0" borderId="5" xfId="3" applyFill="1" applyBorder="1"/>
    <xf numFmtId="0" fontId="4" fillId="0" borderId="6" xfId="3" applyFill="1" applyBorder="1"/>
    <xf numFmtId="0" fontId="0" fillId="0" borderId="10" xfId="0" applyBorder="1"/>
    <xf numFmtId="0" fontId="0" fillId="0" borderId="11" xfId="0" applyBorder="1"/>
    <xf numFmtId="164" fontId="4" fillId="0" borderId="11" xfId="3" applyNumberFormat="1" applyBorder="1"/>
    <xf numFmtId="0" fontId="4" fillId="0" borderId="11" xfId="3" applyBorder="1"/>
    <xf numFmtId="0" fontId="4" fillId="0" borderId="10" xfId="3" applyBorder="1"/>
    <xf numFmtId="164"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169" fontId="0" fillId="0" borderId="0" xfId="0" applyNumberFormat="1" applyFill="1"/>
    <xf numFmtId="0" fontId="0" fillId="0" borderId="13" xfId="0" applyBorder="1"/>
    <xf numFmtId="0" fontId="0" fillId="14" borderId="0" xfId="0" applyFill="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Font="1" applyFill="1" applyBorder="1" applyAlignment="1" applyProtection="1">
      <alignment horizontal="left"/>
    </xf>
    <xf numFmtId="0" fontId="4" fillId="0" borderId="8" xfId="3" applyFont="1" applyFill="1" applyBorder="1" applyAlignment="1" applyProtection="1">
      <alignment horizontal="left"/>
    </xf>
    <xf numFmtId="0" fontId="5" fillId="0" borderId="0" xfId="3" applyFont="1" applyAlignment="1">
      <alignment horizontal="center"/>
    </xf>
    <xf numFmtId="0" fontId="0" fillId="0" borderId="13" xfId="0" applyFill="1" applyBorder="1"/>
    <xf numFmtId="0" fontId="0" fillId="14" borderId="13" xfId="0" applyFill="1" applyBorder="1"/>
    <xf numFmtId="0" fontId="0" fillId="0" borderId="19" xfId="0" applyBorder="1"/>
    <xf numFmtId="0" fontId="0" fillId="0" borderId="14" xfId="0" applyFill="1" applyBorder="1"/>
    <xf numFmtId="0" fontId="0" fillId="14" borderId="15" xfId="0" applyFill="1" applyBorder="1"/>
    <xf numFmtId="0" fontId="0" fillId="0"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4"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0" fillId="6" borderId="0" xfId="0" applyFill="1" applyBorder="1" applyProtection="1">
      <protection hidden="1"/>
    </xf>
    <xf numFmtId="0" fontId="14" fillId="8" borderId="0" xfId="0" applyFont="1" applyFill="1" applyProtection="1">
      <protection hidden="1"/>
    </xf>
    <xf numFmtId="0" fontId="0" fillId="15" borderId="0" xfId="0" applyFill="1" applyProtection="1">
      <protection hidden="1"/>
    </xf>
    <xf numFmtId="0" fontId="0" fillId="8" borderId="0" xfId="0" applyFill="1" applyBorder="1" applyProtection="1">
      <protection hidden="1"/>
    </xf>
    <xf numFmtId="0" fontId="0" fillId="8" borderId="0" xfId="0" applyFill="1" applyBorder="1" applyAlignment="1" applyProtection="1">
      <alignment horizontal="right"/>
      <protection hidden="1"/>
    </xf>
    <xf numFmtId="0" fontId="14" fillId="8" borderId="0" xfId="0" applyFont="1" applyFill="1" applyBorder="1" applyProtection="1">
      <protection hidden="1"/>
    </xf>
    <xf numFmtId="0" fontId="0" fillId="15" borderId="0" xfId="0" applyFill="1" applyBorder="1" applyProtection="1">
      <protection hidden="1"/>
    </xf>
    <xf numFmtId="0" fontId="2" fillId="8" borderId="0" xfId="0" applyFont="1" applyFill="1" applyBorder="1" applyProtection="1">
      <protection hidden="1"/>
    </xf>
    <xf numFmtId="0" fontId="0" fillId="7" borderId="0" xfId="0" applyFill="1" applyBorder="1" applyProtection="1">
      <protection hidden="1"/>
    </xf>
    <xf numFmtId="0" fontId="2" fillId="8" borderId="0" xfId="0" quotePrefix="1" applyFont="1" applyFill="1" applyBorder="1" applyProtection="1">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4"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0" fillId="16" borderId="0" xfId="0" applyFill="1" applyBorder="1" applyProtection="1">
      <protection hidden="1"/>
    </xf>
    <xf numFmtId="0" fontId="15"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2"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2" fillId="16" borderId="0" xfId="3" applyFont="1" applyFill="1" applyBorder="1" applyAlignment="1" applyProtection="1">
      <alignment horizontal="right"/>
      <protection hidden="1"/>
    </xf>
    <xf numFmtId="0" fontId="0" fillId="16" borderId="6" xfId="0" applyFill="1" applyBorder="1" applyProtection="1">
      <protection hidden="1"/>
    </xf>
    <xf numFmtId="0" fontId="12" fillId="16" borderId="5" xfId="0" applyFont="1" applyFill="1" applyBorder="1" applyProtection="1">
      <protection hidden="1"/>
    </xf>
    <xf numFmtId="0" fontId="12" fillId="16" borderId="0" xfId="0" applyFont="1" applyFill="1" applyBorder="1" applyProtection="1">
      <protection hidden="1"/>
    </xf>
    <xf numFmtId="0" fontId="12" fillId="16" borderId="0" xfId="0" applyFont="1" applyFill="1" applyBorder="1" applyAlignment="1" applyProtection="1">
      <alignment horizontal="right"/>
      <protection hidden="1"/>
    </xf>
    <xf numFmtId="0" fontId="12" fillId="16" borderId="7" xfId="0" applyFont="1" applyFill="1" applyBorder="1" applyProtection="1">
      <protection hidden="1"/>
    </xf>
    <xf numFmtId="0" fontId="12" fillId="16" borderId="8" xfId="0" applyFont="1" applyFill="1" applyBorder="1" applyProtection="1">
      <protection hidden="1"/>
    </xf>
    <xf numFmtId="0" fontId="0" fillId="16" borderId="8" xfId="0" applyFill="1" applyBorder="1" applyProtection="1">
      <protection hidden="1"/>
    </xf>
    <xf numFmtId="0" fontId="12" fillId="16" borderId="8" xfId="0" applyFont="1" applyFill="1" applyBorder="1" applyAlignment="1" applyProtection="1">
      <alignment horizontal="right"/>
      <protection hidden="1"/>
    </xf>
    <xf numFmtId="0" fontId="0" fillId="16" borderId="9" xfId="0" applyFill="1" applyBorder="1" applyProtection="1">
      <protection hidden="1"/>
    </xf>
    <xf numFmtId="0" fontId="12" fillId="16" borderId="0" xfId="0" applyFont="1" applyFill="1" applyProtection="1">
      <protection hidden="1"/>
    </xf>
    <xf numFmtId="0" fontId="15" fillId="16" borderId="0" xfId="0" applyFont="1" applyFill="1" applyBorder="1" applyProtection="1">
      <protection hidden="1"/>
    </xf>
    <xf numFmtId="0" fontId="12" fillId="16" borderId="2" xfId="0" applyFont="1" applyFill="1" applyBorder="1" applyProtection="1">
      <protection hidden="1"/>
    </xf>
    <xf numFmtId="0" fontId="12" fillId="16" borderId="3" xfId="0" applyFont="1" applyFill="1" applyBorder="1" applyProtection="1">
      <protection hidden="1"/>
    </xf>
    <xf numFmtId="0" fontId="0" fillId="16" borderId="7" xfId="0" applyFill="1" applyBorder="1" applyProtection="1">
      <protection hidden="1"/>
    </xf>
    <xf numFmtId="0" fontId="12" fillId="16" borderId="8" xfId="3" applyFont="1" applyFill="1" applyBorder="1" applyAlignment="1" applyProtection="1">
      <alignment horizontal="right"/>
      <protection hidden="1"/>
    </xf>
    <xf numFmtId="0" fontId="0" fillId="16" borderId="0" xfId="0" applyFill="1" applyBorder="1" applyAlignment="1" applyProtection="1">
      <alignment horizontal="right"/>
      <protection hidden="1"/>
    </xf>
    <xf numFmtId="0" fontId="16" fillId="16" borderId="6" xfId="0" applyFont="1" applyFill="1" applyBorder="1" applyProtection="1">
      <protection hidden="1"/>
    </xf>
    <xf numFmtId="0" fontId="0" fillId="16" borderId="8" xfId="0" applyFill="1" applyBorder="1" applyAlignment="1" applyProtection="1">
      <alignment horizontal="right"/>
      <protection hidden="1"/>
    </xf>
    <xf numFmtId="0" fontId="16" fillId="16" borderId="9" xfId="0" applyFont="1" applyFill="1" applyBorder="1" applyProtection="1">
      <protection hidden="1"/>
    </xf>
    <xf numFmtId="0" fontId="0" fillId="16" borderId="3" xfId="0" applyFill="1" applyBorder="1" applyAlignment="1" applyProtection="1">
      <alignment horizontal="right"/>
      <protection hidden="1"/>
    </xf>
    <xf numFmtId="0" fontId="15" fillId="16" borderId="2" xfId="0" applyFont="1" applyFill="1" applyBorder="1" applyProtection="1">
      <protection hidden="1"/>
    </xf>
    <xf numFmtId="0" fontId="14" fillId="16" borderId="3" xfId="0" applyFont="1" applyFill="1" applyBorder="1" applyAlignment="1" applyProtection="1">
      <alignment horizontal="right"/>
      <protection hidden="1"/>
    </xf>
    <xf numFmtId="0" fontId="15" fillId="16" borderId="5" xfId="0" applyFont="1" applyFill="1" applyBorder="1" applyProtection="1">
      <protection hidden="1"/>
    </xf>
    <xf numFmtId="0" fontId="22" fillId="16" borderId="0" xfId="0" applyFont="1" applyFill="1" applyBorder="1" applyAlignment="1" applyProtection="1">
      <alignment horizontal="right"/>
      <protection hidden="1"/>
    </xf>
    <xf numFmtId="0" fontId="0" fillId="0" borderId="0" xfId="0" applyBorder="1" applyProtection="1">
      <protection hidden="1"/>
    </xf>
    <xf numFmtId="0" fontId="0" fillId="16" borderId="0" xfId="0" applyFill="1" applyBorder="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0" fillId="0" borderId="0" xfId="0" applyFill="1" applyProtection="1">
      <protection hidden="1"/>
    </xf>
    <xf numFmtId="0" fontId="27"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0" fillId="17" borderId="0" xfId="0" applyFill="1" applyBorder="1" applyProtection="1">
      <protection hidden="1"/>
    </xf>
    <xf numFmtId="0" fontId="0" fillId="0" borderId="0" xfId="0" applyProtection="1">
      <protection hidden="1"/>
    </xf>
    <xf numFmtId="0" fontId="30" fillId="16" borderId="0" xfId="0" applyFont="1" applyFill="1" applyAlignment="1" applyProtection="1">
      <alignment horizontal="left"/>
      <protection hidden="1"/>
    </xf>
    <xf numFmtId="0" fontId="0" fillId="8" borderId="0" xfId="0" applyFill="1" applyProtection="1">
      <protection hidden="1"/>
    </xf>
    <xf numFmtId="0" fontId="0" fillId="8" borderId="0" xfId="0" applyFill="1" applyAlignment="1" applyProtection="1">
      <alignment horizontal="right"/>
      <protection hidden="1"/>
    </xf>
    <xf numFmtId="0" fontId="0" fillId="15" borderId="0" xfId="0" applyFill="1" applyAlignment="1" applyProtection="1">
      <alignment horizontal="right"/>
      <protection hidden="1"/>
    </xf>
    <xf numFmtId="0" fontId="14" fillId="15" borderId="0" xfId="0" applyFont="1" applyFill="1" applyProtection="1">
      <protection hidden="1"/>
    </xf>
    <xf numFmtId="0" fontId="34"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1" fontId="0" fillId="16" borderId="26" xfId="0" applyNumberFormat="1" applyFill="1" applyBorder="1" applyProtection="1">
      <protection hidden="1"/>
    </xf>
    <xf numFmtId="164" fontId="0" fillId="0" borderId="25" xfId="0" applyNumberFormat="1" applyBorder="1" applyProtection="1">
      <protection hidden="1"/>
    </xf>
    <xf numFmtId="1" fontId="0" fillId="16" borderId="25"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164" fontId="0" fillId="0" borderId="26"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ont="1" applyFill="1" applyBorder="1" applyAlignment="1" applyProtection="1">
      <alignment vertical="top"/>
      <protection hidden="1"/>
    </xf>
    <xf numFmtId="0" fontId="0" fillId="0" borderId="25" xfId="0" applyFont="1" applyFill="1" applyBorder="1" applyAlignment="1" applyProtection="1">
      <alignment vertical="top"/>
      <protection hidden="1"/>
    </xf>
    <xf numFmtId="164" fontId="0" fillId="16" borderId="25" xfId="0" applyNumberFormat="1" applyFill="1" applyBorder="1" applyProtection="1">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164" fontId="0" fillId="16" borderId="10"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6"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164" fontId="0" fillId="0" borderId="0" xfId="0" applyNumberFormat="1" applyFill="1"/>
    <xf numFmtId="0" fontId="14" fillId="11" borderId="0" xfId="0" applyFont="1" applyFill="1"/>
    <xf numFmtId="11" fontId="0" fillId="0" borderId="0" xfId="0" applyNumberFormat="1"/>
    <xf numFmtId="0" fontId="0" fillId="0" borderId="20" xfId="0" applyBorder="1" applyAlignment="1">
      <alignment horizontal="center" wrapText="1"/>
    </xf>
    <xf numFmtId="0" fontId="0" fillId="0" borderId="33" xfId="0" applyBorder="1" applyAlignment="1">
      <alignment horizontal="center" wrapText="1"/>
    </xf>
    <xf numFmtId="0" fontId="0" fillId="0" borderId="34" xfId="0" applyFill="1" applyBorder="1"/>
    <xf numFmtId="0" fontId="0" fillId="0" borderId="34" xfId="0" applyBorder="1"/>
    <xf numFmtId="0" fontId="0" fillId="0" borderId="35" xfId="0" applyBorder="1"/>
    <xf numFmtId="0" fontId="0" fillId="0" borderId="36" xfId="0" applyFill="1" applyBorder="1"/>
    <xf numFmtId="0" fontId="0" fillId="0" borderId="0" xfId="0" applyBorder="1" applyAlignment="1">
      <alignment wrapText="1"/>
    </xf>
    <xf numFmtId="0" fontId="3" fillId="0" borderId="0" xfId="3" applyFont="1" applyFill="1" applyBorder="1" applyAlignment="1" applyProtection="1">
      <alignment horizontal="left"/>
    </xf>
    <xf numFmtId="0" fontId="16" fillId="16" borderId="12" xfId="0" applyFont="1" applyFill="1" applyBorder="1" applyProtection="1">
      <protection hidden="1"/>
    </xf>
    <xf numFmtId="0" fontId="0" fillId="16" borderId="10" xfId="0" applyFill="1" applyBorder="1" applyAlignment="1" applyProtection="1">
      <alignment horizontal="right"/>
      <protection hidden="1"/>
    </xf>
    <xf numFmtId="0" fontId="0" fillId="16" borderId="11" xfId="0" applyFill="1" applyBorder="1" applyAlignment="1" applyProtection="1">
      <alignment horizontal="right"/>
      <protection hidden="1"/>
    </xf>
    <xf numFmtId="0" fontId="0" fillId="16" borderId="12" xfId="0" applyFill="1" applyBorder="1" applyAlignment="1" applyProtection="1">
      <alignment horizontal="right"/>
      <protection hidden="1"/>
    </xf>
    <xf numFmtId="0" fontId="37" fillId="0" borderId="0" xfId="0" applyFont="1"/>
    <xf numFmtId="0" fontId="38" fillId="0" borderId="0" xfId="0" applyFont="1" applyAlignment="1">
      <alignment horizontal="center"/>
    </xf>
    <xf numFmtId="0" fontId="38" fillId="0" borderId="0" xfId="0" applyFont="1" applyAlignment="1">
      <alignment horizontal="left"/>
    </xf>
    <xf numFmtId="0" fontId="39" fillId="0" borderId="0" xfId="0" applyFont="1"/>
    <xf numFmtId="0" fontId="41" fillId="0" borderId="0" xfId="8" applyFont="1" applyFill="1" applyBorder="1" applyAlignment="1">
      <alignment vertical="center"/>
    </xf>
    <xf numFmtId="0" fontId="41" fillId="0" borderId="0" xfId="8" applyFont="1" applyFill="1" applyBorder="1" applyAlignment="1">
      <alignment horizontal="right" vertical="center"/>
    </xf>
    <xf numFmtId="0" fontId="37" fillId="0" borderId="0" xfId="0" applyFont="1" applyAlignment="1">
      <alignment horizontal="center"/>
    </xf>
    <xf numFmtId="0" fontId="37" fillId="0" borderId="0" xfId="0" applyFont="1" applyFill="1" applyAlignment="1">
      <alignment horizontal="left"/>
    </xf>
    <xf numFmtId="0" fontId="39" fillId="0" borderId="0" xfId="0" applyFont="1" applyAlignment="1">
      <alignment horizontal="center"/>
    </xf>
    <xf numFmtId="0" fontId="3" fillId="0" borderId="0" xfId="0" applyFont="1" applyFill="1" applyAlignment="1"/>
    <xf numFmtId="0" fontId="42" fillId="17" borderId="0" xfId="0" applyFont="1" applyFill="1" applyAlignment="1">
      <alignment horizontal="center"/>
    </xf>
    <xf numFmtId="0" fontId="37" fillId="0" borderId="0" xfId="0" applyFont="1" applyAlignment="1">
      <alignment horizontal="left"/>
    </xf>
    <xf numFmtId="0" fontId="43" fillId="0" borderId="0" xfId="8" applyFont="1" applyFill="1" applyBorder="1" applyAlignment="1">
      <alignment vertical="center"/>
    </xf>
    <xf numFmtId="0" fontId="37" fillId="0" borderId="0" xfId="0" applyFont="1" applyFill="1"/>
    <xf numFmtId="2" fontId="0" fillId="7" borderId="27" xfId="0" applyNumberFormat="1" applyFill="1" applyBorder="1" applyAlignment="1" applyProtection="1">
      <alignment horizontal="right"/>
      <protection locked="0" hidden="1"/>
    </xf>
    <xf numFmtId="0" fontId="0" fillId="19" borderId="0" xfId="0" applyFill="1"/>
    <xf numFmtId="0" fontId="0" fillId="0" borderId="5" xfId="0" applyFont="1" applyBorder="1"/>
    <xf numFmtId="0" fontId="0" fillId="0" borderId="0" xfId="0" applyFont="1" applyBorder="1"/>
    <xf numFmtId="0" fontId="44" fillId="0" borderId="0" xfId="0" applyFont="1" applyBorder="1"/>
    <xf numFmtId="2" fontId="45" fillId="0" borderId="0" xfId="0" quotePrefix="1" applyNumberFormat="1" applyFont="1" applyBorder="1"/>
    <xf numFmtId="0" fontId="0" fillId="0" borderId="0" xfId="0" applyFont="1" applyBorder="1" applyAlignment="1">
      <alignment horizontal="left"/>
    </xf>
    <xf numFmtId="0" fontId="44" fillId="0" borderId="0" xfId="0" applyFont="1" applyBorder="1" applyAlignment="1">
      <alignment horizontal="left"/>
    </xf>
    <xf numFmtId="2" fontId="0" fillId="0" borderId="0" xfId="0" applyNumberFormat="1" applyFont="1" applyBorder="1"/>
    <xf numFmtId="48" fontId="0" fillId="11" borderId="0" xfId="0" applyNumberFormat="1" applyFill="1"/>
    <xf numFmtId="48" fontId="0" fillId="0" borderId="0" xfId="0" applyNumberFormat="1"/>
    <xf numFmtId="164" fontId="0" fillId="11" borderId="0" xfId="0" applyNumberFormat="1" applyFill="1"/>
    <xf numFmtId="2" fontId="0" fillId="0" borderId="26" xfId="0" applyNumberFormat="1" applyBorder="1" applyProtection="1">
      <protection hidden="1"/>
    </xf>
    <xf numFmtId="2" fontId="0" fillId="0" borderId="0" xfId="0" applyNumberFormat="1" applyBorder="1" applyProtection="1">
      <protection hidden="1"/>
    </xf>
    <xf numFmtId="0" fontId="0" fillId="16" borderId="24" xfId="0" applyFill="1" applyBorder="1" applyAlignment="1" applyProtection="1">
      <alignment horizontal="right"/>
      <protection hidden="1"/>
    </xf>
    <xf numFmtId="48" fontId="0" fillId="9" borderId="0" xfId="0" applyNumberFormat="1" applyFill="1"/>
    <xf numFmtId="1" fontId="0" fillId="0" borderId="28" xfId="0" applyNumberFormat="1" applyFill="1" applyBorder="1" applyProtection="1">
      <protection hidden="1"/>
    </xf>
    <xf numFmtId="1" fontId="0" fillId="0" borderId="29" xfId="0" applyNumberFormat="1" applyFill="1" applyBorder="1" applyAlignment="1" applyProtection="1">
      <alignment horizontal="right"/>
      <protection hidden="1"/>
    </xf>
    <xf numFmtId="0" fontId="40" fillId="8" borderId="0" xfId="8" applyFill="1" applyBorder="1" applyAlignment="1" applyProtection="1">
      <alignment horizontal="center"/>
      <protection locked="0" hidden="1"/>
    </xf>
    <xf numFmtId="0" fontId="37" fillId="0" borderId="0" xfId="0" applyFont="1" applyAlignment="1">
      <alignment wrapText="1"/>
    </xf>
    <xf numFmtId="0" fontId="37" fillId="0" borderId="0" xfId="0" applyFont="1" applyAlignment="1">
      <alignment horizontal="center"/>
    </xf>
    <xf numFmtId="0" fontId="37" fillId="18" borderId="0" xfId="0" applyFont="1" applyFill="1" applyAlignment="1">
      <alignment horizontal="center"/>
    </xf>
    <xf numFmtId="0" fontId="42" fillId="17" borderId="0" xfId="0" applyFont="1" applyFill="1" applyAlignment="1">
      <alignment horizontal="left"/>
    </xf>
    <xf numFmtId="0" fontId="39" fillId="0" borderId="0" xfId="0" applyFont="1" applyAlignment="1">
      <alignment horizontal="left"/>
    </xf>
    <xf numFmtId="0" fontId="39" fillId="0" borderId="0" xfId="0" applyFont="1" applyAlignment="1">
      <alignment wrapText="1"/>
    </xf>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36" fillId="7" borderId="0" xfId="0" applyFont="1" applyFill="1" applyAlignment="1">
      <alignment horizontal="center"/>
    </xf>
    <xf numFmtId="0" fontId="36" fillId="7" borderId="1" xfId="0" applyFont="1" applyFill="1" applyBorder="1" applyAlignment="1">
      <alignment horizontal="center"/>
    </xf>
    <xf numFmtId="0" fontId="0" fillId="0" borderId="0" xfId="0" applyAlignment="1">
      <alignment horizontal="center" wrapText="1"/>
    </xf>
    <xf numFmtId="0" fontId="4" fillId="0" borderId="0" xfId="3" applyBorder="1" applyAlignment="1">
      <alignment horizontal="center"/>
    </xf>
    <xf numFmtId="0" fontId="0" fillId="0" borderId="0" xfId="0" applyBorder="1" applyAlignment="1">
      <alignment horizontal="center"/>
    </xf>
    <xf numFmtId="0" fontId="22" fillId="0" borderId="11" xfId="0" applyFont="1" applyBorder="1" applyAlignment="1">
      <alignment horizontal="center"/>
    </xf>
    <xf numFmtId="0" fontId="22" fillId="0" borderId="12" xfId="0" applyFont="1" applyBorder="1" applyAlignment="1">
      <alignment horizontal="center"/>
    </xf>
    <xf numFmtId="0" fontId="22" fillId="0" borderId="10"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cellXfs>
  <cellStyles count="9">
    <cellStyle name="Comma 2" xfId="5" xr:uid="{00000000-0005-0000-0000-000000000000}"/>
    <cellStyle name="Comma 3" xfId="2" xr:uid="{00000000-0005-0000-0000-000001000000}"/>
    <cellStyle name="Hyperlink" xfId="8" builtinId="8"/>
    <cellStyle name="Normal" xfId="0" builtinId="0"/>
    <cellStyle name="Normal 2" xfId="3" xr:uid="{00000000-0005-0000-0000-000003000000}"/>
    <cellStyle name="Normal 3" xfId="4" xr:uid="{00000000-0005-0000-0000-000004000000}"/>
    <cellStyle name="Normal 4" xfId="1" xr:uid="{00000000-0005-0000-0000-000005000000}"/>
    <cellStyle name="Normal 4 2" xfId="7" xr:uid="{00000000-0005-0000-0000-000006000000}"/>
    <cellStyle name="Normal 4 3" xfId="6" xr:uid="{00000000-0005-0000-0000-000007000000}"/>
  </cellStyles>
  <dxfs count="12">
    <dxf>
      <font>
        <b val="0"/>
        <i val="0"/>
      </font>
      <fill>
        <patternFill>
          <bgColor rgb="FFFF0000"/>
        </patternFill>
      </fill>
    </dxf>
    <dxf>
      <font>
        <color auto="1"/>
      </font>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FF0000"/>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Loop_Modeling!$AT$19:$AT$560</c:f>
              <c:numCache>
                <c:formatCode>0.000</c:formatCode>
                <c:ptCount val="542"/>
                <c:pt idx="0">
                  <c:v>90.605732095611145</c:v>
                </c:pt>
                <c:pt idx="1">
                  <c:v>90.403846872918933</c:v>
                </c:pt>
                <c:pt idx="2">
                  <c:v>90.201873679676595</c:v>
                </c:pt>
                <c:pt idx="3">
                  <c:v>89.999808453721329</c:v>
                </c:pt>
                <c:pt idx="4">
                  <c:v>89.797646949399933</c:v>
                </c:pt>
                <c:pt idx="5">
                  <c:v>89.595384729669107</c:v>
                </c:pt>
                <c:pt idx="6">
                  <c:v>89.393017157893908</c:v>
                </c:pt>
                <c:pt idx="7">
                  <c:v>89.190539389334958</c:v>
                </c:pt>
                <c:pt idx="8">
                  <c:v>88.987946362318013</c:v>
                </c:pt>
                <c:pt idx="9">
                  <c:v>88.785232789075735</c:v>
                </c:pt>
                <c:pt idx="10">
                  <c:v>88.582393146258738</c:v>
                </c:pt>
                <c:pt idx="11">
                  <c:v>88.379421665103592</c:v>
                </c:pt>
                <c:pt idx="12">
                  <c:v>88.176312321256887</c:v>
                </c:pt>
                <c:pt idx="13">
                  <c:v>87.973058824244518</c:v>
                </c:pt>
                <c:pt idx="14">
                  <c:v>87.769654606584481</c:v>
                </c:pt>
                <c:pt idx="15">
                  <c:v>87.566092812536255</c:v>
                </c:pt>
                <c:pt idx="16">
                  <c:v>87.362366286484132</c:v>
                </c:pt>
                <c:pt idx="17">
                  <c:v>87.158467560951237</c:v>
                </c:pt>
                <c:pt idx="18">
                  <c:v>86.954388844241663</c:v>
                </c:pt>
                <c:pt idx="19">
                  <c:v>86.750122007711553</c:v>
                </c:pt>
                <c:pt idx="20">
                  <c:v>86.545658572667733</c:v>
                </c:pt>
                <c:pt idx="21">
                  <c:v>86.34098969689795</c:v>
                </c:pt>
                <c:pt idx="22">
                  <c:v>86.136106160835169</c:v>
                </c:pt>
                <c:pt idx="23">
                  <c:v>85.930998353361275</c:v>
                </c:pt>
                <c:pt idx="24">
                  <c:v>85.725656257259516</c:v>
                </c:pt>
                <c:pt idx="25">
                  <c:v>85.520069434323005</c:v>
                </c:pt>
                <c:pt idx="26">
                  <c:v>85.314227010134232</c:v>
                </c:pt>
                <c:pt idx="27">
                  <c:v>85.108117658527348</c:v>
                </c:pt>
                <c:pt idx="28">
                  <c:v>84.901729585755291</c:v>
                </c:pt>
                <c:pt idx="29">
                  <c:v>84.695050514378224</c:v>
                </c:pt>
                <c:pt idx="30">
                  <c:v>84.488067666901912</c:v>
                </c:pt>
                <c:pt idx="31">
                  <c:v>84.280767749191327</c:v>
                </c:pt>
                <c:pt idx="32">
                  <c:v>84.073136933694045</c:v>
                </c:pt>
                <c:pt idx="33">
                  <c:v>83.865160842509269</c:v>
                </c:pt>
                <c:pt idx="34">
                  <c:v>83.656824530343314</c:v>
                </c:pt>
                <c:pt idx="35">
                  <c:v>83.448112467400136</c:v>
                </c:pt>
                <c:pt idx="36">
                  <c:v>83.239008522256043</c:v>
                </c:pt>
                <c:pt idx="37">
                  <c:v>83.029495944778603</c:v>
                </c:pt>
                <c:pt idx="38">
                  <c:v>82.819557349152376</c:v>
                </c:pt>
                <c:pt idx="39">
                  <c:v>82.609174697080689</c:v>
                </c:pt>
                <c:pt idx="40">
                  <c:v>82.398329281241985</c:v>
                </c:pt>
                <c:pt idx="41">
                  <c:v>82.187001709082992</c:v>
                </c:pt>
                <c:pt idx="42">
                  <c:v>81.975171887040418</c:v>
                </c:pt>
                <c:pt idx="43">
                  <c:v>81.762819005290183</c:v>
                </c:pt>
                <c:pt idx="44">
                  <c:v>81.549921523130067</c:v>
                </c:pt>
                <c:pt idx="45">
                  <c:v>81.33645715511166</c:v>
                </c:pt>
                <c:pt idx="46">
                  <c:v>81.122402858042847</c:v>
                </c:pt>
                <c:pt idx="47">
                  <c:v>80.907734818993816</c:v>
                </c:pt>
                <c:pt idx="48">
                  <c:v>80.692428444446335</c:v>
                </c:pt>
                <c:pt idx="49">
                  <c:v>80.476458350733111</c:v>
                </c:pt>
                <c:pt idx="50">
                  <c:v>80.259798355924858</c:v>
                </c:pt>
                <c:pt idx="51">
                  <c:v>80.042421473330293</c:v>
                </c:pt>
                <c:pt idx="52">
                  <c:v>79.824299906780539</c:v>
                </c:pt>
                <c:pt idx="53">
                  <c:v>79.605405047877852</c:v>
                </c:pt>
                <c:pt idx="54">
                  <c:v>79.385707475396686</c:v>
                </c:pt>
                <c:pt idx="55">
                  <c:v>79.165176957028137</c:v>
                </c:pt>
                <c:pt idx="56">
                  <c:v>78.943782453667509</c:v>
                </c:pt>
                <c:pt idx="57">
                  <c:v>78.721492126446407</c:v>
                </c:pt>
                <c:pt idx="58">
                  <c:v>78.498273346714328</c:v>
                </c:pt>
                <c:pt idx="59">
                  <c:v>78.27409270917795</c:v>
                </c:pt>
                <c:pt idx="60">
                  <c:v>78.04891604840256</c:v>
                </c:pt>
                <c:pt idx="61">
                  <c:v>77.822708458883497</c:v>
                </c:pt>
                <c:pt idx="62">
                  <c:v>77.595434318885538</c:v>
                </c:pt>
                <c:pt idx="63">
                  <c:v>77.367057318245514</c:v>
                </c:pt>
                <c:pt idx="64">
                  <c:v>77.137540490326074</c:v>
                </c:pt>
                <c:pt idx="65">
                  <c:v>76.906846248292553</c:v>
                </c:pt>
                <c:pt idx="66">
                  <c:v>76.674936425873554</c:v>
                </c:pt>
                <c:pt idx="67">
                  <c:v>76.44177232275004</c:v>
                </c:pt>
                <c:pt idx="68">
                  <c:v>76.207314754693144</c:v>
                </c:pt>
                <c:pt idx="69">
                  <c:v>75.971524108550256</c:v>
                </c:pt>
                <c:pt idx="70">
                  <c:v>75.734360402150898</c:v>
                </c:pt>
                <c:pt idx="71">
                  <c:v>75.49578334917355</c:v>
                </c:pt>
                <c:pt idx="72">
                  <c:v>75.255752428978667</c:v>
                </c:pt>
                <c:pt idx="73">
                  <c:v>75.014226961379052</c:v>
                </c:pt>
                <c:pt idx="74">
                  <c:v>74.771166186275636</c:v>
                </c:pt>
                <c:pt idx="75">
                  <c:v>74.526529348043042</c:v>
                </c:pt>
                <c:pt idx="76">
                  <c:v>74.280275784505434</c:v>
                </c:pt>
                <c:pt idx="77">
                  <c:v>74.032365020291564</c:v>
                </c:pt>
                <c:pt idx="78">
                  <c:v>73.782756864308269</c:v>
                </c:pt>
                <c:pt idx="79">
                  <c:v>73.531411511021346</c:v>
                </c:pt>
                <c:pt idx="80">
                  <c:v>73.278289645176756</c:v>
                </c:pt>
                <c:pt idx="81">
                  <c:v>73.023352549544398</c:v>
                </c:pt>
                <c:pt idx="82">
                  <c:v>72.766562215213455</c:v>
                </c:pt>
                <c:pt idx="83">
                  <c:v>72.507881453917662</c:v>
                </c:pt>
                <c:pt idx="84">
                  <c:v>72.247274011818888</c:v>
                </c:pt>
                <c:pt idx="85">
                  <c:v>71.98470468413332</c:v>
                </c:pt>
                <c:pt idx="86">
                  <c:v>71.720139429942321</c:v>
                </c:pt>
                <c:pt idx="87">
                  <c:v>71.453545486492672</c:v>
                </c:pt>
                <c:pt idx="88">
                  <c:v>71.184891482261264</c:v>
                </c:pt>
                <c:pt idx="89">
                  <c:v>70.914147548033881</c:v>
                </c:pt>
                <c:pt idx="90">
                  <c:v>70.641285425232269</c:v>
                </c:pt>
                <c:pt idx="91">
                  <c:v>70.366278570714485</c:v>
                </c:pt>
                <c:pt idx="92">
                  <c:v>70.089102257273424</c:v>
                </c:pt>
                <c:pt idx="93">
                  <c:v>69.809733669067768</c:v>
                </c:pt>
                <c:pt idx="94">
                  <c:v>69.528151991239142</c:v>
                </c:pt>
                <c:pt idx="95">
                  <c:v>69.244338492997258</c:v>
                </c:pt>
                <c:pt idx="96">
                  <c:v>68.958276603491811</c:v>
                </c:pt>
                <c:pt idx="97">
                  <c:v>68.669951979838231</c:v>
                </c:pt>
                <c:pt idx="98">
                  <c:v>68.379352566721238</c:v>
                </c:pt>
                <c:pt idx="99">
                  <c:v>68.08646864706192</c:v>
                </c:pt>
                <c:pt idx="100">
                  <c:v>67.791292883308543</c:v>
                </c:pt>
                <c:pt idx="101">
                  <c:v>67.493820348989729</c:v>
                </c:pt>
                <c:pt idx="102">
                  <c:v>67.194048550250201</c:v>
                </c:pt>
                <c:pt idx="103">
                  <c:v>66.89197743717969</c:v>
                </c:pt>
                <c:pt idx="104">
                  <c:v>66.587609404837622</c:v>
                </c:pt>
                <c:pt idx="105">
                  <c:v>66.280949283964475</c:v>
                </c:pt>
                <c:pt idx="106">
                  <c:v>65.972004321469115</c:v>
                </c:pt>
                <c:pt idx="107">
                  <c:v>65.660784150868622</c:v>
                </c:pt>
                <c:pt idx="108">
                  <c:v>65.347300752947774</c:v>
                </c:pt>
                <c:pt idx="109">
                  <c:v>65.031568406989138</c:v>
                </c:pt>
                <c:pt idx="110">
                  <c:v>64.713603633004993</c:v>
                </c:pt>
                <c:pt idx="111">
                  <c:v>64.393425125475289</c:v>
                </c:pt>
                <c:pt idx="112">
                  <c:v>64.071053679159306</c:v>
                </c:pt>
                <c:pt idx="113">
                  <c:v>63.746512107609377</c:v>
                </c:pt>
                <c:pt idx="114">
                  <c:v>63.419825155062028</c:v>
                </c:pt>
                <c:pt idx="115">
                  <c:v>63.091019402419704</c:v>
                </c:pt>
                <c:pt idx="116">
                  <c:v>62.76012316806888</c:v>
                </c:pt>
                <c:pt idx="117">
                  <c:v>62.42716640429915</c:v>
                </c:pt>
                <c:pt idx="118">
                  <c:v>62.092180590098558</c:v>
                </c:pt>
                <c:pt idx="119">
                  <c:v>61.755198621100256</c:v>
                </c:pt>
                <c:pt idx="120">
                  <c:v>61.416254697454448</c:v>
                </c:pt>
                <c:pt idx="121">
                  <c:v>61.075384210374217</c:v>
                </c:pt>
                <c:pt idx="122">
                  <c:v>60.732623628090764</c:v>
                </c:pt>
                <c:pt idx="123">
                  <c:v>60.388010381916104</c:v>
                </c:pt>
                <c:pt idx="124">
                  <c:v>60.041582753080228</c:v>
                </c:pt>
                <c:pt idx="125">
                  <c:v>59.693379760966572</c:v>
                </c:pt>
                <c:pt idx="126">
                  <c:v>59.343441053323758</c:v>
                </c:pt>
                <c:pt idx="127">
                  <c:v>58.991806798988115</c:v>
                </c:pt>
                <c:pt idx="128">
                  <c:v>58.638517583593092</c:v>
                </c:pt>
                <c:pt idx="129">
                  <c:v>58.283614308695221</c:v>
                </c:pt>
                <c:pt idx="130">
                  <c:v>57.927138094693582</c:v>
                </c:pt>
                <c:pt idx="131">
                  <c:v>57.569130187861191</c:v>
                </c:pt>
                <c:pt idx="132">
                  <c:v>57.209631871762909</c:v>
                </c:pt>
                <c:pt idx="133">
                  <c:v>56.848684383273948</c:v>
                </c:pt>
                <c:pt idx="134">
                  <c:v>56.486328833373989</c:v>
                </c:pt>
                <c:pt idx="135">
                  <c:v>56.122606132838484</c:v>
                </c:pt>
                <c:pt idx="136">
                  <c:v>55.757556922905579</c:v>
                </c:pt>
                <c:pt idx="137">
                  <c:v>55.391221510960513</c:v>
                </c:pt>
                <c:pt idx="138">
                  <c:v>55.023639811236436</c:v>
                </c:pt>
                <c:pt idx="139">
                  <c:v>54.654851290497859</c:v>
                </c:pt>
                <c:pt idx="140">
                  <c:v>54.284894918644682</c:v>
                </c:pt>
                <c:pt idx="141">
                  <c:v>53.913809124141004</c:v>
                </c:pt>
                <c:pt idx="142">
                  <c:v>53.541631754157208</c:v>
                </c:pt>
                <c:pt idx="143">
                  <c:v>53.168400039283796</c:v>
                </c:pt>
                <c:pt idx="144">
                  <c:v>52.794150562664697</c:v>
                </c:pt>
                <c:pt idx="145">
                  <c:v>52.41891923338131</c:v>
                </c:pt>
                <c:pt idx="146">
                  <c:v>52.042741263903132</c:v>
                </c:pt>
                <c:pt idx="147">
                  <c:v>51.665651151419134</c:v>
                </c:pt>
                <c:pt idx="148">
                  <c:v>51.287682662850727</c:v>
                </c:pt>
                <c:pt idx="149">
                  <c:v>50.90886882334658</c:v>
                </c:pt>
                <c:pt idx="150">
                  <c:v>50.529241908056605</c:v>
                </c:pt>
                <c:pt idx="151">
                  <c:v>50.148833436982798</c:v>
                </c:pt>
                <c:pt idx="152">
                  <c:v>49.767674172705924</c:v>
                </c:pt>
                <c:pt idx="153">
                  <c:v>49.38579412078645</c:v>
                </c:pt>
                <c:pt idx="154">
                  <c:v>49.003222532651741</c:v>
                </c:pt>
                <c:pt idx="155">
                  <c:v>48.619987910773744</c:v>
                </c:pt>
                <c:pt idx="156">
                  <c:v>48.236118015959605</c:v>
                </c:pt>
                <c:pt idx="157">
                  <c:v>47.851639876576357</c:v>
                </c:pt>
                <c:pt idx="158">
                  <c:v>47.466579799542444</c:v>
                </c:pt>
                <c:pt idx="159">
                  <c:v>47.080963382925944</c:v>
                </c:pt>
                <c:pt idx="160">
                  <c:v>46.694815529995935</c:v>
                </c:pt>
                <c:pt idx="161">
                  <c:v>46.308160464585335</c:v>
                </c:pt>
                <c:pt idx="162">
                  <c:v>45.921021747628458</c:v>
                </c:pt>
                <c:pt idx="163">
                  <c:v>45.533422294747396</c:v>
                </c:pt>
                <c:pt idx="164">
                  <c:v>45.14538439476955</c:v>
                </c:pt>
                <c:pt idx="165">
                  <c:v>44.756929729066997</c:v>
                </c:pt>
                <c:pt idx="166">
                  <c:v>44.368079391616071</c:v>
                </c:pt>
                <c:pt idx="167">
                  <c:v>43.978853909684297</c:v>
                </c:pt>
                <c:pt idx="168">
                  <c:v>43.589273265060811</c:v>
                </c:pt>
                <c:pt idx="169">
                  <c:v>43.199356915749661</c:v>
                </c:pt>
                <c:pt idx="170">
                  <c:v>42.809123818059746</c:v>
                </c:pt>
                <c:pt idx="171">
                  <c:v>42.418592449023407</c:v>
                </c:pt>
                <c:pt idx="172">
                  <c:v>42.027780829091824</c:v>
                </c:pt>
                <c:pt idx="173">
                  <c:v>41.63670654505087</c:v>
                </c:pt>
                <c:pt idx="174">
                  <c:v>41.245386773118497</c:v>
                </c:pt>
                <c:pt idx="175">
                  <c:v>40.853838302180137</c:v>
                </c:pt>
                <c:pt idx="176">
                  <c:v>40.462077557129525</c:v>
                </c:pt>
                <c:pt idx="177">
                  <c:v>40.070120622286908</c:v>
                </c:pt>
                <c:pt idx="178">
                  <c:v>39.677983264866938</c:v>
                </c:pt>
                <c:pt idx="179">
                  <c:v>39.28568095847946</c:v>
                </c:pt>
                <c:pt idx="180">
                  <c:v>38.893228906642349</c:v>
                </c:pt>
                <c:pt idx="181">
                  <c:v>38.500642066296088</c:v>
                </c:pt>
                <c:pt idx="182">
                  <c:v>38.107935171308078</c:v>
                </c:pt>
                <c:pt idx="183">
                  <c:v>37.715122755960486</c:v>
                </c:pt>
                <c:pt idx="184">
                  <c:v>37.322219178415324</c:v>
                </c:pt>
                <c:pt idx="185">
                  <c:v>36.929238644155788</c:v>
                </c:pt>
                <c:pt idx="186">
                  <c:v>36.536195229402082</c:v>
                </c:pt>
                <c:pt idx="187">
                  <c:v>36.143102904503252</c:v>
                </c:pt>
                <c:pt idx="188">
                  <c:v>35.749975557307422</c:v>
                </c:pt>
                <c:pt idx="189">
                  <c:v>35.356827016514487</c:v>
                </c:pt>
                <c:pt idx="190">
                  <c:v>34.963671075014375</c:v>
                </c:pt>
                <c:pt idx="191">
                  <c:v>34.570521513218594</c:v>
                </c:pt>
                <c:pt idx="192">
                  <c:v>34.177392122388241</c:v>
                </c:pt>
                <c:pt idx="193">
                  <c:v>33.7842967279649</c:v>
                </c:pt>
                <c:pt idx="194">
                  <c:v>33.391249212911035</c:v>
                </c:pt>
                <c:pt idx="195">
                  <c:v>32.998263541064517</c:v>
                </c:pt>
                <c:pt idx="196">
                  <c:v>32.605353780510093</c:v>
                </c:pt>
                <c:pt idx="197">
                  <c:v>32.212534126975136</c:v>
                </c:pt>
                <c:pt idx="198">
                  <c:v>31.819818927249766</c:v>
                </c:pt>
                <c:pt idx="199">
                  <c:v>31.427222702632136</c:v>
                </c:pt>
                <c:pt idx="200">
                  <c:v>31.034760172400837</c:v>
                </c:pt>
                <c:pt idx="201">
                  <c:v>30.642446277310089</c:v>
                </c:pt>
                <c:pt idx="202">
                  <c:v>30.250296203103719</c:v>
                </c:pt>
                <c:pt idx="203">
                  <c:v>29.85832540404008</c:v>
                </c:pt>
                <c:pt idx="204">
                  <c:v>29.466549626420615</c:v>
                </c:pt>
                <c:pt idx="205">
                  <c:v>29.074984932104133</c:v>
                </c:pt>
                <c:pt idx="206">
                  <c:v>28.683647721996401</c:v>
                </c:pt>
                <c:pt idx="207">
                  <c:v>28.292554759488731</c:v>
                </c:pt>
                <c:pt idx="208">
                  <c:v>27.901723193825934</c:v>
                </c:pt>
                <c:pt idx="209">
                  <c:v>27.51117058337266</c:v>
                </c:pt>
                <c:pt idx="210">
                  <c:v>27.120914918743967</c:v>
                </c:pt>
                <c:pt idx="211">
                  <c:v>26.73097464576373</c:v>
                </c:pt>
                <c:pt idx="212">
                  <c:v>26.341368688204533</c:v>
                </c:pt>
                <c:pt idx="213">
                  <c:v>25.952116470259135</c:v>
                </c:pt>
                <c:pt idx="214">
                  <c:v>25.563237938689923</c:v>
                </c:pt>
                <c:pt idx="215">
                  <c:v>25.17475358458972</c:v>
                </c:pt>
                <c:pt idx="216">
                  <c:v>24.78668446468733</c:v>
                </c:pt>
                <c:pt idx="217">
                  <c:v>24.399052222118975</c:v>
                </c:pt>
                <c:pt idx="218">
                  <c:v>24.01187910658318</c:v>
                </c:pt>
                <c:pt idx="219">
                  <c:v>23.625187993784603</c:v>
                </c:pt>
                <c:pt idx="220">
                  <c:v>23.239002404068962</c:v>
                </c:pt>
                <c:pt idx="221">
                  <c:v>22.853346520137727</c:v>
                </c:pt>
                <c:pt idx="222">
                  <c:v>22.468245203729285</c:v>
                </c:pt>
                <c:pt idx="223">
                  <c:v>22.083724011136958</c:v>
                </c:pt>
                <c:pt idx="224">
                  <c:v>21.699809207432068</c:v>
                </c:pt>
                <c:pt idx="225">
                  <c:v>21.316527779250016</c:v>
                </c:pt>
                <c:pt idx="226">
                  <c:v>20.933907445984392</c:v>
                </c:pt>
                <c:pt idx="227">
                  <c:v>20.5519766692343</c:v>
                </c:pt>
                <c:pt idx="228">
                  <c:v>20.170764660334342</c:v>
                </c:pt>
                <c:pt idx="229">
                  <c:v>19.790301385791512</c:v>
                </c:pt>
                <c:pt idx="230">
                  <c:v>19.410617570450132</c:v>
                </c:pt>
                <c:pt idx="231">
                  <c:v>19.031744698193286</c:v>
                </c:pt>
                <c:pt idx="232">
                  <c:v>18.653715009990272</c:v>
                </c:pt>
                <c:pt idx="233">
                  <c:v>18.276561499087904</c:v>
                </c:pt>
                <c:pt idx="234">
                  <c:v>17.900317903149659</c:v>
                </c:pt>
                <c:pt idx="235">
                  <c:v>17.525018693136609</c:v>
                </c:pt>
                <c:pt idx="236">
                  <c:v>17.150699058728364</c:v>
                </c:pt>
                <c:pt idx="237">
                  <c:v>16.77739489008481</c:v>
                </c:pt>
                <c:pt idx="238">
                  <c:v>16.405142755749896</c:v>
                </c:pt>
                <c:pt idx="239">
                  <c:v>16.033979876508649</c:v>
                </c:pt>
                <c:pt idx="240">
                  <c:v>15.663944095015802</c:v>
                </c:pt>
                <c:pt idx="241">
                  <c:v>15.295073841023019</c:v>
                </c:pt>
                <c:pt idx="242">
                  <c:v>14.927408092053264</c:v>
                </c:pt>
                <c:pt idx="243">
                  <c:v>14.560986329380611</c:v>
                </c:pt>
                <c:pt idx="244">
                  <c:v>14.195848489197525</c:v>
                </c:pt>
                <c:pt idx="245">
                  <c:v>13.832034908876864</c:v>
                </c:pt>
                <c:pt idx="246">
                  <c:v>13.469586268261409</c:v>
                </c:pt>
                <c:pt idx="247">
                  <c:v>13.108543525943697</c:v>
                </c:pt>
                <c:pt idx="248">
                  <c:v>12.748947850536345</c:v>
                </c:pt>
                <c:pt idx="249">
                  <c:v>12.390840546965556</c:v>
                </c:pt>
                <c:pt idx="250">
                  <c:v>12.034262977866879</c:v>
                </c:pt>
                <c:pt idx="251">
                  <c:v>11.679256480200838</c:v>
                </c:pt>
                <c:pt idx="252">
                  <c:v>11.325862277257118</c:v>
                </c:pt>
                <c:pt idx="253">
                  <c:v>10.974121386259149</c:v>
                </c:pt>
                <c:pt idx="254">
                  <c:v>10.624074521838295</c:v>
                </c:pt>
                <c:pt idx="255">
                  <c:v>10.275761995693159</c:v>
                </c:pt>
                <c:pt idx="256">
                  <c:v>9.9292236128057212</c:v>
                </c:pt>
                <c:pt idx="257">
                  <c:v>9.584498564637963</c:v>
                </c:pt>
                <c:pt idx="258">
                  <c:v>9.2416253197838696</c:v>
                </c:pt>
                <c:pt idx="259">
                  <c:v>8.9006415126058371</c:v>
                </c:pt>
                <c:pt idx="260">
                  <c:v>8.5615838304284058</c:v>
                </c:pt>
                <c:pt idx="261">
                  <c:v>8.2244878999130062</c:v>
                </c:pt>
                <c:pt idx="262">
                  <c:v>7.8893881732737405</c:v>
                </c:pt>
                <c:pt idx="263">
                  <c:v>7.5563178150340011</c:v>
                </c:pt>
                <c:pt idx="264">
                  <c:v>7.225308590052709</c:v>
                </c:pt>
                <c:pt idx="265">
                  <c:v>6.8963907535732449</c:v>
                </c:pt>
                <c:pt idx="266">
                  <c:v>6.5695929440642047</c:v>
                </c:pt>
                <c:pt idx="267">
                  <c:v>6.2449420796289008</c:v>
                </c:pt>
                <c:pt idx="268">
                  <c:v>5.9224632587604695</c:v>
                </c:pt>
                <c:pt idx="269">
                  <c:v>5.6021796662096985</c:v>
                </c:pt>
                <c:pt idx="270">
                  <c:v>5.2841124847124989</c:v>
                </c:pt>
                <c:pt idx="271">
                  <c:v>4.9682808132958201</c:v>
                </c:pt>
                <c:pt idx="272">
                  <c:v>4.6547015928421933</c:v>
                </c:pt>
                <c:pt idx="273">
                  <c:v>4.3433895395458419</c:v>
                </c:pt>
                <c:pt idx="274">
                  <c:v>4.0343570868350938</c:v>
                </c:pt>
                <c:pt idx="275">
                  <c:v>3.7276143362732035</c:v>
                </c:pt>
                <c:pt idx="276">
                  <c:v>3.4231690178754852</c:v>
                </c:pt>
                <c:pt idx="277">
                  <c:v>3.1210264602036841</c:v>
                </c:pt>
                <c:pt idx="278">
                  <c:v>2.8211895705114904</c:v>
                </c:pt>
                <c:pt idx="279">
                  <c:v>2.5236588251305161</c:v>
                </c:pt>
                <c:pt idx="280">
                  <c:v>2.2284322701921551</c:v>
                </c:pt>
                <c:pt idx="281">
                  <c:v>1.9355055326876991</c:v>
                </c:pt>
                <c:pt idx="282">
                  <c:v>1.6448718417796317</c:v>
                </c:pt>
                <c:pt idx="283">
                  <c:v>1.3565220601819821</c:v>
                </c:pt>
                <c:pt idx="284">
                  <c:v>1.0704447253417322</c:v>
                </c:pt>
                <c:pt idx="285">
                  <c:v>0.78662610006782896</c:v>
                </c:pt>
                <c:pt idx="286">
                  <c:v>0.5050502321750826</c:v>
                </c:pt>
                <c:pt idx="287">
                  <c:v>0.22569902263926159</c:v>
                </c:pt>
                <c:pt idx="288">
                  <c:v>-5.1447698307369394E-2</c:v>
                </c:pt>
                <c:pt idx="289">
                  <c:v>-0.32641208776626746</c:v>
                </c:pt>
                <c:pt idx="290">
                  <c:v>-0.59921820012385951</c:v>
                </c:pt>
                <c:pt idx="291">
                  <c:v>-0.86989189107569143</c:v>
                </c:pt>
                <c:pt idx="292">
                  <c:v>-1.1384607164685752</c:v>
                </c:pt>
                <c:pt idx="293">
                  <c:v>-1.4049538267202002</c:v>
                </c:pt>
                <c:pt idx="294">
                  <c:v>-1.669401857589935</c:v>
                </c:pt>
                <c:pt idx="295">
                  <c:v>-1.9318368180741199</c:v>
                </c:pt>
                <c:pt idx="296">
                  <c:v>-2.1922919761899267</c:v>
                </c:pt>
                <c:pt idx="297">
                  <c:v>-2.4508017433976601</c:v>
                </c:pt>
                <c:pt idx="298">
                  <c:v>-2.7074015583865139</c:v>
                </c:pt>
                <c:pt idx="299">
                  <c:v>-2.9621277709201612</c:v>
                </c:pt>
                <c:pt idx="300">
                  <c:v>-3.2150175263991434</c:v>
                </c:pt>
                <c:pt idx="301">
                  <c:v>-3.4661086517586925</c:v>
                </c:pt>
                <c:pt idx="302">
                  <c:v>-3.7154395432747656</c:v>
                </c:pt>
                <c:pt idx="303">
                  <c:v>-3.9630490568003065</c:v>
                </c:pt>
                <c:pt idx="304">
                  <c:v>-4.208976400904997</c:v>
                </c:pt>
                <c:pt idx="305">
                  <c:v>-4.4532610333394098</c:v>
                </c:pt>
                <c:pt idx="306">
                  <c:v>-4.69594256118764</c:v>
                </c:pt>
                <c:pt idx="307">
                  <c:v>-4.9370606450276178</c:v>
                </c:pt>
                <c:pt idx="308">
                  <c:v>-5.1766549073536616</c:v>
                </c:pt>
                <c:pt idx="309">
                  <c:v>-5.41476484547852</c:v>
                </c:pt>
                <c:pt idx="310">
                  <c:v>-5.6514297490732872</c:v>
                </c:pt>
                <c:pt idx="311">
                  <c:v>-5.8866886224597694</c:v>
                </c:pt>
                <c:pt idx="312">
                  <c:v>-6.1205801117289429</c:v>
                </c:pt>
                <c:pt idx="313">
                  <c:v>-6.3531424367133882</c:v>
                </c:pt>
                <c:pt idx="314">
                  <c:v>-6.5844133278067405</c:v>
                </c:pt>
                <c:pt idx="315">
                  <c:v>-6.8144299675880484</c:v>
                </c:pt>
                <c:pt idx="316">
                  <c:v>-7.0432289371778722</c:v>
                </c:pt>
                <c:pt idx="317">
                  <c:v>-7.2708461672257974</c:v>
                </c:pt>
                <c:pt idx="318">
                  <c:v>-7.4973168934021919</c:v>
                </c:pt>
                <c:pt idx="319">
                  <c:v>-7.7226756162526584</c:v>
                </c:pt>
                <c:pt idx="320">
                  <c:v>-7.9469560652469777</c:v>
                </c:pt>
                <c:pt idx="321">
                  <c:v>-8.1701911668473048</c:v>
                </c:pt>
                <c:pt idx="322">
                  <c:v>-8.3924130164055448</c:v>
                </c:pt>
                <c:pt idx="323">
                  <c:v>-8.6136528536899064</c:v>
                </c:pt>
                <c:pt idx="324">
                  <c:v>-8.8339410418372637</c:v>
                </c:pt>
                <c:pt idx="325">
                  <c:v>-9.053307049520134</c:v>
                </c:pt>
                <c:pt idx="326">
                  <c:v>-9.2717794361177823</c:v>
                </c:pt>
                <c:pt idx="327">
                  <c:v>-9.4893858396797413</c:v>
                </c:pt>
                <c:pt idx="328">
                  <c:v>-9.7061529674711124</c:v>
                </c:pt>
                <c:pt idx="329">
                  <c:v>-9.9221065888936781</c:v>
                </c:pt>
                <c:pt idx="330">
                  <c:v>-10.137271530577054</c:v>
                </c:pt>
                <c:pt idx="331">
                  <c:v>-10.35167167344559</c:v>
                </c:pt>
                <c:pt idx="332">
                  <c:v>-10.565329951566778</c:v>
                </c:pt>
                <c:pt idx="333">
                  <c:v>-10.778268352598433</c:v>
                </c:pt>
                <c:pt idx="334">
                  <c:v>-10.990507919657365</c:v>
                </c:pt>
                <c:pt idx="335">
                  <c:v>-11.202068754440145</c:v>
                </c:pt>
                <c:pt idx="336">
                  <c:v>-11.412970021436941</c:v>
                </c:pt>
                <c:pt idx="337">
                  <c:v>-11.623229953086385</c:v>
                </c:pt>
                <c:pt idx="338">
                  <c:v>-11.832865855730056</c:v>
                </c:pt>
                <c:pt idx="339">
                  <c:v>-12.04189411623117</c:v>
                </c:pt>
                <c:pt idx="340">
                  <c:v>-12.25033020913591</c:v>
                </c:pt>
                <c:pt idx="341">
                  <c:v>-12.458188704260387</c:v>
                </c:pt>
                <c:pt idx="342">
                  <c:v>-12.665483274598383</c:v>
                </c:pt>
                <c:pt idx="343">
                  <c:v>-12.872226704451409</c:v>
                </c:pt>
                <c:pt idx="344">
                  <c:v>-13.078430897694455</c:v>
                </c:pt>
                <c:pt idx="345">
                  <c:v>-13.284106886095801</c:v>
                </c:pt>
                <c:pt idx="346">
                  <c:v>-13.489264837621873</c:v>
                </c:pt>
                <c:pt idx="347">
                  <c:v>-13.693914064661287</c:v>
                </c:pt>
                <c:pt idx="348">
                  <c:v>-13.898063032116745</c:v>
                </c:pt>
                <c:pt idx="349">
                  <c:v>-14.101719365314874</c:v>
                </c:pt>
                <c:pt idx="350">
                  <c:v>-14.304889857697471</c:v>
                </c:pt>
                <c:pt idx="351">
                  <c:v>-14.50758047826054</c:v>
                </c:pt>
                <c:pt idx="352">
                  <c:v>-14.709796378720073</c:v>
                </c:pt>
                <c:pt idx="353">
                  <c:v>-14.91154190038513</c:v>
                </c:pt>
                <c:pt idx="354">
                  <c:v>-15.112820580732985</c:v>
                </c:pt>
                <c:pt idx="355">
                  <c:v>-15.313635159680548</c:v>
                </c:pt>
                <c:pt idx="356">
                  <c:v>-15.513987585562163</c:v>
                </c:pt>
                <c:pt idx="357">
                  <c:v>-15.71387902082275</c:v>
                </c:pt>
                <c:pt idx="358">
                  <c:v>-15.913309847449035</c:v>
                </c:pt>
                <c:pt idx="359">
                  <c:v>-16.112279672165588</c:v>
                </c:pt>
                <c:pt idx="360">
                  <c:v>-16.310787331430308</c:v>
                </c:pt>
                <c:pt idx="361">
                  <c:v>-16.508830896272187</c:v>
                </c:pt>
                <c:pt idx="362">
                  <c:v>-16.706407677020753</c:v>
                </c:pt>
                <c:pt idx="363">
                  <c:v>-16.903514227985507</c:v>
                </c:pt>
                <c:pt idx="364">
                  <c:v>-17.100146352149892</c:v>
                </c:pt>
                <c:pt idx="365">
                  <c:v>-17.296299105954201</c:v>
                </c:pt>
                <c:pt idx="366">
                  <c:v>-17.49196680424804</c:v>
                </c:pt>
                <c:pt idx="367">
                  <c:v>-17.687143025502614</c:v>
                </c:pt>
                <c:pt idx="368">
                  <c:v>-17.881820617382296</c:v>
                </c:pt>
                <c:pt idx="369">
                  <c:v>-18.075991702780055</c:v>
                </c:pt>
                <c:pt idx="370">
                  <c:v>-18.269647686434801</c:v>
                </c:pt>
                <c:pt idx="371">
                  <c:v>-18.462779262254791</c:v>
                </c:pt>
                <c:pt idx="372">
                  <c:v>-18.655376421479868</c:v>
                </c:pt>
                <c:pt idx="373">
                  <c:v>-18.847428461826631</c:v>
                </c:pt>
                <c:pt idx="374">
                  <c:v>-19.038923997767906</c:v>
                </c:pt>
                <c:pt idx="375">
                  <c:v>-19.229850972107577</c:v>
                </c:pt>
                <c:pt idx="376">
                  <c:v>-19.420196669020761</c:v>
                </c:pt>
                <c:pt idx="377">
                  <c:v>-19.609947728737261</c:v>
                </c:pt>
                <c:pt idx="378">
                  <c:v>-19.799090164057517</c:v>
                </c:pt>
                <c:pt idx="379">
                  <c:v>-19.98760937889335</c:v>
                </c:pt>
                <c:pt idx="380">
                  <c:v>-20.175490189039319</c:v>
                </c:pt>
                <c:pt idx="381">
                  <c:v>-20.362716845381492</c:v>
                </c:pt>
                <c:pt idx="382">
                  <c:v>-20.549273059762037</c:v>
                </c:pt>
                <c:pt idx="383">
                  <c:v>-20.735142033718667</c:v>
                </c:pt>
                <c:pt idx="384">
                  <c:v>-20.920306490325167</c:v>
                </c:pt>
                <c:pt idx="385">
                  <c:v>-21.104748709360031</c:v>
                </c:pt>
                <c:pt idx="386">
                  <c:v>-21.288450566032143</c:v>
                </c:pt>
                <c:pt idx="387">
                  <c:v>-21.471393573492207</c:v>
                </c:pt>
                <c:pt idx="388">
                  <c:v>-21.653558929355334</c:v>
                </c:pt>
                <c:pt idx="389">
                  <c:v>-21.834927566455956</c:v>
                </c:pt>
                <c:pt idx="390">
                  <c:v>-22.015480208048391</c:v>
                </c:pt>
                <c:pt idx="391">
                  <c:v>-22.195197427658982</c:v>
                </c:pt>
                <c:pt idx="392">
                  <c:v>-22.374059713778532</c:v>
                </c:pt>
                <c:pt idx="393">
                  <c:v>-22.552047539574108</c:v>
                </c:pt>
                <c:pt idx="394">
                  <c:v>-22.729141437773798</c:v>
                </c:pt>
                <c:pt idx="395">
                  <c:v>-22.905322080861573</c:v>
                </c:pt>
                <c:pt idx="396">
                  <c:v>-23.080570366688484</c:v>
                </c:pt>
                <c:pt idx="397">
                  <c:v>-23.254867509580382</c:v>
                </c:pt>
                <c:pt idx="398">
                  <c:v>-23.428195136985458</c:v>
                </c:pt>
                <c:pt idx="399">
                  <c:v>-23.60053539167108</c:v>
                </c:pt>
                <c:pt idx="400">
                  <c:v>-23.771871039434377</c:v>
                </c:pt>
                <c:pt idx="401">
                  <c:v>-23.942185582249913</c:v>
                </c:pt>
                <c:pt idx="402">
                  <c:v>-24.111463376725702</c:v>
                </c:pt>
                <c:pt idx="403">
                  <c:v>-24.27968975769058</c:v>
                </c:pt>
                <c:pt idx="404">
                  <c:v>-24.446851166677273</c:v>
                </c:pt>
                <c:pt idx="405">
                  <c:v>-24.612935285012853</c:v>
                </c:pt>
                <c:pt idx="406">
                  <c:v>-24.777931171162884</c:v>
                </c:pt>
                <c:pt idx="407">
                  <c:v>-24.941829401920486</c:v>
                </c:pt>
                <c:pt idx="408">
                  <c:v>-25.104622216963524</c:v>
                </c:pt>
                <c:pt idx="409">
                  <c:v>-25.266303666246294</c:v>
                </c:pt>
                <c:pt idx="410">
                  <c:v>-25.426869759624875</c:v>
                </c:pt>
                <c:pt idx="411">
                  <c:v>-25.586318618058325</c:v>
                </c:pt>
                <c:pt idx="412">
                  <c:v>-25.744650625668971</c:v>
                </c:pt>
                <c:pt idx="413">
                  <c:v>-25.901868581886699</c:v>
                </c:pt>
                <c:pt idx="414">
                  <c:v>-26.057977852856268</c:v>
                </c:pt>
                <c:pt idx="415">
                  <c:v>-26.212986521234363</c:v>
                </c:pt>
                <c:pt idx="416">
                  <c:v>-26.366905533468188</c:v>
                </c:pt>
                <c:pt idx="417">
                  <c:v>-26.519748843608305</c:v>
                </c:pt>
                <c:pt idx="418">
                  <c:v>-26.671533552685545</c:v>
                </c:pt>
                <c:pt idx="419">
                  <c:v>-26.822280042663706</c:v>
                </c:pt>
                <c:pt idx="420">
                  <c:v>-26.972012103966815</c:v>
                </c:pt>
                <c:pt idx="421">
                  <c:v>-27.120757055581791</c:v>
                </c:pt>
                <c:pt idx="422">
                  <c:v>-27.268545856747188</c:v>
                </c:pt>
                <c:pt idx="423">
                  <c:v>-27.41541320925371</c:v>
                </c:pt>
                <c:pt idx="424">
                  <c:v>-27.561397649413358</c:v>
                </c:pt>
                <c:pt idx="425">
                  <c:v>-27.706541628790887</c:v>
                </c:pt>
                <c:pt idx="426">
                  <c:v>-27.850891582835835</c:v>
                </c:pt>
                <c:pt idx="427">
                  <c:v>-27.994497986610725</c:v>
                </c:pt>
                <c:pt idx="428">
                  <c:v>-28.137415396872576</c:v>
                </c:pt>
                <c:pt idx="429">
                  <c:v>-28.2797024798362</c:v>
                </c:pt>
                <c:pt idx="430">
                  <c:v>-28.421422024020522</c:v>
                </c:pt>
                <c:pt idx="431">
                  <c:v>-28.56264093766551</c:v>
                </c:pt>
                <c:pt idx="432">
                  <c:v>-28.703430230289115</c:v>
                </c:pt>
                <c:pt idx="433">
                  <c:v>-28.843864978044177</c:v>
                </c:pt>
                <c:pt idx="434">
                  <c:v>-28.984024272625717</c:v>
                </c:pt>
                <c:pt idx="435">
                  <c:v>-29.123991153571307</c:v>
                </c:pt>
                <c:pt idx="436">
                  <c:v>-29.263852523890566</c:v>
                </c:pt>
                <c:pt idx="437">
                  <c:v>-29.403699049048711</c:v>
                </c:pt>
                <c:pt idx="438">
                  <c:v>-29.543625039423588</c:v>
                </c:pt>
                <c:pt idx="439">
                  <c:v>-29.683728316439716</c:v>
                </c:pt>
                <c:pt idx="440">
                  <c:v>-29.824110062671785</c:v>
                </c:pt>
                <c:pt idx="441">
                  <c:v>-29.964874656291556</c:v>
                </c:pt>
                <c:pt idx="442">
                  <c:v>-30.106129490311243</c:v>
                </c:pt>
                <c:pt idx="443">
                  <c:v>-30.247984777156397</c:v>
                </c:pt>
                <c:pt idx="444">
                  <c:v>-30.390553339170857</c:v>
                </c:pt>
                <c:pt idx="445">
                  <c:v>-30.533950385730741</c:v>
                </c:pt>
                <c:pt idx="446">
                  <c:v>-30.678293277710512</c:v>
                </c:pt>
                <c:pt idx="447">
                  <c:v>-30.823701280110974</c:v>
                </c:pt>
                <c:pt idx="448">
                  <c:v>-30.970295303722516</c:v>
                </c:pt>
                <c:pt idx="449">
                  <c:v>-31.118197636758801</c:v>
                </c:pt>
                <c:pt idx="450">
                  <c:v>-31.267531667456439</c:v>
                </c:pt>
                <c:pt idx="451">
                  <c:v>-31.418421598695822</c:v>
                </c:pt>
                <c:pt idx="452">
                  <c:v>-31.570992155755278</c:v>
                </c:pt>
                <c:pt idx="453">
                  <c:v>-31.725368288367712</c:v>
                </c:pt>
                <c:pt idx="454">
                  <c:v>-31.881674868303499</c:v>
                </c:pt>
                <c:pt idx="455">
                  <c:v>-32.040036383757105</c:v>
                </c:pt>
                <c:pt idx="456">
                  <c:v>-32.200576631863619</c:v>
                </c:pt>
                <c:pt idx="457">
                  <c:v>-32.36341841072268</c:v>
                </c:pt>
                <c:pt idx="458">
                  <c:v>-32.528683212346074</c:v>
                </c:pt>
                <c:pt idx="459">
                  <c:v>-32.696490917987887</c:v>
                </c:pt>
                <c:pt idx="460">
                  <c:v>-32.866959497346791</c:v>
                </c:pt>
                <c:pt idx="461">
                  <c:v>-33.040204713155525</c:v>
                </c:pt>
                <c:pt idx="462">
                  <c:v>-33.216339832690373</c:v>
                </c:pt>
                <c:pt idx="463">
                  <c:v>-33.395475347739001</c:v>
                </c:pt>
                <c:pt idx="464">
                  <c:v>-33.577718704562187</c:v>
                </c:pt>
                <c:pt idx="465">
                  <c:v>-33.763174045368011</c:v>
                </c:pt>
                <c:pt idx="466">
                  <c:v>-33.951941962788098</c:v>
                </c:pt>
                <c:pt idx="467">
                  <c:v>-34.144119268799841</c:v>
                </c:pt>
                <c:pt idx="468">
                  <c:v>-34.339798779482528</c:v>
                </c:pt>
                <c:pt idx="469">
                  <c:v>-34.539069116918093</c:v>
                </c:pt>
                <c:pt idx="470">
                  <c:v>-34.742014529460896</c:v>
                </c:pt>
                <c:pt idx="471">
                  <c:v>-34.948714731491727</c:v>
                </c:pt>
                <c:pt idx="472">
                  <c:v>-35.159244763656112</c:v>
                </c:pt>
                <c:pt idx="473">
                  <c:v>-35.373674874448447</c:v>
                </c:pt>
                <c:pt idx="474">
                  <c:v>-35.592070423860804</c:v>
                </c:pt>
                <c:pt idx="475">
                  <c:v>-35.814491809652793</c:v>
                </c:pt>
                <c:pt idx="476">
                  <c:v>-36.040994416634824</c:v>
                </c:pt>
                <c:pt idx="477">
                  <c:v>-36.271628589177915</c:v>
                </c:pt>
                <c:pt idx="478">
                  <c:v>-36.506439626984083</c:v>
                </c:pt>
                <c:pt idx="479">
                  <c:v>-36.745467803966761</c:v>
                </c:pt>
                <c:pt idx="480">
                  <c:v>-36.988748409903629</c:v>
                </c:pt>
                <c:pt idx="481">
                  <c:v>-37.23631181434569</c:v>
                </c:pt>
                <c:pt idx="482">
                  <c:v>-37.488183552082674</c:v>
                </c:pt>
                <c:pt idx="483">
                  <c:v>-37.744384429297575</c:v>
                </c:pt>
                <c:pt idx="484">
                  <c:v>-38.004930649379347</c:v>
                </c:pt>
                <c:pt idx="485">
                  <c:v>-38.269833957211233</c:v>
                </c:pt>
                <c:pt idx="486">
                  <c:v>-38.539101800617843</c:v>
                </c:pt>
                <c:pt idx="487">
                  <c:v>-38.812737507529363</c:v>
                </c:pt>
                <c:pt idx="488">
                  <c:v>-39.090740477316139</c:v>
                </c:pt>
                <c:pt idx="489">
                  <c:v>-39.373106384660481</c:v>
                </c:pt>
                <c:pt idx="490">
                  <c:v>-39.659827394261995</c:v>
                </c:pt>
                <c:pt idx="491">
                  <c:v>-39.95089238461955</c:v>
                </c:pt>
                <c:pt idx="492">
                  <c:v>-40.246287179103895</c:v>
                </c:pt>
                <c:pt idx="493">
                  <c:v>-40.545994782517177</c:v>
                </c:pt>
                <c:pt idx="494">
                  <c:v>-40.849995621342927</c:v>
                </c:pt>
                <c:pt idx="495">
                  <c:v>-41.158267785907029</c:v>
                </c:pt>
                <c:pt idx="496">
                  <c:v>-41.47078727270933</c:v>
                </c:pt>
                <c:pt idx="497">
                  <c:v>-41.787528225235128</c:v>
                </c:pt>
                <c:pt idx="498">
                  <c:v>-42.108463171621928</c:v>
                </c:pt>
                <c:pt idx="499">
                  <c:v>-42.433563257630837</c:v>
                </c:pt>
                <c:pt idx="500">
                  <c:v>-42.762798473462134</c:v>
                </c:pt>
                <c:pt idx="501">
                  <c:v>-43.096137873045414</c:v>
                </c:pt>
                <c:pt idx="502">
                  <c:v>-43.43354978454326</c:v>
                </c:pt>
                <c:pt idx="503">
                  <c:v>-43.775002010909525</c:v>
                </c:pt>
                <c:pt idx="504">
                  <c:v>-44.120462019460625</c:v>
                </c:pt>
                <c:pt idx="505">
                  <c:v>-44.469897119533435</c:v>
                </c:pt>
                <c:pt idx="506">
                  <c:v>-44.82327462741749</c:v>
                </c:pt>
                <c:pt idx="507">
                  <c:v>-45.180562017872418</c:v>
                </c:pt>
                <c:pt idx="508">
                  <c:v>-45.541727061655564</c:v>
                </c:pt>
                <c:pt idx="509">
                  <c:v>-45.906737948604686</c:v>
                </c:pt>
                <c:pt idx="510">
                  <c:v>-46.275563395933368</c:v>
                </c:pt>
                <c:pt idx="511">
                  <c:v>-46.648172741511551</c:v>
                </c:pt>
                <c:pt idx="512">
                  <c:v>-47.024536022013812</c:v>
                </c:pt>
                <c:pt idx="513">
                  <c:v>-47.404624035924002</c:v>
                </c:pt>
                <c:pt idx="514">
                  <c:v>-47.78840839149008</c:v>
                </c:pt>
                <c:pt idx="515">
                  <c:v>-48.175861539821618</c:v>
                </c:pt>
                <c:pt idx="516">
                  <c:v>-48.566956793421042</c:v>
                </c:pt>
                <c:pt idx="517">
                  <c:v>-48.961668330530735</c:v>
                </c:pt>
                <c:pt idx="518">
                  <c:v>-49.359971185765247</c:v>
                </c:pt>
                <c:pt idx="519">
                  <c:v>-49.761841227586885</c:v>
                </c:pt>
                <c:pt idx="520">
                  <c:v>-50.167255123257597</c:v>
                </c:pt>
                <c:pt idx="521">
                  <c:v>-50.576190291977873</c:v>
                </c:pt>
                <c:pt idx="522">
                  <c:v>-50.988624846994256</c:v>
                </c:pt>
                <c:pt idx="523">
                  <c:v>-51.404537527520702</c:v>
                </c:pt>
                <c:pt idx="524">
                  <c:v>-51.823907621382197</c:v>
                </c:pt>
                <c:pt idx="525">
                  <c:v>-52.246714879337048</c:v>
                </c:pt>
                <c:pt idx="526">
                  <c:v>-52.672939422087602</c:v>
                </c:pt>
                <c:pt idx="527">
                  <c:v>-53.102561641027947</c:v>
                </c:pt>
                <c:pt idx="528">
                  <c:v>-53.535562093807343</c:v>
                </c:pt>
                <c:pt idx="529">
                  <c:v>-53.971921395821518</c:v>
                </c:pt>
                <c:pt idx="530">
                  <c:v>-54.411620108748764</c:v>
                </c:pt>
                <c:pt idx="531">
                  <c:v>-54.854638627270269</c:v>
                </c:pt>
                <c:pt idx="532">
                  <c:v>-55.300957065099929</c:v>
                </c:pt>
                <c:pt idx="533">
                  <c:v>-55.750555141450775</c:v>
                </c:pt>
                <c:pt idx="534">
                  <c:v>-56.203412069032282</c:v>
                </c:pt>
                <c:pt idx="535">
                  <c:v>-56.659506444652543</c:v>
                </c:pt>
                <c:pt idx="536">
                  <c:v>-57.118816143453152</c:v>
                </c:pt>
                <c:pt idx="537">
                  <c:v>-57.581318217758252</c:v>
                </c:pt>
                <c:pt idx="538">
                  <c:v>-58.046988801454724</c:v>
                </c:pt>
                <c:pt idx="539">
                  <c:v>-58.515803020757815</c:v>
                </c:pt>
                <c:pt idx="540">
                  <c:v>-58.987734912133845</c:v>
                </c:pt>
                <c:pt idx="541">
                  <c:v>-59.462757348071122</c:v>
                </c:pt>
              </c:numCache>
            </c:numRef>
          </c:yVal>
          <c:smooth val="1"/>
          <c:extLst>
            <c:ext xmlns:c16="http://schemas.microsoft.com/office/drawing/2014/chart" uri="{C3380CC4-5D6E-409C-BE32-E72D297353CC}">
              <c16:uniqueId val="{00000000-9664-4380-AE70-7A1B318A8941}"/>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9664-4380-AE70-7A1B318A8941}"/>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9664-4380-AE70-7A1B318A8941}"/>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106.10329539459691</c:v>
                </c:pt>
              </c:numCache>
            </c:numRef>
          </c:xVal>
          <c:yVal>
            <c:numRef>
              <c:f>Loop_Modeling!$AT$11</c:f>
              <c:numCache>
                <c:formatCode>0.000</c:formatCode>
                <c:ptCount val="1"/>
                <c:pt idx="0">
                  <c:v>67.32236626476238</c:v>
                </c:pt>
              </c:numCache>
            </c:numRef>
          </c:yVal>
          <c:smooth val="0"/>
          <c:extLst>
            <c:ext xmlns:c16="http://schemas.microsoft.com/office/drawing/2014/chart" uri="{C3380CC4-5D6E-409C-BE32-E72D297353CC}">
              <c16:uniqueId val="{00000002-9664-4380-AE70-7A1B318A8941}"/>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9664-4380-AE70-7A1B318A8941}"/>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198943.67886486917</c:v>
                </c:pt>
              </c:numCache>
            </c:numRef>
          </c:xVal>
          <c:yVal>
            <c:numRef>
              <c:f>Loop_Modeling!$AT$9</c:f>
              <c:numCache>
                <c:formatCode>0.000</c:formatCode>
                <c:ptCount val="1"/>
                <c:pt idx="0">
                  <c:v>-28.261666884870213</c:v>
                </c:pt>
              </c:numCache>
            </c:numRef>
          </c:yVal>
          <c:smooth val="1"/>
          <c:extLst>
            <c:ext xmlns:c16="http://schemas.microsoft.com/office/drawing/2014/chart" uri="{C3380CC4-5D6E-409C-BE32-E72D297353CC}">
              <c16:uniqueId val="{00000004-9664-4380-AE70-7A1B318A8941}"/>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9664-4380-AE70-7A1B318A8941}"/>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9664-4380-AE70-7A1B318A8941}"/>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48228770.633907683</c:v>
                </c:pt>
              </c:numCache>
            </c:numRef>
          </c:xVal>
          <c:yVal>
            <c:numRef>
              <c:f>Loop_Modeling!$AT$10</c:f>
              <c:numCache>
                <c:formatCode>0.000</c:formatCode>
                <c:ptCount val="1"/>
                <c:pt idx="0">
                  <c:v>-128.65474897791808</c:v>
                </c:pt>
              </c:numCache>
            </c:numRef>
          </c:yVal>
          <c:smooth val="1"/>
          <c:extLst>
            <c:ext xmlns:c16="http://schemas.microsoft.com/office/drawing/2014/chart" uri="{C3380CC4-5D6E-409C-BE32-E72D297353CC}">
              <c16:uniqueId val="{00000006-9664-4380-AE70-7A1B318A8941}"/>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9664-4380-AE70-7A1B318A894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6097.8905399193618</c:v>
                </c:pt>
              </c:numCache>
            </c:numRef>
          </c:xVal>
          <c:yVal>
            <c:numRef>
              <c:f>Loop_Modeling!$AT$12</c:f>
              <c:numCache>
                <c:formatCode>0.000</c:formatCode>
                <c:ptCount val="1"/>
                <c:pt idx="0">
                  <c:v>2.9654342925467851</c:v>
                </c:pt>
              </c:numCache>
            </c:numRef>
          </c:yVal>
          <c:smooth val="1"/>
          <c:extLst>
            <c:ext xmlns:c16="http://schemas.microsoft.com/office/drawing/2014/chart" uri="{C3380CC4-5D6E-409C-BE32-E72D297353CC}">
              <c16:uniqueId val="{00000008-9664-4380-AE70-7A1B318A8941}"/>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9664-4380-AE70-7A1B318A8941}"/>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615886.94453185552</c:v>
                </c:pt>
              </c:numCache>
            </c:numRef>
          </c:xVal>
          <c:yVal>
            <c:numRef>
              <c:f>Loop_Modeling!$AT$13</c:f>
              <c:numCache>
                <c:formatCode>0.000</c:formatCode>
                <c:ptCount val="1"/>
                <c:pt idx="0">
                  <c:v>-36.494622857500374</c:v>
                </c:pt>
              </c:numCache>
            </c:numRef>
          </c:yVal>
          <c:smooth val="1"/>
          <c:extLst>
            <c:ext xmlns:c16="http://schemas.microsoft.com/office/drawing/2014/chart" uri="{C3380CC4-5D6E-409C-BE32-E72D297353CC}">
              <c16:uniqueId val="{0000000A-9664-4380-AE70-7A1B318A8941}"/>
            </c:ext>
          </c:extLst>
        </c:ser>
        <c:dLbls>
          <c:showLegendKey val="0"/>
          <c:showVal val="0"/>
          <c:showCatName val="0"/>
          <c:showSerName val="0"/>
          <c:showPercent val="0"/>
          <c:showBubbleSize val="0"/>
        </c:dLbls>
        <c:axId val="69636096"/>
        <c:axId val="6963801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Loop_Modeling!$AU$19:$AU$560</c:f>
              <c:numCache>
                <c:formatCode>General</c:formatCode>
                <c:ptCount val="542"/>
                <c:pt idx="0">
                  <c:v>84.582269410802226</c:v>
                </c:pt>
                <c:pt idx="1">
                  <c:v>84.456891131696281</c:v>
                </c:pt>
                <c:pt idx="2">
                  <c:v>84.328650372960141</c:v>
                </c:pt>
                <c:pt idx="3">
                  <c:v>84.197484547370024</c:v>
                </c:pt>
                <c:pt idx="4">
                  <c:v>84.06332989546469</c:v>
                </c:pt>
                <c:pt idx="5">
                  <c:v>83.926121477851439</c:v>
                </c:pt>
                <c:pt idx="6">
                  <c:v>83.785793168640637</c:v>
                </c:pt>
                <c:pt idx="7">
                  <c:v>83.642277650113499</c:v>
                </c:pt>
                <c:pt idx="8">
                  <c:v>83.49550640874142</c:v>
                </c:pt>
                <c:pt idx="9">
                  <c:v>83.345409732677751</c:v>
                </c:pt>
                <c:pt idx="10">
                  <c:v>83.191916710853235</c:v>
                </c:pt>
                <c:pt idx="11">
                  <c:v>83.034955233814244</c:v>
                </c:pt>
                <c:pt idx="12">
                  <c:v>82.874451996449977</c:v>
                </c:pt>
                <c:pt idx="13">
                  <c:v>82.710332502765326</c:v>
                </c:pt>
                <c:pt idx="14">
                  <c:v>82.542521072864815</c:v>
                </c:pt>
                <c:pt idx="15">
                  <c:v>82.370940852320928</c:v>
                </c:pt>
                <c:pt idx="16">
                  <c:v>82.195513824113391</c:v>
                </c:pt>
                <c:pt idx="17">
                  <c:v>82.016160823332442</c:v>
                </c:pt>
                <c:pt idx="18">
                  <c:v>81.832801554851969</c:v>
                </c:pt>
                <c:pt idx="19">
                  <c:v>81.645354614188491</c:v>
                </c:pt>
                <c:pt idx="20">
                  <c:v>81.453737511772673</c:v>
                </c:pt>
                <c:pt idx="21">
                  <c:v>81.257866700871588</c:v>
                </c:pt>
                <c:pt idx="22">
                  <c:v>81.057657609411535</c:v>
                </c:pt>
                <c:pt idx="23">
                  <c:v>80.853024675961009</c:v>
                </c:pt>
                <c:pt idx="24">
                  <c:v>80.643881390148536</c:v>
                </c:pt>
                <c:pt idx="25">
                  <c:v>80.430140337796658</c:v>
                </c:pt>
                <c:pt idx="26">
                  <c:v>80.211713251070108</c:v>
                </c:pt>
                <c:pt idx="27">
                  <c:v>79.988511063941615</c:v>
                </c:pt>
                <c:pt idx="28">
                  <c:v>79.760443973296006</c:v>
                </c:pt>
                <c:pt idx="29">
                  <c:v>79.527421505997921</c:v>
                </c:pt>
                <c:pt idx="30">
                  <c:v>79.289352592261693</c:v>
                </c:pt>
                <c:pt idx="31">
                  <c:v>79.046145645670734</c:v>
                </c:pt>
                <c:pt idx="32">
                  <c:v>78.797708650200789</c:v>
                </c:pt>
                <c:pt idx="33">
                  <c:v>78.54394925461078</c:v>
                </c:pt>
                <c:pt idx="34">
                  <c:v>78.284774874567546</c:v>
                </c:pt>
                <c:pt idx="35">
                  <c:v>78.020092802879574</c:v>
                </c:pt>
                <c:pt idx="36">
                  <c:v>77.749810328213059</c:v>
                </c:pt>
                <c:pt idx="37">
                  <c:v>77.473834862668397</c:v>
                </c:pt>
                <c:pt idx="38">
                  <c:v>77.192074078590238</c:v>
                </c:pt>
                <c:pt idx="39">
                  <c:v>76.904436054981531</c:v>
                </c:pt>
                <c:pt idx="40">
                  <c:v>76.610829433886067</c:v>
                </c:pt>
                <c:pt idx="41">
                  <c:v>76.3111635870887</c:v>
                </c:pt>
                <c:pt idx="42">
                  <c:v>76.005348793476102</c:v>
                </c:pt>
                <c:pt idx="43">
                  <c:v>75.693296427373625</c:v>
                </c:pt>
                <c:pt idx="44">
                  <c:v>75.374919158158548</c:v>
                </c:pt>
                <c:pt idx="45">
                  <c:v>75.050131161418321</c:v>
                </c:pt>
                <c:pt idx="46">
                  <c:v>74.718848341889213</c:v>
                </c:pt>
                <c:pt idx="47">
                  <c:v>74.380988568375471</c:v>
                </c:pt>
                <c:pt idx="48">
                  <c:v>74.036471920800892</c:v>
                </c:pt>
                <c:pt idx="49">
                  <c:v>73.685220949492148</c:v>
                </c:pt>
                <c:pt idx="50">
                  <c:v>73.327160946740335</c:v>
                </c:pt>
                <c:pt idx="51">
                  <c:v>72.962220230613312</c:v>
                </c:pt>
                <c:pt idx="52">
                  <c:v>72.590330440925683</c:v>
                </c:pt>
                <c:pt idx="53">
                  <c:v>72.211426847182523</c:v>
                </c:pt>
                <c:pt idx="54">
                  <c:v>71.825448668232511</c:v>
                </c:pt>
                <c:pt idx="55">
                  <c:v>71.432339403258155</c:v>
                </c:pt>
                <c:pt idx="56">
                  <c:v>71.032047173629607</c:v>
                </c:pt>
                <c:pt idx="57">
                  <c:v>70.624525075029993</c:v>
                </c:pt>
                <c:pt idx="58">
                  <c:v>70.209731539134836</c:v>
                </c:pt>
                <c:pt idx="59">
                  <c:v>69.787630703999895</c:v>
                </c:pt>
                <c:pt idx="60">
                  <c:v>69.358192792163351</c:v>
                </c:pt>
                <c:pt idx="61">
                  <c:v>68.921394495329551</c:v>
                </c:pt>
                <c:pt idx="62">
                  <c:v>68.477219364339433</c:v>
                </c:pt>
                <c:pt idx="63">
                  <c:v>68.025658202977482</c:v>
                </c:pt>
                <c:pt idx="64">
                  <c:v>67.56670946400105</c:v>
                </c:pt>
                <c:pt idx="65">
                  <c:v>67.100379645608186</c:v>
                </c:pt>
                <c:pt idx="66">
                  <c:v>66.626683686394216</c:v>
                </c:pt>
                <c:pt idx="67">
                  <c:v>66.145645356680419</c:v>
                </c:pt>
                <c:pt idx="68">
                  <c:v>65.657297643931145</c:v>
                </c:pt>
                <c:pt idx="69">
                  <c:v>65.161683129819039</c:v>
                </c:pt>
                <c:pt idx="70">
                  <c:v>64.658854356345415</c:v>
                </c:pt>
                <c:pt idx="71">
                  <c:v>64.148874178283819</c:v>
                </c:pt>
                <c:pt idx="72">
                  <c:v>63.631816099083821</c:v>
                </c:pt>
                <c:pt idx="73">
                  <c:v>63.107764587268996</c:v>
                </c:pt>
                <c:pt idx="74">
                  <c:v>62.576815370266388</c:v>
                </c:pt>
                <c:pt idx="75">
                  <c:v>62.039075702543322</c:v>
                </c:pt>
                <c:pt idx="76">
                  <c:v>61.494664604886196</c:v>
                </c:pt>
                <c:pt idx="77">
                  <c:v>60.94371307164829</c:v>
                </c:pt>
                <c:pt idx="78">
                  <c:v>60.386364242813066</c:v>
                </c:pt>
                <c:pt idx="79">
                  <c:v>59.822773537788052</c:v>
                </c:pt>
                <c:pt idx="80">
                  <c:v>59.253108747932032</c:v>
                </c:pt>
                <c:pt idx="81">
                  <c:v>58.677550084967486</c:v>
                </c:pt>
                <c:pt idx="82">
                  <c:v>58.096290182605721</c:v>
                </c:pt>
                <c:pt idx="83">
                  <c:v>57.509534048936203</c:v>
                </c:pt>
                <c:pt idx="84">
                  <c:v>56.917498967405102</c:v>
                </c:pt>
                <c:pt idx="85">
                  <c:v>56.320414344511597</c:v>
                </c:pt>
                <c:pt idx="86">
                  <c:v>55.718521502707716</c:v>
                </c:pt>
                <c:pt idx="87">
                  <c:v>55.112073417380756</c:v>
                </c:pt>
                <c:pt idx="88">
                  <c:v>54.501334397216816</c:v>
                </c:pt>
                <c:pt idx="89">
                  <c:v>53.886579707716514</c:v>
                </c:pt>
                <c:pt idx="90">
                  <c:v>53.268095138112216</c:v>
                </c:pt>
                <c:pt idx="91">
                  <c:v>52.64617651245009</c:v>
                </c:pt>
                <c:pt idx="92">
                  <c:v>52.021129146124544</c:v>
                </c:pt>
                <c:pt idx="93">
                  <c:v>51.393267249683575</c:v>
                </c:pt>
                <c:pt idx="94">
                  <c:v>50.762913282257884</c:v>
                </c:pt>
                <c:pt idx="95">
                  <c:v>50.130397257492483</c:v>
                </c:pt>
                <c:pt idx="96">
                  <c:v>49.496056005363542</c:v>
                </c:pt>
                <c:pt idx="97">
                  <c:v>48.860232393754607</c:v>
                </c:pt>
                <c:pt idx="98">
                  <c:v>48.223274514107523</c:v>
                </c:pt>
                <c:pt idx="99">
                  <c:v>47.585534835882946</c:v>
                </c:pt>
                <c:pt idx="100">
                  <c:v>46.947369334919884</c:v>
                </c:pt>
                <c:pt idx="101">
                  <c:v>46.309136601094224</c:v>
                </c:pt>
                <c:pt idx="102">
                  <c:v>45.671196930918178</c:v>
                </c:pt>
                <c:pt idx="103">
                  <c:v>45.033911410911735</c:v>
                </c:pt>
                <c:pt idx="104">
                  <c:v>44.397640997674003</c:v>
                </c:pt>
                <c:pt idx="105">
                  <c:v>43.76274560064337</c:v>
                </c:pt>
                <c:pt idx="106">
                  <c:v>43.129583173486232</c:v>
                </c:pt>
                <c:pt idx="107">
                  <c:v>42.498508819961529</c:v>
                </c:pt>
                <c:pt idx="108">
                  <c:v>41.869873919943238</c:v>
                </c:pt>
                <c:pt idx="109">
                  <c:v>41.244025281027007</c:v>
                </c:pt>
                <c:pt idx="110">
                  <c:v>40.621304320872689</c:v>
                </c:pt>
                <c:pt idx="111">
                  <c:v>40.00204628506382</c:v>
                </c:pt>
                <c:pt idx="112">
                  <c:v>39.386579504867711</c:v>
                </c:pt>
                <c:pt idx="113">
                  <c:v>38.775224698834997</c:v>
                </c:pt>
                <c:pt idx="114">
                  <c:v>38.168294321697907</c:v>
                </c:pt>
                <c:pt idx="115">
                  <c:v>37.56609196351733</c:v>
                </c:pt>
                <c:pt idx="116">
                  <c:v>36.968911801513443</c:v>
                </c:pt>
                <c:pt idx="117">
                  <c:v>36.377038106471666</c:v>
                </c:pt>
                <c:pt idx="118">
                  <c:v>35.790744805096281</c:v>
                </c:pt>
                <c:pt idx="119">
                  <c:v>35.210295099142876</c:v>
                </c:pt>
                <c:pt idx="120">
                  <c:v>34.635941141660929</c:v>
                </c:pt>
                <c:pt idx="121">
                  <c:v>34.067923770178112</c:v>
                </c:pt>
                <c:pt idx="122">
                  <c:v>33.506472296202013</c:v>
                </c:pt>
                <c:pt idx="123">
                  <c:v>32.951804349966906</c:v>
                </c:pt>
                <c:pt idx="124">
                  <c:v>32.404125778976002</c:v>
                </c:pt>
                <c:pt idx="125">
                  <c:v>31.863630598511762</c:v>
                </c:pt>
                <c:pt idx="126">
                  <c:v>31.330500991981925</c:v>
                </c:pt>
                <c:pt idx="127">
                  <c:v>30.804907358694841</c:v>
                </c:pt>
                <c:pt idx="128">
                  <c:v>30.287008406414643</c:v>
                </c:pt>
                <c:pt idx="129">
                  <c:v>29.776951285874453</c:v>
                </c:pt>
                <c:pt idx="130">
                  <c:v>29.274871764272536</c:v>
                </c:pt>
                <c:pt idx="131">
                  <c:v>28.780894434670113</c:v>
                </c:pt>
                <c:pt idx="132">
                  <c:v>28.29513295815007</c:v>
                </c:pt>
                <c:pt idx="133">
                  <c:v>27.817690335561359</c:v>
                </c:pt>
                <c:pt idx="134">
                  <c:v>27.348659205679976</c:v>
                </c:pt>
                <c:pt idx="135">
                  <c:v>26.888122166655194</c:v>
                </c:pt>
                <c:pt idx="136">
                  <c:v>26.436152117664118</c:v>
                </c:pt>
                <c:pt idx="137">
                  <c:v>25.992812617794137</c:v>
                </c:pt>
                <c:pt idx="138">
                  <c:v>25.558158259273213</c:v>
                </c:pt>
                <c:pt idx="139">
                  <c:v>25.132235052287491</c:v>
                </c:pt>
                <c:pt idx="140">
                  <c:v>24.715080818782756</c:v>
                </c:pt>
                <c:pt idx="141">
                  <c:v>24.306725592767048</c:v>
                </c:pt>
                <c:pt idx="142">
                  <c:v>23.907192024821615</c:v>
                </c:pt>
                <c:pt idx="143">
                  <c:v>23.516495788661615</c:v>
                </c:pt>
                <c:pt idx="144">
                  <c:v>23.134645987776395</c:v>
                </c:pt>
                <c:pt idx="145">
                  <c:v>22.7616455603352</c:v>
                </c:pt>
                <c:pt idx="146">
                  <c:v>22.397491680711152</c:v>
                </c:pt>
                <c:pt idx="147">
                  <c:v>22.042176156148766</c:v>
                </c:pt>
                <c:pt idx="148">
                  <c:v>21.695685817248204</c:v>
                </c:pt>
                <c:pt idx="149">
                  <c:v>21.358002901102012</c:v>
                </c:pt>
                <c:pt idx="150">
                  <c:v>21.029105426067414</c:v>
                </c:pt>
                <c:pt idx="151">
                  <c:v>20.708967557292976</c:v>
                </c:pt>
                <c:pt idx="152">
                  <c:v>20.397559962257386</c:v>
                </c:pt>
                <c:pt idx="153">
                  <c:v>20.094850155699678</c:v>
                </c:pt>
                <c:pt idx="154">
                  <c:v>19.800802833435469</c:v>
                </c:pt>
                <c:pt idx="155">
                  <c:v>19.515380194665543</c:v>
                </c:pt>
                <c:pt idx="156">
                  <c:v>19.23854225247694</c:v>
                </c:pt>
                <c:pt idx="157">
                  <c:v>18.970247132329675</c:v>
                </c:pt>
                <c:pt idx="158">
                  <c:v>18.710451358403695</c:v>
                </c:pt>
                <c:pt idx="159">
                  <c:v>18.459110127753533</c:v>
                </c:pt>
                <c:pt idx="160">
                  <c:v>18.216177572283947</c:v>
                </c:pt>
                <c:pt idx="161">
                  <c:v>17.981607008616272</c:v>
                </c:pt>
                <c:pt idx="162">
                  <c:v>17.755351175969597</c:v>
                </c:pt>
                <c:pt idx="163">
                  <c:v>17.537362462220006</c:v>
                </c:pt>
                <c:pt idx="164">
                  <c:v>17.327593118342257</c:v>
                </c:pt>
                <c:pt idx="165">
                  <c:v>17.125995461467046</c:v>
                </c:pt>
                <c:pt idx="166">
                  <c:v>16.932522066816361</c:v>
                </c:pt>
                <c:pt idx="167">
                  <c:v>16.747125948795439</c:v>
                </c:pt>
                <c:pt idx="168">
                  <c:v>16.569760731539528</c:v>
                </c:pt>
                <c:pt idx="169">
                  <c:v>16.400380809225975</c:v>
                </c:pt>
                <c:pt idx="170">
                  <c:v>16.238941496464744</c:v>
                </c:pt>
                <c:pt idx="171">
                  <c:v>16.085399169092067</c:v>
                </c:pt>
                <c:pt idx="172">
                  <c:v>15.939711395686048</c:v>
                </c:pt>
                <c:pt idx="173">
                  <c:v>15.801837060126678</c:v>
                </c:pt>
                <c:pt idx="174">
                  <c:v>15.671736475513963</c:v>
                </c:pt>
                <c:pt idx="175">
                  <c:v>15.549371489753195</c:v>
                </c:pt>
                <c:pt idx="176">
                  <c:v>15.434705583109157</c:v>
                </c:pt>
                <c:pt idx="177">
                  <c:v>15.327703958014942</c:v>
                </c:pt>
                <c:pt idx="178">
                  <c:v>15.228333621416427</c:v>
                </c:pt>
                <c:pt idx="179">
                  <c:v>15.136563459911592</c:v>
                </c:pt>
                <c:pt idx="180">
                  <c:v>15.052364307937269</c:v>
                </c:pt>
                <c:pt idx="181">
                  <c:v>14.975709009232252</c:v>
                </c:pt>
                <c:pt idx="182">
                  <c:v>14.906572471794906</c:v>
                </c:pt>
                <c:pt idx="183">
                  <c:v>14.844931716532797</c:v>
                </c:pt>
                <c:pt idx="184">
                  <c:v>14.790765919783011</c:v>
                </c:pt>
                <c:pt idx="185">
                  <c:v>14.744056449866807</c:v>
                </c:pt>
                <c:pt idx="186">
                  <c:v>14.704786897818071</c:v>
                </c:pt>
                <c:pt idx="187">
                  <c:v>14.672943102408141</c:v>
                </c:pt>
                <c:pt idx="188">
                  <c:v>14.648513169570712</c:v>
                </c:pt>
                <c:pt idx="189">
                  <c:v>14.631487486307073</c:v>
                </c:pt>
                <c:pt idx="190">
                  <c:v>14.621858729133649</c:v>
                </c:pt>
                <c:pt idx="191">
                  <c:v>14.619621867112631</c:v>
                </c:pt>
                <c:pt idx="192">
                  <c:v>14.624774159487238</c:v>
                </c:pt>
                <c:pt idx="193">
                  <c:v>14.637315147919399</c:v>
                </c:pt>
                <c:pt idx="194">
                  <c:v>14.657246643309207</c:v>
                </c:pt>
                <c:pt idx="195">
                  <c:v>14.684572707155125</c:v>
                </c:pt>
                <c:pt idx="196">
                  <c:v>14.719299627392287</c:v>
                </c:pt>
                <c:pt idx="197">
                  <c:v>14.76143588862516</c:v>
                </c:pt>
                <c:pt idx="198">
                  <c:v>14.810992136651603</c:v>
                </c:pt>
                <c:pt idx="199">
                  <c:v>14.867981137157761</c:v>
                </c:pt>
                <c:pt idx="200">
                  <c:v>14.932417728436535</c:v>
                </c:pt>
                <c:pt idx="201">
                  <c:v>15.004318767970918</c:v>
                </c:pt>
                <c:pt idx="202">
                  <c:v>15.083703072700409</c:v>
                </c:pt>
                <c:pt idx="203">
                  <c:v>15.170591352770437</c:v>
                </c:pt>
                <c:pt idx="204">
                  <c:v>15.265006138547824</c:v>
                </c:pt>
                <c:pt idx="205">
                  <c:v>15.366971700669806</c:v>
                </c:pt>
                <c:pt idx="206">
                  <c:v>15.476513962874446</c:v>
                </c:pt>
                <c:pt idx="207">
                  <c:v>15.593660407349645</c:v>
                </c:pt>
                <c:pt idx="208">
                  <c:v>15.718439972320651</c:v>
                </c:pt>
                <c:pt idx="209">
                  <c:v>15.85088294158548</c:v>
                </c:pt>
                <c:pt idx="210">
                  <c:v>15.991020825696605</c:v>
                </c:pt>
                <c:pt idx="211">
                  <c:v>16.13888623447702</c:v>
                </c:pt>
                <c:pt idx="212">
                  <c:v>16.294512740554122</c:v>
                </c:pt>
                <c:pt idx="213">
                  <c:v>16.457934733587031</c:v>
                </c:pt>
                <c:pt idx="214">
                  <c:v>16.629187264863827</c:v>
                </c:pt>
                <c:pt idx="215">
                  <c:v>16.808305881943443</c:v>
                </c:pt>
                <c:pt idx="216">
                  <c:v>16.995326453023182</c:v>
                </c:pt>
                <c:pt idx="217">
                  <c:v>17.190284980717237</c:v>
                </c:pt>
                <c:pt idx="218">
                  <c:v>17.393217404946437</c:v>
                </c:pt>
                <c:pt idx="219">
                  <c:v>17.60415939465199</c:v>
                </c:pt>
                <c:pt idx="220">
                  <c:v>17.823146128067776</c:v>
                </c:pt>
                <c:pt idx="221">
                  <c:v>18.050212061312237</c:v>
                </c:pt>
                <c:pt idx="222">
                  <c:v>18.285390685087471</c:v>
                </c:pt>
                <c:pt idx="223">
                  <c:v>18.528714269316485</c:v>
                </c:pt>
                <c:pt idx="224">
                  <c:v>18.780213595587288</c:v>
                </c:pt>
                <c:pt idx="225">
                  <c:v>19.039917677323988</c:v>
                </c:pt>
                <c:pt idx="226">
                  <c:v>19.307853467664497</c:v>
                </c:pt>
                <c:pt idx="227">
                  <c:v>19.584045555085314</c:v>
                </c:pt>
                <c:pt idx="228">
                  <c:v>19.868515846890372</c:v>
                </c:pt>
                <c:pt idx="229">
                  <c:v>20.161283240759381</c:v>
                </c:pt>
                <c:pt idx="230">
                  <c:v>20.46236328464019</c:v>
                </c:pt>
                <c:pt idx="231">
                  <c:v>20.77176782536959</c:v>
                </c:pt>
                <c:pt idx="232">
                  <c:v>21.089504646511546</c:v>
                </c:pt>
                <c:pt idx="233">
                  <c:v>21.415577096020453</c:v>
                </c:pt>
                <c:pt idx="234">
                  <c:v>21.749983704454756</c:v>
                </c:pt>
                <c:pt idx="235">
                  <c:v>22.092717794605623</c:v>
                </c:pt>
                <c:pt idx="236">
                  <c:v>22.443767083541001</c:v>
                </c:pt>
                <c:pt idx="237">
                  <c:v>22.80311327821417</c:v>
                </c:pt>
                <c:pt idx="238">
                  <c:v>23.170731665937996</c:v>
                </c:pt>
                <c:pt idx="239">
                  <c:v>23.546590701188638</c:v>
                </c:pt>
                <c:pt idx="240">
                  <c:v>23.930651590362203</c:v>
                </c:pt>
                <c:pt idx="241">
                  <c:v>24.322867876278472</c:v>
                </c:pt>
                <c:pt idx="242">
                  <c:v>24.72318502438759</c:v>
                </c:pt>
                <c:pt idx="243">
                  <c:v>25.13154001280725</c:v>
                </c:pt>
                <c:pt idx="244">
                  <c:v>25.547860928481317</c:v>
                </c:pt>
                <c:pt idx="245">
                  <c:v>25.972066571905213</c:v>
                </c:pt>
                <c:pt idx="246">
                  <c:v>26.404066073017809</c:v>
                </c:pt>
                <c:pt idx="247">
                  <c:v>26.843758520997856</c:v>
                </c:pt>
                <c:pt idx="248">
                  <c:v>27.291032610826203</c:v>
                </c:pt>
                <c:pt idx="249">
                  <c:v>27.745766309589865</c:v>
                </c:pt>
                <c:pt idx="250">
                  <c:v>28.207826545581735</c:v>
                </c:pt>
                <c:pt idx="251">
                  <c:v>28.677068923327319</c:v>
                </c:pt>
                <c:pt idx="252">
                  <c:v>29.15333746769446</c:v>
                </c:pt>
                <c:pt idx="253">
                  <c:v>29.63646440025828</c:v>
                </c:pt>
                <c:pt idx="254">
                  <c:v>30.126269951064291</c:v>
                </c:pt>
                <c:pt idx="255">
                  <c:v>30.622562208867286</c:v>
                </c:pt>
                <c:pt idx="256">
                  <c:v>31.125137012830248</c:v>
                </c:pt>
                <c:pt idx="257">
                  <c:v>31.6337778885174</c:v>
                </c:pt>
                <c:pt idx="258">
                  <c:v>32.148256030837508</c:v>
                </c:pt>
                <c:pt idx="259">
                  <c:v>32.668330336363795</c:v>
                </c:pt>
                <c:pt idx="260">
                  <c:v>33.193747487189064</c:v>
                </c:pt>
                <c:pt idx="261">
                  <c:v>33.7242420881567</c:v>
                </c:pt>
                <c:pt idx="262">
                  <c:v>34.259536858957787</c:v>
                </c:pt>
                <c:pt idx="263">
                  <c:v>34.799342882190039</c:v>
                </c:pt>
                <c:pt idx="264">
                  <c:v>35.343359908041108</c:v>
                </c:pt>
                <c:pt idx="265">
                  <c:v>35.891276715799727</c:v>
                </c:pt>
                <c:pt idx="266">
                  <c:v>36.442771531908335</c:v>
                </c:pt>
                <c:pt idx="267">
                  <c:v>36.997512503756752</c:v>
                </c:pt>
                <c:pt idx="268">
                  <c:v>37.555158227899454</c:v>
                </c:pt>
                <c:pt idx="269">
                  <c:v>38.115358330836514</c:v>
                </c:pt>
                <c:pt idx="270">
                  <c:v>38.677754099967679</c:v>
                </c:pt>
                <c:pt idx="271">
                  <c:v>39.241979161817326</c:v>
                </c:pt>
                <c:pt idx="272">
                  <c:v>39.807660204096834</c:v>
                </c:pt>
                <c:pt idx="273">
                  <c:v>40.374417737712321</c:v>
                </c:pt>
                <c:pt idx="274">
                  <c:v>40.94186689436205</c:v>
                </c:pt>
                <c:pt idx="275">
                  <c:v>41.509618254968046</c:v>
                </c:pt>
                <c:pt idx="276">
                  <c:v>42.077278703822223</c:v>
                </c:pt>
                <c:pt idx="277">
                  <c:v>42.644452303026206</c:v>
                </c:pt>
                <c:pt idx="278">
                  <c:v>43.210741181568231</c:v>
                </c:pt>
                <c:pt idx="279">
                  <c:v>43.775746433189113</c:v>
                </c:pt>
                <c:pt idx="280">
                  <c:v>44.339069017094388</c:v>
                </c:pt>
                <c:pt idx="281">
                  <c:v>44.900310655527733</c:v>
                </c:pt>
                <c:pt idx="282">
                  <c:v>45.459074722253824</c:v>
                </c:pt>
                <c:pt idx="283">
                  <c:v>46.014967116106995</c:v>
                </c:pt>
                <c:pt idx="284">
                  <c:v>46.567597113936216</c:v>
                </c:pt>
                <c:pt idx="285">
                  <c:v>47.116578197516738</c:v>
                </c:pt>
                <c:pt idx="286">
                  <c:v>47.661528849299899</c:v>
                </c:pt>
                <c:pt idx="287">
                  <c:v>48.202073312230723</c:v>
                </c:pt>
                <c:pt idx="288">
                  <c:v>48.73784230926794</c:v>
                </c:pt>
                <c:pt idx="289">
                  <c:v>49.26847371869021</c:v>
                </c:pt>
                <c:pt idx="290">
                  <c:v>49.793613201749658</c:v>
                </c:pt>
                <c:pt idx="291">
                  <c:v>50.312914779746308</c:v>
                </c:pt>
                <c:pt idx="292">
                  <c:v>50.826041358119518</c:v>
                </c:pt>
                <c:pt idx="293">
                  <c:v>51.332665195678281</c:v>
                </c:pt>
                <c:pt idx="294">
                  <c:v>51.832468317638792</c:v>
                </c:pt>
                <c:pt idx="295">
                  <c:v>52.325142871651387</c:v>
                </c:pt>
                <c:pt idx="296">
                  <c:v>52.810391426517974</c:v>
                </c:pt>
                <c:pt idx="297">
                  <c:v>53.287927213787569</c:v>
                </c:pt>
                <c:pt idx="298">
                  <c:v>53.757474312885307</c:v>
                </c:pt>
                <c:pt idx="299">
                  <c:v>54.218767780857156</c:v>
                </c:pt>
                <c:pt idx="300">
                  <c:v>54.671553728214711</c:v>
                </c:pt>
                <c:pt idx="301">
                  <c:v>55.115589342713534</c:v>
                </c:pt>
                <c:pt idx="302">
                  <c:v>55.550642863220936</c:v>
                </c:pt>
                <c:pt idx="303">
                  <c:v>55.976493506100454</c:v>
                </c:pt>
                <c:pt idx="304">
                  <c:v>56.392931346762708</c:v>
                </c:pt>
                <c:pt idx="305">
                  <c:v>56.799757159231248</c:v>
                </c:pt>
                <c:pt idx="306">
                  <c:v>57.196782216702182</c:v>
                </c:pt>
                <c:pt idx="307">
                  <c:v>57.583828056192374</c:v>
                </c:pt>
                <c:pt idx="308">
                  <c:v>57.960726210422933</c:v>
                </c:pt>
                <c:pt idx="309">
                  <c:v>58.327317910127505</c:v>
                </c:pt>
                <c:pt idx="310">
                  <c:v>58.683453759956933</c:v>
                </c:pt>
                <c:pt idx="311">
                  <c:v>59.028993391123564</c:v>
                </c:pt>
                <c:pt idx="312">
                  <c:v>59.363805093867462</c:v>
                </c:pt>
                <c:pt idx="313">
                  <c:v>59.687765432736491</c:v>
                </c:pt>
                <c:pt idx="314">
                  <c:v>60.000758847568378</c:v>
                </c:pt>
                <c:pt idx="315">
                  <c:v>60.302677242941542</c:v>
                </c:pt>
                <c:pt idx="316">
                  <c:v>60.593419568719476</c:v>
                </c:pt>
                <c:pt idx="317">
                  <c:v>60.872891394170495</c:v>
                </c:pt>
                <c:pt idx="318">
                  <c:v>61.141004477985142</c:v>
                </c:pt>
                <c:pt idx="319">
                  <c:v>61.397676336355993</c:v>
                </c:pt>
                <c:pt idx="320">
                  <c:v>61.64282981111419</c:v>
                </c:pt>
                <c:pt idx="321">
                  <c:v>61.87639263976093</c:v>
                </c:pt>
                <c:pt idx="322">
                  <c:v>62.09829702905845</c:v>
                </c:pt>
                <c:pt idx="323">
                  <c:v>62.308479233695451</c:v>
                </c:pt>
                <c:pt idx="324">
                  <c:v>62.506879141375151</c:v>
                </c:pt>
                <c:pt idx="325">
                  <c:v>62.693439865531396</c:v>
                </c:pt>
                <c:pt idx="326">
                  <c:v>62.868107346728692</c:v>
                </c:pt>
                <c:pt idx="327">
                  <c:v>63.030829963670911</c:v>
                </c:pt>
                <c:pt idx="328">
                  <c:v>63.18155815460986</c:v>
                </c:pt>
                <c:pt idx="329">
                  <c:v>63.32024404982851</c:v>
                </c:pt>
                <c:pt idx="330">
                  <c:v>63.446841115761316</c:v>
                </c:pt>
                <c:pt idx="331">
                  <c:v>63.561303811210358</c:v>
                </c:pt>
                <c:pt idx="332">
                  <c:v>63.663587256026787</c:v>
                </c:pt>
                <c:pt idx="333">
                  <c:v>63.753646912539054</c:v>
                </c:pt>
                <c:pt idx="334">
                  <c:v>63.83143827993274</c:v>
                </c:pt>
                <c:pt idx="335">
                  <c:v>63.896916601728215</c:v>
                </c:pt>
                <c:pt idx="336">
                  <c:v>63.950036586429022</c:v>
                </c:pt>
                <c:pt idx="337">
                  <c:v>63.990752141379396</c:v>
                </c:pt>
                <c:pt idx="338">
                  <c:v>64.019016119810544</c:v>
                </c:pt>
                <c:pt idx="339">
                  <c:v>64.034780081029567</c:v>
                </c:pt>
                <c:pt idx="340">
                  <c:v>64.037994063672372</c:v>
                </c:pt>
                <c:pt idx="341">
                  <c:v>64.028606371912446</c:v>
                </c:pt>
                <c:pt idx="342">
                  <c:v>64.006563374510066</c:v>
                </c:pt>
                <c:pt idx="343">
                  <c:v>63.971809316564567</c:v>
                </c:pt>
                <c:pt idx="344">
                  <c:v>63.924286143831303</c:v>
                </c:pt>
                <c:pt idx="345">
                  <c:v>63.863933339455912</c:v>
                </c:pt>
                <c:pt idx="346">
                  <c:v>63.79068777298852</c:v>
                </c:pt>
                <c:pt idx="347">
                  <c:v>63.704483561534126</c:v>
                </c:pt>
                <c:pt idx="348">
                  <c:v>63.605251942912496</c:v>
                </c:pt>
                <c:pt idx="349">
                  <c:v>63.492921160709386</c:v>
                </c:pt>
                <c:pt idx="350">
                  <c:v>63.367416361110571</c:v>
                </c:pt>
                <c:pt idx="351">
                  <c:v>63.228659501434571</c:v>
                </c:pt>
                <c:pt idx="352">
                  <c:v>63.076569270286164</c:v>
                </c:pt>
                <c:pt idx="353">
                  <c:v>62.911061019287075</c:v>
                </c:pt>
                <c:pt idx="354">
                  <c:v>62.732046706344455</c:v>
                </c:pt>
                <c:pt idx="355">
                  <c:v>62.539434850454427</c:v>
                </c:pt>
                <c:pt idx="356">
                  <c:v>62.333130498049087</c:v>
                </c:pt>
                <c:pt idx="357">
                  <c:v>62.113035200927044</c:v>
                </c:pt>
                <c:pt idx="358">
                  <c:v>61.879047005823587</c:v>
                </c:pt>
                <c:pt idx="359">
                  <c:v>61.631060455703555</c:v>
                </c:pt>
                <c:pt idx="360">
                  <c:v>61.3689666028814</c:v>
                </c:pt>
                <c:pt idx="361">
                  <c:v>61.092653034093992</c:v>
                </c:pt>
                <c:pt idx="362">
                  <c:v>60.802003907673416</c:v>
                </c:pt>
                <c:pt idx="363">
                  <c:v>60.496900002984411</c:v>
                </c:pt>
                <c:pt idx="364">
                  <c:v>60.177218782310732</c:v>
                </c:pt>
                <c:pt idx="365">
                  <c:v>59.842834465389885</c:v>
                </c:pt>
                <c:pt idx="366">
                  <c:v>59.493618116807454</c:v>
                </c:pt>
                <c:pt idx="367">
                  <c:v>59.129437746474657</c:v>
                </c:pt>
                <c:pt idx="368">
                  <c:v>58.750158423417666</c:v>
                </c:pt>
                <c:pt idx="369">
                  <c:v>58.355642403116455</c:v>
                </c:pt>
                <c:pt idx="370">
                  <c:v>57.945749268624823</c:v>
                </c:pt>
                <c:pt idx="371">
                  <c:v>57.520336085702425</c:v>
                </c:pt>
                <c:pt idx="372">
                  <c:v>57.079257572182577</c:v>
                </c:pt>
                <c:pt idx="373">
                  <c:v>56.622366281783016</c:v>
                </c:pt>
                <c:pt idx="374">
                  <c:v>56.149512802547903</c:v>
                </c:pt>
                <c:pt idx="375">
                  <c:v>55.66054597008619</c:v>
                </c:pt>
                <c:pt idx="376">
                  <c:v>55.155313095739103</c:v>
                </c:pt>
                <c:pt idx="377">
                  <c:v>54.633660209772053</c:v>
                </c:pt>
                <c:pt idx="378">
                  <c:v>54.095432319636402</c:v>
                </c:pt>
                <c:pt idx="379">
                  <c:v>53.540473683305279</c:v>
                </c:pt>
                <c:pt idx="380">
                  <c:v>52.968628097612537</c:v>
                </c:pt>
                <c:pt idx="381">
                  <c:v>52.379739201469903</c:v>
                </c:pt>
                <c:pt idx="382">
                  <c:v>51.773650793749084</c:v>
                </c:pt>
                <c:pt idx="383">
                  <c:v>51.150207165541126</c:v>
                </c:pt>
                <c:pt idx="384">
                  <c:v>50.509253446404337</c:v>
                </c:pt>
                <c:pt idx="385">
                  <c:v>49.850635964117195</c:v>
                </c:pt>
                <c:pt idx="386">
                  <c:v>49.174202617340178</c:v>
                </c:pt>
                <c:pt idx="387">
                  <c:v>48.479803260475009</c:v>
                </c:pt>
                <c:pt idx="388">
                  <c:v>47.767290099887653</c:v>
                </c:pt>
                <c:pt idx="389">
                  <c:v>47.036518100530081</c:v>
                </c:pt>
                <c:pt idx="390">
                  <c:v>46.287345401863213</c:v>
                </c:pt>
                <c:pt idx="391">
                  <c:v>45.519633741838774</c:v>
                </c:pt>
                <c:pt idx="392">
                  <c:v>44.73324888756575</c:v>
                </c:pt>
                <c:pt idx="393">
                  <c:v>43.928061071129967</c:v>
                </c:pt>
                <c:pt idx="394">
                  <c:v>43.103945428907679</c:v>
                </c:pt>
                <c:pt idx="395">
                  <c:v>42.26078244255757</c:v>
                </c:pt>
                <c:pt idx="396">
                  <c:v>41.398458379754267</c:v>
                </c:pt>
                <c:pt idx="397">
                  <c:v>40.516865732586346</c:v>
                </c:pt>
                <c:pt idx="398">
                  <c:v>39.615903651431353</c:v>
                </c:pt>
                <c:pt idx="399">
                  <c:v>38.695478372006413</c:v>
                </c:pt>
                <c:pt idx="400">
                  <c:v>37.755503633212832</c:v>
                </c:pt>
                <c:pt idx="401">
                  <c:v>36.795901083307939</c:v>
                </c:pt>
                <c:pt idx="402">
                  <c:v>35.816600671902286</c:v>
                </c:pt>
                <c:pt idx="403">
                  <c:v>34.817541025241972</c:v>
                </c:pt>
                <c:pt idx="404">
                  <c:v>33.79866980225183</c:v>
                </c:pt>
                <c:pt idx="405">
                  <c:v>32.759944028837118</c:v>
                </c:pt>
                <c:pt idx="406">
                  <c:v>31.701330408019079</c:v>
                </c:pt>
                <c:pt idx="407">
                  <c:v>30.622805603578101</c:v>
                </c:pt>
                <c:pt idx="408">
                  <c:v>29.524356495019475</c:v>
                </c:pt>
                <c:pt idx="409">
                  <c:v>28.405980401857761</c:v>
                </c:pt>
                <c:pt idx="410">
                  <c:v>27.267685275434228</c:v>
                </c:pt>
                <c:pt idx="411">
                  <c:v>26.109489856747192</c:v>
                </c:pt>
                <c:pt idx="412">
                  <c:v>24.931423799056077</c:v>
                </c:pt>
                <c:pt idx="413">
                  <c:v>23.733527754379644</c:v>
                </c:pt>
                <c:pt idx="414">
                  <c:v>22.515853423357402</c:v>
                </c:pt>
                <c:pt idx="415">
                  <c:v>21.278463568352084</c:v>
                </c:pt>
                <c:pt idx="416">
                  <c:v>20.021431990102673</c:v>
                </c:pt>
                <c:pt idx="417">
                  <c:v>18.744843468675807</c:v>
                </c:pt>
                <c:pt idx="418">
                  <c:v>17.448793669938201</c:v>
                </c:pt>
                <c:pt idx="419">
                  <c:v>16.133389019231927</c:v>
                </c:pt>
                <c:pt idx="420">
                  <c:v>14.798746544418638</c:v>
                </c:pt>
                <c:pt idx="421">
                  <c:v>13.444993690907916</c:v>
                </c:pt>
                <c:pt idx="422">
                  <c:v>12.072268111747917</c:v>
                </c:pt>
                <c:pt idx="423">
                  <c:v>10.680717436250772</c:v>
                </c:pt>
                <c:pt idx="424">
                  <c:v>9.2704990210383222</c:v>
                </c:pt>
                <c:pt idx="425">
                  <c:v>7.841779687710372</c:v>
                </c:pt>
                <c:pt idx="426">
                  <c:v>6.3947354516227728</c:v>
                </c:pt>
                <c:pt idx="427">
                  <c:v>4.9295512465105276</c:v>
                </c:pt>
                <c:pt idx="428">
                  <c:v>3.4464206498102503</c:v>
                </c:pt>
                <c:pt idx="429">
                  <c:v>1.945545613637981</c:v>
                </c:pt>
                <c:pt idx="430">
                  <c:v>0.42713620638032351</c:v>
                </c:pt>
                <c:pt idx="431">
                  <c:v>-1.1085896302581049</c:v>
                </c:pt>
                <c:pt idx="432">
                  <c:v>-2.6614063040446787</c:v>
                </c:pt>
                <c:pt idx="433">
                  <c:v>-4.231080770434553</c:v>
                </c:pt>
                <c:pt idx="434">
                  <c:v>-5.8173727021213386</c:v>
                </c:pt>
                <c:pt idx="435">
                  <c:v>-7.4200346262868653</c:v>
                </c:pt>
                <c:pt idx="436">
                  <c:v>-9.0388120264118985</c:v>
                </c:pt>
                <c:pt idx="437">
                  <c:v>-10.673443406099409</c:v>
                </c:pt>
                <c:pt idx="438">
                  <c:v>-12.323660313026805</c:v>
                </c:pt>
                <c:pt idx="439">
                  <c:v>-13.989187321827909</c:v>
                </c:pt>
                <c:pt idx="440">
                  <c:v>-15.669741975498498</c:v>
                </c:pt>
                <c:pt idx="441">
                  <c:v>-17.365034685685156</c:v>
                </c:pt>
                <c:pt idx="442">
                  <c:v>-19.074768593053999</c:v>
                </c:pt>
                <c:pt idx="443">
                  <c:v>-20.798639389752886</c:v>
                </c:pt>
                <c:pt idx="444">
                  <c:v>-22.536335106827384</c:v>
                </c:pt>
                <c:pt idx="445">
                  <c:v>-24.28753587024006</c:v>
                </c:pt>
                <c:pt idx="446">
                  <c:v>-26.051913629946391</c:v>
                </c:pt>
                <c:pt idx="447">
                  <c:v>-27.829131867208229</c:v>
                </c:pt>
                <c:pt idx="448">
                  <c:v>-29.618845286012018</c:v>
                </c:pt>
                <c:pt idx="449">
                  <c:v>-31.420699495083579</c:v>
                </c:pt>
                <c:pt idx="450">
                  <c:v>-33.234330687506507</c:v>
                </c:pt>
                <c:pt idx="451">
                  <c:v>-35.059365325418064</c:v>
                </c:pt>
                <c:pt idx="452">
                  <c:v>-36.895419837581734</c:v>
                </c:pt>
                <c:pt idx="453">
                  <c:v>-38.742100337880139</c:v>
                </c:pt>
                <c:pt idx="454">
                  <c:v>-40.599002372881664</c:v>
                </c:pt>
                <c:pt idx="455">
                  <c:v>-42.465710706644607</c:v>
                </c:pt>
                <c:pt idx="456">
                  <c:v>-44.341799150769397</c:v>
                </c:pt>
                <c:pt idx="457">
                  <c:v>-46.2268304474971</c:v>
                </c:pt>
                <c:pt idx="458">
                  <c:v>-48.120356213222813</c:v>
                </c:pt>
                <c:pt idx="459">
                  <c:v>-50.021916949329871</c:v>
                </c:pt>
                <c:pt idx="460">
                  <c:v>-51.931042126606677</c:v>
                </c:pt>
                <c:pt idx="461">
                  <c:v>-53.847250348772569</c:v>
                </c:pt>
                <c:pt idx="462">
                  <c:v>-55.770049599805319</c:v>
                </c:pt>
                <c:pt idx="463">
                  <c:v>-57.698937578820832</c:v>
                </c:pt>
                <c:pt idx="464">
                  <c:v>-59.633402125232891</c:v>
                </c:pt>
                <c:pt idx="465">
                  <c:v>-61.57292173583847</c:v>
                </c:pt>
                <c:pt idx="466">
                  <c:v>-63.516966174327038</c:v>
                </c:pt>
                <c:pt idx="467">
                  <c:v>-65.464997172539015</c:v>
                </c:pt>
                <c:pt idx="468">
                  <c:v>-67.416469221582147</c:v>
                </c:pt>
                <c:pt idx="469">
                  <c:v>-69.370830449739202</c:v>
                </c:pt>
                <c:pt idx="470">
                  <c:v>-71.327523582893619</c:v>
                </c:pt>
                <c:pt idx="471">
                  <c:v>-73.285986982069105</c:v>
                </c:pt>
                <c:pt idx="472">
                  <c:v>-75.245655751570311</c:v>
                </c:pt>
                <c:pt idx="473">
                  <c:v>-77.205962910217764</c:v>
                </c:pt>
                <c:pt idx="474">
                  <c:v>-79.166340617213649</c:v>
                </c:pt>
                <c:pt idx="475">
                  <c:v>-81.126221443364457</c:v>
                </c:pt>
                <c:pt idx="476">
                  <c:v>-83.085039677680172</c:v>
                </c:pt>
                <c:pt idx="477">
                  <c:v>-85.042232658786816</c:v>
                </c:pt>
                <c:pt idx="478">
                  <c:v>-86.997242120151739</c:v>
                </c:pt>
                <c:pt idx="479">
                  <c:v>-88.949515537832951</c:v>
                </c:pt>
                <c:pt idx="480">
                  <c:v>-90.898507469308129</c:v>
                </c:pt>
                <c:pt idx="481">
                  <c:v>-92.843680871958256</c:v>
                </c:pt>
                <c:pt idx="482">
                  <c:v>-94.784508389922919</c:v>
                </c:pt>
                <c:pt idx="483">
                  <c:v>-96.720473598340945</c:v>
                </c:pt>
                <c:pt idx="484">
                  <c:v>-98.651072194436978</c:v>
                </c:pt>
                <c:pt idx="485">
                  <c:v>-100.57581312545886</c:v>
                </c:pt>
                <c:pt idx="486">
                  <c:v>-102.49421964415987</c:v>
                </c:pt>
                <c:pt idx="487">
                  <c:v>-104.40583028330113</c:v>
                </c:pt>
                <c:pt idx="488">
                  <c:v>-106.31019974150435</c:v>
                </c:pt>
                <c:pt idx="489">
                  <c:v>-108.20689967375367</c:v>
                </c:pt>
                <c:pt idx="490">
                  <c:v>-110.09551938082619</c:v>
                </c:pt>
                <c:pt idx="491">
                  <c:v>-111.97566639297897</c:v>
                </c:pt>
                <c:pt idx="492">
                  <c:v>-113.84696694429273</c:v>
                </c:pt>
                <c:pt idx="493">
                  <c:v>-115.70906633514301</c:v>
                </c:pt>
                <c:pt idx="494">
                  <c:v>-117.56162918134842</c:v>
                </c:pt>
                <c:pt idx="495">
                  <c:v>-119.40433954959096</c:v>
                </c:pt>
                <c:pt idx="496">
                  <c:v>-121.23690097973714</c:v>
                </c:pt>
                <c:pt idx="497">
                  <c:v>-123.05903639564832</c:v>
                </c:pt>
                <c:pt idx="498">
                  <c:v>-124.87048790702161</c:v>
                </c:pt>
                <c:pt idx="499">
                  <c:v>-126.67101650564535</c:v>
                </c:pt>
                <c:pt idx="500">
                  <c:v>-128.46040166026961</c:v>
                </c:pt>
                <c:pt idx="501">
                  <c:v>-130.23844081501605</c:v>
                </c:pt>
                <c:pt idx="502">
                  <c:v>-132.0049487969132</c:v>
                </c:pt>
                <c:pt idx="503">
                  <c:v>-133.7597571387106</c:v>
                </c:pt>
                <c:pt idx="504">
                  <c:v>-135.50271332364915</c:v>
                </c:pt>
                <c:pt idx="505">
                  <c:v>-137.23367995927643</c:v>
                </c:pt>
                <c:pt idx="506">
                  <c:v>-138.95253388776251</c:v>
                </c:pt>
                <c:pt idx="507">
                  <c:v>-140.65916524044502</c:v>
                </c:pt>
                <c:pt idx="508">
                  <c:v>-142.3534764445638</c:v>
                </c:pt>
                <c:pt idx="509">
                  <c:v>-144.03538119027641</c:v>
                </c:pt>
                <c:pt idx="510">
                  <c:v>-145.70480336614625</c:v>
                </c:pt>
                <c:pt idx="511">
                  <c:v>-147.36167597132874</c:v>
                </c:pt>
                <c:pt idx="512">
                  <c:v>-149.00594001264332</c:v>
                </c:pt>
                <c:pt idx="513">
                  <c:v>-150.63754339466601</c:v>
                </c:pt>
                <c:pt idx="514">
                  <c:v>-152.25643981082894</c:v>
                </c:pt>
                <c:pt idx="515">
                  <c:v>-153.86258764337259</c:v>
                </c:pt>
                <c:pt idx="516">
                  <c:v>-155.45594887976952</c:v>
                </c:pt>
                <c:pt idx="517">
                  <c:v>-157.03648805299656</c:v>
                </c:pt>
                <c:pt idx="518">
                  <c:v>-158.60417121273926</c:v>
                </c:pt>
                <c:pt idx="519">
                  <c:v>-160.1589649342927</c:v>
                </c:pt>
                <c:pt idx="520">
                  <c:v>-161.70083537155841</c:v>
                </c:pt>
                <c:pt idx="521">
                  <c:v>-163.22974736013686</c:v>
                </c:pt>
                <c:pt idx="522">
                  <c:v>-164.74566357609086</c:v>
                </c:pt>
                <c:pt idx="523">
                  <c:v>-166.24854375548827</c:v>
                </c:pt>
                <c:pt idx="524">
                  <c:v>-167.73834397933746</c:v>
                </c:pt>
                <c:pt idx="525">
                  <c:v>-169.21501602799538</c:v>
                </c:pt>
                <c:pt idx="526">
                  <c:v>-170.67850680857987</c:v>
                </c:pt>
                <c:pt idx="527">
                  <c:v>-172.12875785833862</c:v>
                </c:pt>
                <c:pt idx="528">
                  <c:v>-173.56570492629288</c:v>
                </c:pt>
                <c:pt idx="529">
                  <c:v>-174.98927763488717</c:v>
                </c:pt>
                <c:pt idx="530">
                  <c:v>-176.39939922267621</c:v>
                </c:pt>
                <c:pt idx="531">
                  <c:v>-177.79598636846933</c:v>
                </c:pt>
                <c:pt idx="532">
                  <c:v>-179.17894909664477</c:v>
                </c:pt>
                <c:pt idx="533">
                  <c:v>179.45180923729905</c:v>
                </c:pt>
                <c:pt idx="534">
                  <c:v>178.09639188257464</c:v>
                </c:pt>
                <c:pt idx="535">
                  <c:v>176.75490855258226</c:v>
                </c:pt>
                <c:pt idx="536">
                  <c:v>175.42747521093997</c:v>
                </c:pt>
                <c:pt idx="537">
                  <c:v>174.11421378758203</c:v>
                </c:pt>
                <c:pt idx="538">
                  <c:v>172.81525182902718</c:v>
                </c:pt>
                <c:pt idx="539">
                  <c:v>171.53072208745039</c:v>
                </c:pt>
                <c:pt idx="540">
                  <c:v>170.26076205368201</c:v>
                </c:pt>
                <c:pt idx="541">
                  <c:v>169.00551343969229</c:v>
                </c:pt>
              </c:numCache>
            </c:numRef>
          </c:yVal>
          <c:smooth val="1"/>
          <c:extLst>
            <c:ext xmlns:c16="http://schemas.microsoft.com/office/drawing/2014/chart" uri="{C3380CC4-5D6E-409C-BE32-E72D297353CC}">
              <c16:uniqueId val="{0000000B-9664-4380-AE70-7A1B318A8941}"/>
            </c:ext>
          </c:extLst>
        </c:ser>
        <c:dLbls>
          <c:showLegendKey val="0"/>
          <c:showVal val="0"/>
          <c:showCatName val="0"/>
          <c:showSerName val="0"/>
          <c:showPercent val="0"/>
          <c:showBubbleSize val="0"/>
        </c:dLbls>
        <c:axId val="69650304"/>
        <c:axId val="69648384"/>
      </c:scatterChart>
      <c:valAx>
        <c:axId val="69636096"/>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69638016"/>
        <c:crosses val="autoZero"/>
        <c:crossBetween val="midCat"/>
      </c:valAx>
      <c:valAx>
        <c:axId val="69638016"/>
        <c:scaling>
          <c:orientation val="minMax"/>
          <c:max val="60"/>
          <c:min val="-6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69636096"/>
        <c:crosses val="autoZero"/>
        <c:crossBetween val="midCat"/>
        <c:majorUnit val="20"/>
        <c:minorUnit val="10"/>
      </c:valAx>
      <c:valAx>
        <c:axId val="69648384"/>
        <c:scaling>
          <c:orientation val="minMax"/>
          <c:max val="180"/>
          <c:min val="-180"/>
        </c:scaling>
        <c:delete val="0"/>
        <c:axPos val="r"/>
        <c:title>
          <c:tx>
            <c:rich>
              <a:bodyPr rot="-5400000" vert="horz"/>
              <a:lstStyle/>
              <a:p>
                <a:pPr>
                  <a:defRPr/>
                </a:pPr>
                <a:r>
                  <a:rPr lang="en-US"/>
                  <a:t>Phase Margin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69650304"/>
        <c:crosses val="max"/>
        <c:crossBetween val="midCat"/>
        <c:majorUnit val="90"/>
        <c:minorUnit val="45"/>
      </c:valAx>
      <c:valAx>
        <c:axId val="69650304"/>
        <c:scaling>
          <c:logBase val="10"/>
          <c:orientation val="minMax"/>
        </c:scaling>
        <c:delete val="1"/>
        <c:axPos val="b"/>
        <c:numFmt formatCode="0.00" sourceLinked="1"/>
        <c:majorTickMark val="out"/>
        <c:minorTickMark val="none"/>
        <c:tickLblPos val="nextTo"/>
        <c:crossAx val="69648384"/>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Efficiency</c:v>
          </c:tx>
          <c:spPr>
            <a:ln>
              <a:solidFill>
                <a:srgbClr val="0070C0"/>
              </a:solidFill>
            </a:ln>
          </c:spPr>
          <c:marker>
            <c:symbol val="none"/>
          </c:marker>
          <c:xVal>
            <c:numRef>
              <c:f>Eff_vs_IOUT!$AZ$7:$AZ$325</c:f>
              <c:numCache>
                <c:formatCode>General</c:formatCode>
                <c:ptCount val="319"/>
                <c:pt idx="0">
                  <c:v>0</c:v>
                </c:pt>
                <c:pt idx="1">
                  <c:v>2E-3</c:v>
                </c:pt>
                <c:pt idx="2">
                  <c:v>4.0000000000000001E-3</c:v>
                </c:pt>
                <c:pt idx="3">
                  <c:v>6.0000000000000001E-3</c:v>
                </c:pt>
                <c:pt idx="4">
                  <c:v>8.0000000000000002E-3</c:v>
                </c:pt>
                <c:pt idx="5">
                  <c:v>0.01</c:v>
                </c:pt>
                <c:pt idx="6">
                  <c:v>1.2E-2</c:v>
                </c:pt>
                <c:pt idx="7">
                  <c:v>1.4E-2</c:v>
                </c:pt>
                <c:pt idx="8">
                  <c:v>1.6E-2</c:v>
                </c:pt>
                <c:pt idx="9">
                  <c:v>1.8000000000000002E-2</c:v>
                </c:pt>
                <c:pt idx="10">
                  <c:v>0.02</c:v>
                </c:pt>
                <c:pt idx="11">
                  <c:v>2.1999999999999999E-2</c:v>
                </c:pt>
                <c:pt idx="12">
                  <c:v>2.4E-2</c:v>
                </c:pt>
                <c:pt idx="13">
                  <c:v>2.6000000000000002E-2</c:v>
                </c:pt>
                <c:pt idx="14">
                  <c:v>2.8000000000000001E-2</c:v>
                </c:pt>
                <c:pt idx="15">
                  <c:v>0.03</c:v>
                </c:pt>
                <c:pt idx="16">
                  <c:v>3.2000000000000001E-2</c:v>
                </c:pt>
                <c:pt idx="17">
                  <c:v>3.4000000000000002E-2</c:v>
                </c:pt>
                <c:pt idx="18">
                  <c:v>3.6000000000000004E-2</c:v>
                </c:pt>
                <c:pt idx="19">
                  <c:v>3.7999999999999999E-2</c:v>
                </c:pt>
                <c:pt idx="20">
                  <c:v>0.04</c:v>
                </c:pt>
                <c:pt idx="21">
                  <c:v>4.2000000000000003E-2</c:v>
                </c:pt>
                <c:pt idx="22">
                  <c:v>4.3999999999999997E-2</c:v>
                </c:pt>
                <c:pt idx="23">
                  <c:v>4.5999999999999999E-2</c:v>
                </c:pt>
                <c:pt idx="24">
                  <c:v>4.8000000000000001E-2</c:v>
                </c:pt>
                <c:pt idx="25">
                  <c:v>0.05</c:v>
                </c:pt>
                <c:pt idx="26">
                  <c:v>5.2000000000000005E-2</c:v>
                </c:pt>
                <c:pt idx="27">
                  <c:v>5.3999999999999999E-2</c:v>
                </c:pt>
                <c:pt idx="28">
                  <c:v>5.6000000000000001E-2</c:v>
                </c:pt>
                <c:pt idx="29">
                  <c:v>5.8000000000000003E-2</c:v>
                </c:pt>
                <c:pt idx="30">
                  <c:v>0.06</c:v>
                </c:pt>
                <c:pt idx="31">
                  <c:v>6.2E-2</c:v>
                </c:pt>
                <c:pt idx="32">
                  <c:v>6.4000000000000001E-2</c:v>
                </c:pt>
                <c:pt idx="33">
                  <c:v>6.6000000000000003E-2</c:v>
                </c:pt>
                <c:pt idx="34">
                  <c:v>6.8000000000000005E-2</c:v>
                </c:pt>
                <c:pt idx="35">
                  <c:v>7.0000000000000007E-2</c:v>
                </c:pt>
                <c:pt idx="36">
                  <c:v>7.2000000000000008E-2</c:v>
                </c:pt>
                <c:pt idx="37">
                  <c:v>7.3999999999999996E-2</c:v>
                </c:pt>
                <c:pt idx="38">
                  <c:v>7.5999999999999998E-2</c:v>
                </c:pt>
                <c:pt idx="39">
                  <c:v>7.8E-2</c:v>
                </c:pt>
                <c:pt idx="40">
                  <c:v>0.08</c:v>
                </c:pt>
                <c:pt idx="41">
                  <c:v>8.2000000000000003E-2</c:v>
                </c:pt>
                <c:pt idx="42">
                  <c:v>8.4000000000000005E-2</c:v>
                </c:pt>
                <c:pt idx="43">
                  <c:v>8.6000000000000007E-2</c:v>
                </c:pt>
                <c:pt idx="44">
                  <c:v>8.7999999999999995E-2</c:v>
                </c:pt>
                <c:pt idx="45">
                  <c:v>0.09</c:v>
                </c:pt>
                <c:pt idx="46">
                  <c:v>9.1999999999999998E-2</c:v>
                </c:pt>
                <c:pt idx="47">
                  <c:v>9.4E-2</c:v>
                </c:pt>
                <c:pt idx="48">
                  <c:v>9.6000000000000002E-2</c:v>
                </c:pt>
                <c:pt idx="49">
                  <c:v>9.8000000000000004E-2</c:v>
                </c:pt>
                <c:pt idx="50">
                  <c:v>0.1</c:v>
                </c:pt>
                <c:pt idx="51">
                  <c:v>0.10200000000000001</c:v>
                </c:pt>
                <c:pt idx="52">
                  <c:v>0.10400000000000001</c:v>
                </c:pt>
                <c:pt idx="53">
                  <c:v>0.106</c:v>
                </c:pt>
                <c:pt idx="54">
                  <c:v>0.108</c:v>
                </c:pt>
                <c:pt idx="55">
                  <c:v>0.11</c:v>
                </c:pt>
                <c:pt idx="56">
                  <c:v>0.112</c:v>
                </c:pt>
                <c:pt idx="57">
                  <c:v>0.114</c:v>
                </c:pt>
                <c:pt idx="58">
                  <c:v>0.11600000000000001</c:v>
                </c:pt>
                <c:pt idx="59">
                  <c:v>0.11800000000000001</c:v>
                </c:pt>
                <c:pt idx="60">
                  <c:v>0.12</c:v>
                </c:pt>
                <c:pt idx="61">
                  <c:v>0.122</c:v>
                </c:pt>
                <c:pt idx="62">
                  <c:v>0.124</c:v>
                </c:pt>
                <c:pt idx="63">
                  <c:v>0.126</c:v>
                </c:pt>
                <c:pt idx="64">
                  <c:v>0.128</c:v>
                </c:pt>
                <c:pt idx="65">
                  <c:v>0.13</c:v>
                </c:pt>
                <c:pt idx="66">
                  <c:v>0.13200000000000001</c:v>
                </c:pt>
                <c:pt idx="67">
                  <c:v>0.13400000000000001</c:v>
                </c:pt>
                <c:pt idx="68">
                  <c:v>0.13600000000000001</c:v>
                </c:pt>
                <c:pt idx="69">
                  <c:v>0.13800000000000001</c:v>
                </c:pt>
                <c:pt idx="70">
                  <c:v>0.14000000000000001</c:v>
                </c:pt>
                <c:pt idx="71">
                  <c:v>0.14200000000000002</c:v>
                </c:pt>
                <c:pt idx="72">
                  <c:v>0.14400000000000002</c:v>
                </c:pt>
                <c:pt idx="73">
                  <c:v>0.14599999999999999</c:v>
                </c:pt>
                <c:pt idx="74">
                  <c:v>0.14799999999999999</c:v>
                </c:pt>
                <c:pt idx="75">
                  <c:v>0.15</c:v>
                </c:pt>
                <c:pt idx="76">
                  <c:v>0.152</c:v>
                </c:pt>
                <c:pt idx="77">
                  <c:v>0.154</c:v>
                </c:pt>
                <c:pt idx="78">
                  <c:v>0.156</c:v>
                </c:pt>
                <c:pt idx="79">
                  <c:v>0.158</c:v>
                </c:pt>
                <c:pt idx="80">
                  <c:v>0.16</c:v>
                </c:pt>
                <c:pt idx="81">
                  <c:v>0.16200000000000001</c:v>
                </c:pt>
                <c:pt idx="82">
                  <c:v>0.16400000000000001</c:v>
                </c:pt>
                <c:pt idx="83">
                  <c:v>0.16600000000000001</c:v>
                </c:pt>
                <c:pt idx="84">
                  <c:v>0.16800000000000001</c:v>
                </c:pt>
                <c:pt idx="85">
                  <c:v>0.17</c:v>
                </c:pt>
                <c:pt idx="86">
                  <c:v>0.17200000000000001</c:v>
                </c:pt>
                <c:pt idx="87">
                  <c:v>0.17400000000000002</c:v>
                </c:pt>
                <c:pt idx="88">
                  <c:v>0.17599999999999999</c:v>
                </c:pt>
                <c:pt idx="89">
                  <c:v>0.17799999999999999</c:v>
                </c:pt>
                <c:pt idx="90">
                  <c:v>0.18</c:v>
                </c:pt>
                <c:pt idx="91">
                  <c:v>0.182</c:v>
                </c:pt>
                <c:pt idx="92">
                  <c:v>0.184</c:v>
                </c:pt>
                <c:pt idx="93">
                  <c:v>0.186</c:v>
                </c:pt>
                <c:pt idx="94">
                  <c:v>0.188</c:v>
                </c:pt>
                <c:pt idx="95">
                  <c:v>0.19</c:v>
                </c:pt>
                <c:pt idx="96">
                  <c:v>0.192</c:v>
                </c:pt>
                <c:pt idx="97">
                  <c:v>0.19400000000000001</c:v>
                </c:pt>
                <c:pt idx="98">
                  <c:v>0.19600000000000001</c:v>
                </c:pt>
                <c:pt idx="99">
                  <c:v>0.19800000000000001</c:v>
                </c:pt>
                <c:pt idx="100">
                  <c:v>0.2</c:v>
                </c:pt>
                <c:pt idx="101">
                  <c:v>0.20200000000000001</c:v>
                </c:pt>
                <c:pt idx="102">
                  <c:v>0.20400000000000001</c:v>
                </c:pt>
                <c:pt idx="103">
                  <c:v>0.20600000000000002</c:v>
                </c:pt>
                <c:pt idx="104">
                  <c:v>0.20800000000000002</c:v>
                </c:pt>
                <c:pt idx="105">
                  <c:v>0.21</c:v>
                </c:pt>
                <c:pt idx="106">
                  <c:v>0.21199999999999999</c:v>
                </c:pt>
                <c:pt idx="107">
                  <c:v>0.214</c:v>
                </c:pt>
                <c:pt idx="108">
                  <c:v>0.216</c:v>
                </c:pt>
                <c:pt idx="109">
                  <c:v>0.218</c:v>
                </c:pt>
                <c:pt idx="110">
                  <c:v>0.22</c:v>
                </c:pt>
                <c:pt idx="111">
                  <c:v>0.222</c:v>
                </c:pt>
                <c:pt idx="112">
                  <c:v>0.224</c:v>
                </c:pt>
                <c:pt idx="113">
                  <c:v>0.22600000000000001</c:v>
                </c:pt>
                <c:pt idx="114">
                  <c:v>0.22800000000000001</c:v>
                </c:pt>
                <c:pt idx="115">
                  <c:v>0.23</c:v>
                </c:pt>
                <c:pt idx="116">
                  <c:v>0.23200000000000001</c:v>
                </c:pt>
                <c:pt idx="117">
                  <c:v>0.23400000000000001</c:v>
                </c:pt>
                <c:pt idx="118">
                  <c:v>0.23600000000000002</c:v>
                </c:pt>
                <c:pt idx="119">
                  <c:v>0.23800000000000002</c:v>
                </c:pt>
                <c:pt idx="120">
                  <c:v>0.24</c:v>
                </c:pt>
                <c:pt idx="121">
                  <c:v>0.24199999999999999</c:v>
                </c:pt>
                <c:pt idx="122">
                  <c:v>0.24399999999999999</c:v>
                </c:pt>
                <c:pt idx="123">
                  <c:v>0.246</c:v>
                </c:pt>
                <c:pt idx="124">
                  <c:v>0.248</c:v>
                </c:pt>
                <c:pt idx="125">
                  <c:v>0.25</c:v>
                </c:pt>
                <c:pt idx="126">
                  <c:v>0.252</c:v>
                </c:pt>
                <c:pt idx="127">
                  <c:v>0.254</c:v>
                </c:pt>
                <c:pt idx="128">
                  <c:v>0.25600000000000001</c:v>
                </c:pt>
                <c:pt idx="129">
                  <c:v>0.25800000000000001</c:v>
                </c:pt>
                <c:pt idx="130">
                  <c:v>0.26</c:v>
                </c:pt>
                <c:pt idx="131">
                  <c:v>0.26200000000000001</c:v>
                </c:pt>
                <c:pt idx="132">
                  <c:v>0.26400000000000001</c:v>
                </c:pt>
                <c:pt idx="133">
                  <c:v>0.26600000000000001</c:v>
                </c:pt>
                <c:pt idx="134">
                  <c:v>0.26800000000000002</c:v>
                </c:pt>
                <c:pt idx="135">
                  <c:v>0.27</c:v>
                </c:pt>
                <c:pt idx="136">
                  <c:v>0.27200000000000002</c:v>
                </c:pt>
                <c:pt idx="137">
                  <c:v>0.27400000000000002</c:v>
                </c:pt>
                <c:pt idx="138">
                  <c:v>0.27600000000000002</c:v>
                </c:pt>
                <c:pt idx="139">
                  <c:v>0.27800000000000002</c:v>
                </c:pt>
                <c:pt idx="140">
                  <c:v>0.28000000000000003</c:v>
                </c:pt>
                <c:pt idx="141">
                  <c:v>0.28200000000000003</c:v>
                </c:pt>
                <c:pt idx="142">
                  <c:v>0.28400000000000003</c:v>
                </c:pt>
                <c:pt idx="143">
                  <c:v>0.28600000000000003</c:v>
                </c:pt>
                <c:pt idx="144">
                  <c:v>0.28800000000000003</c:v>
                </c:pt>
                <c:pt idx="145">
                  <c:v>0.28999999999999998</c:v>
                </c:pt>
                <c:pt idx="146">
                  <c:v>0.29199999999999998</c:v>
                </c:pt>
                <c:pt idx="147">
                  <c:v>0.29399999999999998</c:v>
                </c:pt>
                <c:pt idx="148">
                  <c:v>0.29599999999999999</c:v>
                </c:pt>
                <c:pt idx="149">
                  <c:v>0.29799999999999999</c:v>
                </c:pt>
                <c:pt idx="150">
                  <c:v>0.3</c:v>
                </c:pt>
                <c:pt idx="151">
                  <c:v>0.30199999999999999</c:v>
                </c:pt>
                <c:pt idx="152">
                  <c:v>0.30399999999999999</c:v>
                </c:pt>
                <c:pt idx="153">
                  <c:v>0.30599999999999999</c:v>
                </c:pt>
                <c:pt idx="154">
                  <c:v>0.308</c:v>
                </c:pt>
                <c:pt idx="155">
                  <c:v>0.31</c:v>
                </c:pt>
                <c:pt idx="156">
                  <c:v>0.312</c:v>
                </c:pt>
                <c:pt idx="157">
                  <c:v>0.314</c:v>
                </c:pt>
                <c:pt idx="158">
                  <c:v>0.316</c:v>
                </c:pt>
                <c:pt idx="159">
                  <c:v>0.318</c:v>
                </c:pt>
                <c:pt idx="160">
                  <c:v>0.32</c:v>
                </c:pt>
                <c:pt idx="161">
                  <c:v>0.32200000000000001</c:v>
                </c:pt>
                <c:pt idx="162">
                  <c:v>0.32400000000000001</c:v>
                </c:pt>
                <c:pt idx="163">
                  <c:v>0.32600000000000001</c:v>
                </c:pt>
                <c:pt idx="164">
                  <c:v>0.32800000000000001</c:v>
                </c:pt>
                <c:pt idx="165">
                  <c:v>0.33</c:v>
                </c:pt>
                <c:pt idx="166">
                  <c:v>0.33200000000000002</c:v>
                </c:pt>
                <c:pt idx="167">
                  <c:v>0.33400000000000002</c:v>
                </c:pt>
                <c:pt idx="168">
                  <c:v>0.33600000000000002</c:v>
                </c:pt>
                <c:pt idx="169">
                  <c:v>0.33800000000000002</c:v>
                </c:pt>
                <c:pt idx="170">
                  <c:v>0.34</c:v>
                </c:pt>
                <c:pt idx="171">
                  <c:v>0.34200000000000003</c:v>
                </c:pt>
                <c:pt idx="172">
                  <c:v>0.34400000000000003</c:v>
                </c:pt>
                <c:pt idx="173">
                  <c:v>0.34600000000000003</c:v>
                </c:pt>
                <c:pt idx="174">
                  <c:v>0.34800000000000003</c:v>
                </c:pt>
                <c:pt idx="175">
                  <c:v>0.35000000000000003</c:v>
                </c:pt>
                <c:pt idx="176">
                  <c:v>0.35199999999999998</c:v>
                </c:pt>
                <c:pt idx="177">
                  <c:v>0.35399999999999998</c:v>
                </c:pt>
                <c:pt idx="178">
                  <c:v>0.35599999999999998</c:v>
                </c:pt>
                <c:pt idx="179">
                  <c:v>0.35799999999999998</c:v>
                </c:pt>
                <c:pt idx="180">
                  <c:v>0.36</c:v>
                </c:pt>
                <c:pt idx="181">
                  <c:v>0.36199999999999999</c:v>
                </c:pt>
                <c:pt idx="182">
                  <c:v>0.36399999999999999</c:v>
                </c:pt>
                <c:pt idx="183">
                  <c:v>0.36599999999999999</c:v>
                </c:pt>
                <c:pt idx="184">
                  <c:v>0.36799999999999999</c:v>
                </c:pt>
                <c:pt idx="185">
                  <c:v>0.37</c:v>
                </c:pt>
                <c:pt idx="186">
                  <c:v>0.372</c:v>
                </c:pt>
                <c:pt idx="187">
                  <c:v>0.374</c:v>
                </c:pt>
                <c:pt idx="188">
                  <c:v>0.376</c:v>
                </c:pt>
                <c:pt idx="189">
                  <c:v>0.378</c:v>
                </c:pt>
                <c:pt idx="190">
                  <c:v>0.38</c:v>
                </c:pt>
                <c:pt idx="191">
                  <c:v>0.38200000000000001</c:v>
                </c:pt>
                <c:pt idx="192">
                  <c:v>0.38400000000000001</c:v>
                </c:pt>
                <c:pt idx="193">
                  <c:v>0.38600000000000001</c:v>
                </c:pt>
                <c:pt idx="194">
                  <c:v>0.38800000000000001</c:v>
                </c:pt>
                <c:pt idx="195">
                  <c:v>0.39</c:v>
                </c:pt>
                <c:pt idx="196">
                  <c:v>0.39200000000000002</c:v>
                </c:pt>
                <c:pt idx="197">
                  <c:v>0.39400000000000002</c:v>
                </c:pt>
                <c:pt idx="198">
                  <c:v>0.39600000000000002</c:v>
                </c:pt>
                <c:pt idx="199">
                  <c:v>0.39800000000000002</c:v>
                </c:pt>
                <c:pt idx="200">
                  <c:v>0.4</c:v>
                </c:pt>
                <c:pt idx="201">
                  <c:v>0.40200000000000002</c:v>
                </c:pt>
                <c:pt idx="202">
                  <c:v>0.40400000000000003</c:v>
                </c:pt>
                <c:pt idx="203">
                  <c:v>0.40600000000000003</c:v>
                </c:pt>
                <c:pt idx="204">
                  <c:v>0.40800000000000003</c:v>
                </c:pt>
                <c:pt idx="205">
                  <c:v>0.41000000000000003</c:v>
                </c:pt>
                <c:pt idx="206">
                  <c:v>0.41200000000000003</c:v>
                </c:pt>
                <c:pt idx="207">
                  <c:v>0.41400000000000003</c:v>
                </c:pt>
                <c:pt idx="208">
                  <c:v>0.41600000000000004</c:v>
                </c:pt>
                <c:pt idx="209">
                  <c:v>0.41799999999999998</c:v>
                </c:pt>
                <c:pt idx="210">
                  <c:v>0.42</c:v>
                </c:pt>
                <c:pt idx="211">
                  <c:v>0.42199999999999999</c:v>
                </c:pt>
                <c:pt idx="212">
                  <c:v>0.42399999999999999</c:v>
                </c:pt>
                <c:pt idx="213">
                  <c:v>0.42599999999999999</c:v>
                </c:pt>
                <c:pt idx="214">
                  <c:v>0.42799999999999999</c:v>
                </c:pt>
                <c:pt idx="215">
                  <c:v>0.43</c:v>
                </c:pt>
                <c:pt idx="216">
                  <c:v>0.432</c:v>
                </c:pt>
                <c:pt idx="217">
                  <c:v>0.434</c:v>
                </c:pt>
                <c:pt idx="218">
                  <c:v>0.436</c:v>
                </c:pt>
                <c:pt idx="219">
                  <c:v>0.438</c:v>
                </c:pt>
                <c:pt idx="220">
                  <c:v>0.44</c:v>
                </c:pt>
                <c:pt idx="221">
                  <c:v>0.442</c:v>
                </c:pt>
                <c:pt idx="222">
                  <c:v>0.44400000000000001</c:v>
                </c:pt>
                <c:pt idx="223">
                  <c:v>0.44600000000000001</c:v>
                </c:pt>
                <c:pt idx="224">
                  <c:v>0.44800000000000001</c:v>
                </c:pt>
                <c:pt idx="225">
                  <c:v>0.45</c:v>
                </c:pt>
                <c:pt idx="226">
                  <c:v>0.45200000000000001</c:v>
                </c:pt>
                <c:pt idx="227">
                  <c:v>0.45400000000000001</c:v>
                </c:pt>
                <c:pt idx="228">
                  <c:v>0.45600000000000002</c:v>
                </c:pt>
                <c:pt idx="229">
                  <c:v>0.45800000000000002</c:v>
                </c:pt>
                <c:pt idx="230">
                  <c:v>0.46</c:v>
                </c:pt>
                <c:pt idx="231">
                  <c:v>0.46200000000000002</c:v>
                </c:pt>
                <c:pt idx="232">
                  <c:v>0.46400000000000002</c:v>
                </c:pt>
                <c:pt idx="233">
                  <c:v>0.46600000000000003</c:v>
                </c:pt>
                <c:pt idx="234">
                  <c:v>0.46800000000000003</c:v>
                </c:pt>
                <c:pt idx="235">
                  <c:v>0.47000000000000003</c:v>
                </c:pt>
                <c:pt idx="236">
                  <c:v>0.47200000000000003</c:v>
                </c:pt>
                <c:pt idx="237">
                  <c:v>0.47400000000000003</c:v>
                </c:pt>
                <c:pt idx="238">
                  <c:v>0.47600000000000003</c:v>
                </c:pt>
                <c:pt idx="239">
                  <c:v>0.47800000000000004</c:v>
                </c:pt>
                <c:pt idx="240">
                  <c:v>0.48</c:v>
                </c:pt>
                <c:pt idx="241">
                  <c:v>0.48199999999999998</c:v>
                </c:pt>
                <c:pt idx="242">
                  <c:v>0.48399999999999999</c:v>
                </c:pt>
                <c:pt idx="243">
                  <c:v>0.48599999999999999</c:v>
                </c:pt>
                <c:pt idx="244">
                  <c:v>0.48799999999999999</c:v>
                </c:pt>
                <c:pt idx="245">
                  <c:v>0.49</c:v>
                </c:pt>
                <c:pt idx="246">
                  <c:v>0.49199999999999999</c:v>
                </c:pt>
                <c:pt idx="247">
                  <c:v>0.49399999999999999</c:v>
                </c:pt>
                <c:pt idx="248">
                  <c:v>0.496</c:v>
                </c:pt>
                <c:pt idx="249">
                  <c:v>0.498</c:v>
                </c:pt>
                <c:pt idx="250">
                  <c:v>0.5</c:v>
                </c:pt>
                <c:pt idx="251">
                  <c:v>0.502</c:v>
                </c:pt>
                <c:pt idx="252">
                  <c:v>0.504</c:v>
                </c:pt>
                <c:pt idx="253">
                  <c:v>0.50600000000000001</c:v>
                </c:pt>
                <c:pt idx="254">
                  <c:v>0.50800000000000001</c:v>
                </c:pt>
                <c:pt idx="255">
                  <c:v>0.51</c:v>
                </c:pt>
                <c:pt idx="256">
                  <c:v>0.51200000000000001</c:v>
                </c:pt>
                <c:pt idx="257">
                  <c:v>0.51400000000000001</c:v>
                </c:pt>
                <c:pt idx="258">
                  <c:v>0.51600000000000001</c:v>
                </c:pt>
                <c:pt idx="259">
                  <c:v>0.51800000000000002</c:v>
                </c:pt>
                <c:pt idx="260">
                  <c:v>0.52</c:v>
                </c:pt>
                <c:pt idx="261">
                  <c:v>0.52200000000000002</c:v>
                </c:pt>
                <c:pt idx="262">
                  <c:v>0.52400000000000002</c:v>
                </c:pt>
                <c:pt idx="263">
                  <c:v>0.52600000000000002</c:v>
                </c:pt>
                <c:pt idx="264">
                  <c:v>0.52800000000000002</c:v>
                </c:pt>
                <c:pt idx="265">
                  <c:v>0.53</c:v>
                </c:pt>
                <c:pt idx="266">
                  <c:v>0.53200000000000003</c:v>
                </c:pt>
                <c:pt idx="267">
                  <c:v>0.53400000000000003</c:v>
                </c:pt>
                <c:pt idx="268">
                  <c:v>0.53600000000000003</c:v>
                </c:pt>
                <c:pt idx="269">
                  <c:v>0.53800000000000003</c:v>
                </c:pt>
                <c:pt idx="270">
                  <c:v>0.54</c:v>
                </c:pt>
                <c:pt idx="271">
                  <c:v>0.54200000000000004</c:v>
                </c:pt>
                <c:pt idx="272">
                  <c:v>0.54400000000000004</c:v>
                </c:pt>
                <c:pt idx="273">
                  <c:v>0.54600000000000004</c:v>
                </c:pt>
                <c:pt idx="274">
                  <c:v>0.54800000000000004</c:v>
                </c:pt>
                <c:pt idx="275">
                  <c:v>0.55000000000000004</c:v>
                </c:pt>
                <c:pt idx="276">
                  <c:v>0.55200000000000005</c:v>
                </c:pt>
                <c:pt idx="277">
                  <c:v>0.55400000000000005</c:v>
                </c:pt>
                <c:pt idx="278">
                  <c:v>0.55600000000000005</c:v>
                </c:pt>
                <c:pt idx="279">
                  <c:v>0.55800000000000005</c:v>
                </c:pt>
                <c:pt idx="280">
                  <c:v>0.56000000000000005</c:v>
                </c:pt>
                <c:pt idx="281">
                  <c:v>0.56200000000000006</c:v>
                </c:pt>
                <c:pt idx="282">
                  <c:v>0.56400000000000006</c:v>
                </c:pt>
                <c:pt idx="283">
                  <c:v>0.56600000000000006</c:v>
                </c:pt>
                <c:pt idx="284">
                  <c:v>0.56800000000000006</c:v>
                </c:pt>
                <c:pt idx="285">
                  <c:v>0.57000000000000006</c:v>
                </c:pt>
                <c:pt idx="286">
                  <c:v>0.57200000000000006</c:v>
                </c:pt>
                <c:pt idx="287">
                  <c:v>0.57400000000000007</c:v>
                </c:pt>
                <c:pt idx="288">
                  <c:v>0.57600000000000007</c:v>
                </c:pt>
                <c:pt idx="289">
                  <c:v>0.57799999999999996</c:v>
                </c:pt>
                <c:pt idx="290">
                  <c:v>0.57999999999999996</c:v>
                </c:pt>
                <c:pt idx="291">
                  <c:v>0.58199999999999996</c:v>
                </c:pt>
                <c:pt idx="292">
                  <c:v>0.58399999999999996</c:v>
                </c:pt>
                <c:pt idx="293">
                  <c:v>0.58599999999999997</c:v>
                </c:pt>
                <c:pt idx="294">
                  <c:v>0.58799999999999997</c:v>
                </c:pt>
                <c:pt idx="295">
                  <c:v>0.59</c:v>
                </c:pt>
                <c:pt idx="296">
                  <c:v>0.59199999999999997</c:v>
                </c:pt>
                <c:pt idx="297">
                  <c:v>0.59399999999999997</c:v>
                </c:pt>
                <c:pt idx="298">
                  <c:v>0.59599999999999997</c:v>
                </c:pt>
                <c:pt idx="299">
                  <c:v>0.59799999999999998</c:v>
                </c:pt>
                <c:pt idx="300">
                  <c:v>0.6</c:v>
                </c:pt>
                <c:pt idx="301">
                  <c:v>0.60199999999999998</c:v>
                </c:pt>
                <c:pt idx="302">
                  <c:v>0.60399999999999998</c:v>
                </c:pt>
                <c:pt idx="303">
                  <c:v>0.60599999999999998</c:v>
                </c:pt>
                <c:pt idx="304">
                  <c:v>0.60799999999999998</c:v>
                </c:pt>
                <c:pt idx="305">
                  <c:v>0.61</c:v>
                </c:pt>
                <c:pt idx="306">
                  <c:v>0.61199999999999999</c:v>
                </c:pt>
                <c:pt idx="307">
                  <c:v>0.61399999999999999</c:v>
                </c:pt>
                <c:pt idx="308">
                  <c:v>0.61599999999999999</c:v>
                </c:pt>
                <c:pt idx="309">
                  <c:v>0.61799999999999999</c:v>
                </c:pt>
                <c:pt idx="310">
                  <c:v>0.62</c:v>
                </c:pt>
                <c:pt idx="311">
                  <c:v>0.622</c:v>
                </c:pt>
                <c:pt idx="312">
                  <c:v>0.624</c:v>
                </c:pt>
                <c:pt idx="313">
                  <c:v>0.626</c:v>
                </c:pt>
                <c:pt idx="314">
                  <c:v>0.628</c:v>
                </c:pt>
                <c:pt idx="315">
                  <c:v>0.63</c:v>
                </c:pt>
                <c:pt idx="316">
                  <c:v>0.63200000000000001</c:v>
                </c:pt>
                <c:pt idx="317">
                  <c:v>0.63400000000000001</c:v>
                </c:pt>
                <c:pt idx="318">
                  <c:v>0.63600000000000001</c:v>
                </c:pt>
              </c:numCache>
            </c:numRef>
          </c:xVal>
          <c:yVal>
            <c:numRef>
              <c:f>Eff_vs_IOUT!$CA$7:$CA$325</c:f>
              <c:numCache>
                <c:formatCode>General</c:formatCode>
                <c:ptCount val="319"/>
                <c:pt idx="0">
                  <c:v>0</c:v>
                </c:pt>
                <c:pt idx="1">
                  <c:v>12.174544723050632</c:v>
                </c:pt>
                <c:pt idx="2">
                  <c:v>21.485246389593058</c:v>
                </c:pt>
                <c:pt idx="3">
                  <c:v>28.83596902001057</c:v>
                </c:pt>
                <c:pt idx="4">
                  <c:v>34.786480811227449</c:v>
                </c:pt>
                <c:pt idx="5">
                  <c:v>39.70194227597927</c:v>
                </c:pt>
                <c:pt idx="6">
                  <c:v>43.830707269231596</c:v>
                </c:pt>
                <c:pt idx="7">
                  <c:v>47.347566278372696</c:v>
                </c:pt>
                <c:pt idx="8">
                  <c:v>50.379104164272057</c:v>
                </c:pt>
                <c:pt idx="9">
                  <c:v>53.019245728315788</c:v>
                </c:pt>
                <c:pt idx="10">
                  <c:v>55.339150172244409</c:v>
                </c:pt>
                <c:pt idx="11">
                  <c:v>57.393714121134167</c:v>
                </c:pt>
                <c:pt idx="12">
                  <c:v>59.225966074827838</c:v>
                </c:pt>
                <c:pt idx="13">
                  <c:v>60.870109012879368</c:v>
                </c:pt>
                <c:pt idx="14">
                  <c:v>62.353672651689841</c:v>
                </c:pt>
                <c:pt idx="15">
                  <c:v>63.699065174099587</c:v>
                </c:pt>
                <c:pt idx="16">
                  <c:v>64.924711227193896</c:v>
                </c:pt>
                <c:pt idx="17">
                  <c:v>66.045899406715549</c:v>
                </c:pt>
                <c:pt idx="18">
                  <c:v>67.075422219198629</c:v>
                </c:pt>
                <c:pt idx="19">
                  <c:v>68.024065480819203</c:v>
                </c:pt>
                <c:pt idx="20">
                  <c:v>68.900986919393731</c:v>
                </c:pt>
                <c:pt idx="21">
                  <c:v>69.714012179145442</c:v>
                </c:pt>
                <c:pt idx="22">
                  <c:v>70.469868513184025</c:v>
                </c:pt>
                <c:pt idx="23">
                  <c:v>71.174370948285315</c:v>
                </c:pt>
                <c:pt idx="24">
                  <c:v>71.832571829049527</c:v>
                </c:pt>
                <c:pt idx="25">
                  <c:v>72.44888187873805</c:v>
                </c:pt>
                <c:pt idx="26">
                  <c:v>73.027168911242796</c:v>
                </c:pt>
                <c:pt idx="27">
                  <c:v>73.570838863818793</c:v>
                </c:pt>
                <c:pt idx="28">
                  <c:v>74.082902737480126</c:v>
                </c:pt>
                <c:pt idx="29">
                  <c:v>74.539686454578842</c:v>
                </c:pt>
                <c:pt idx="30">
                  <c:v>74.994882586746414</c:v>
                </c:pt>
                <c:pt idx="31">
                  <c:v>75.425584689893896</c:v>
                </c:pt>
                <c:pt idx="32">
                  <c:v>75.833699496117646</c:v>
                </c:pt>
                <c:pt idx="33">
                  <c:v>76.220940710826184</c:v>
                </c:pt>
                <c:pt idx="34">
                  <c:v>76.588852835801049</c:v>
                </c:pt>
                <c:pt idx="35">
                  <c:v>76.938831549002956</c:v>
                </c:pt>
                <c:pt idx="36">
                  <c:v>77.272141208080257</c:v>
                </c:pt>
                <c:pt idx="37">
                  <c:v>77.589929940297793</c:v>
                </c:pt>
                <c:pt idx="38">
                  <c:v>77.893242698443672</c:v>
                </c:pt>
                <c:pt idx="39">
                  <c:v>78.183032595553584</c:v>
                </c:pt>
                <c:pt idx="40">
                  <c:v>78.460170777485615</c:v>
                </c:pt>
                <c:pt idx="41">
                  <c:v>78.725455048762981</c:v>
                </c:pt>
                <c:pt idx="42">
                  <c:v>78.97961743157876</c:v>
                </c:pt>
                <c:pt idx="43">
                  <c:v>79.223330808790521</c:v>
                </c:pt>
                <c:pt idx="44">
                  <c:v>79.457214777844669</c:v>
                </c:pt>
                <c:pt idx="45">
                  <c:v>79.681840822856657</c:v>
                </c:pt>
                <c:pt idx="46">
                  <c:v>79.897736895737935</c:v>
                </c:pt>
                <c:pt idx="47">
                  <c:v>80.105391483672435</c:v>
                </c:pt>
                <c:pt idx="48">
                  <c:v>80.305257228900643</c:v>
                </c:pt>
                <c:pt idx="49">
                  <c:v>80.497754157264552</c:v>
                </c:pt>
                <c:pt idx="50">
                  <c:v>80.683272563974313</c:v>
                </c:pt>
                <c:pt idx="51">
                  <c:v>80.862175598317492</c:v>
                </c:pt>
                <c:pt idx="52">
                  <c:v>81.034801583326725</c:v>
                </c:pt>
                <c:pt idx="53">
                  <c:v>81.201466101581019</c:v>
                </c:pt>
                <c:pt idx="54">
                  <c:v>81.36246387419331</c:v>
                </c:pt>
                <c:pt idx="55">
                  <c:v>81.518070456520064</c:v>
                </c:pt>
                <c:pt idx="56">
                  <c:v>81.668543771115239</c:v>
                </c:pt>
                <c:pt idx="57">
                  <c:v>81.814125495866975</c:v>
                </c:pt>
                <c:pt idx="58">
                  <c:v>81.955042323030483</c:v>
                </c:pt>
                <c:pt idx="59">
                  <c:v>82.091507102951795</c:v>
                </c:pt>
                <c:pt idx="60">
                  <c:v>82.223719884617893</c:v>
                </c:pt>
                <c:pt idx="61">
                  <c:v>82.3518688637308</c:v>
                </c:pt>
                <c:pt idx="62">
                  <c:v>82.476131247753813</c:v>
                </c:pt>
                <c:pt idx="63">
                  <c:v>82.596674046291113</c:v>
                </c:pt>
                <c:pt idx="64">
                  <c:v>82.713654794212971</c:v>
                </c:pt>
                <c:pt idx="65">
                  <c:v>82.827222214109824</c:v>
                </c:pt>
                <c:pt idx="66">
                  <c:v>82.937516823931972</c:v>
                </c:pt>
                <c:pt idx="67">
                  <c:v>83.04467149503472</c:v>
                </c:pt>
                <c:pt idx="68">
                  <c:v>83.14881196528772</c:v>
                </c:pt>
                <c:pt idx="69">
                  <c:v>83.250057311414224</c:v>
                </c:pt>
                <c:pt idx="70">
                  <c:v>83.348520384290325</c:v>
                </c:pt>
                <c:pt idx="71">
                  <c:v>83.444308210548868</c:v>
                </c:pt>
                <c:pt idx="72">
                  <c:v>83.537522363492727</c:v>
                </c:pt>
                <c:pt idx="73">
                  <c:v>83.628259306018762</c:v>
                </c:pt>
                <c:pt idx="74">
                  <c:v>83.716610707986462</c:v>
                </c:pt>
                <c:pt idx="75">
                  <c:v>83.802663740225526</c:v>
                </c:pt>
                <c:pt idx="76">
                  <c:v>83.886501347164298</c:v>
                </c:pt>
                <c:pt idx="77">
                  <c:v>83.968202499871197</c:v>
                </c:pt>
                <c:pt idx="78">
                  <c:v>84.047842431131244</c:v>
                </c:pt>
                <c:pt idx="79">
                  <c:v>84.125492854028607</c:v>
                </c:pt>
                <c:pt idx="80">
                  <c:v>84.201222165369416</c:v>
                </c:pt>
                <c:pt idx="81">
                  <c:v>84.27509563515757</c:v>
                </c:pt>
                <c:pt idx="82">
                  <c:v>84.347175583226687</c:v>
                </c:pt>
                <c:pt idx="83">
                  <c:v>84.417521544032368</c:v>
                </c:pt>
                <c:pt idx="84">
                  <c:v>84.486190420520629</c:v>
                </c:pt>
                <c:pt idx="85">
                  <c:v>84.553236627907751</c:v>
                </c:pt>
                <c:pt idx="86">
                  <c:v>84.618712228135578</c:v>
                </c:pt>
                <c:pt idx="87">
                  <c:v>84.682667055699255</c:v>
                </c:pt>
                <c:pt idx="88">
                  <c:v>84.745148835487555</c:v>
                </c:pt>
                <c:pt idx="89">
                  <c:v>84.806203293220165</c:v>
                </c:pt>
                <c:pt idx="90">
                  <c:v>84.865874259019492</c:v>
                </c:pt>
                <c:pt idx="91">
                  <c:v>84.924203764609672</c:v>
                </c:pt>
                <c:pt idx="92">
                  <c:v>84.981232134595473</c:v>
                </c:pt>
                <c:pt idx="93">
                  <c:v>85.036998072237722</c:v>
                </c:pt>
                <c:pt idx="94">
                  <c:v>85.091538740108433</c:v>
                </c:pt>
                <c:pt idx="95">
                  <c:v>85.144889835978717</c:v>
                </c:pt>
                <c:pt idx="96">
                  <c:v>85.197085664265089</c:v>
                </c:pt>
                <c:pt idx="97">
                  <c:v>85.248159203334367</c:v>
                </c:pt>
                <c:pt idx="98">
                  <c:v>85.298142168944679</c:v>
                </c:pt>
                <c:pt idx="99">
                  <c:v>85.347065074078969</c:v>
                </c:pt>
                <c:pt idx="100">
                  <c:v>85.394957285407898</c:v>
                </c:pt>
                <c:pt idx="101">
                  <c:v>85.44184707660169</c:v>
                </c:pt>
                <c:pt idx="102">
                  <c:v>85.487761678694312</c:v>
                </c:pt>
                <c:pt idx="103">
                  <c:v>85.532727327688121</c:v>
                </c:pt>
                <c:pt idx="104">
                  <c:v>85.576769309574146</c:v>
                </c:pt>
                <c:pt idx="105">
                  <c:v>85.619912002929937</c:v>
                </c:pt>
                <c:pt idx="106">
                  <c:v>85.662178919245633</c:v>
                </c:pt>
                <c:pt idx="107">
                  <c:v>85.703592741118769</c:v>
                </c:pt>
                <c:pt idx="108">
                  <c:v>85.744175358447677</c:v>
                </c:pt>
                <c:pt idx="109">
                  <c:v>85.783947902744842</c:v>
                </c:pt>
                <c:pt idx="110">
                  <c:v>85.822930779683475</c:v>
                </c:pt>
                <c:pt idx="111">
                  <c:v>85.86114369998208</c:v>
                </c:pt>
                <c:pt idx="112">
                  <c:v>85.898605708725526</c:v>
                </c:pt>
                <c:pt idx="113">
                  <c:v>85.935335213214074</c:v>
                </c:pt>
                <c:pt idx="114">
                  <c:v>85.971350009425905</c:v>
                </c:pt>
                <c:pt idx="115">
                  <c:v>86.006667307172876</c:v>
                </c:pt>
                <c:pt idx="116">
                  <c:v>86.041303754024469</c:v>
                </c:pt>
                <c:pt idx="117">
                  <c:v>86.075275458069427</c:v>
                </c:pt>
                <c:pt idx="118">
                  <c:v>86.108598009580575</c:v>
                </c:pt>
                <c:pt idx="119">
                  <c:v>86.141286501644032</c:v>
                </c:pt>
                <c:pt idx="120">
                  <c:v>86.173355549809997</c:v>
                </c:pt>
                <c:pt idx="121">
                  <c:v>86.204819310819019</c:v>
                </c:pt>
                <c:pt idx="122">
                  <c:v>86.235691500453697</c:v>
                </c:pt>
                <c:pt idx="123">
                  <c:v>86.265985410563701</c:v>
                </c:pt>
                <c:pt idx="124">
                  <c:v>86.295713925307851</c:v>
                </c:pt>
                <c:pt idx="125">
                  <c:v>86.32488953665532</c:v>
                </c:pt>
                <c:pt idx="126">
                  <c:v>86.353524359184945</c:v>
                </c:pt>
                <c:pt idx="127">
                  <c:v>86.381630144219358</c:v>
                </c:pt>
                <c:pt idx="128">
                  <c:v>86.409218293328848</c:v>
                </c:pt>
                <c:pt idx="129">
                  <c:v>86.436299871237154</c:v>
                </c:pt>
                <c:pt idx="130">
                  <c:v>86.462885618160115</c:v>
                </c:pt>
                <c:pt idx="131">
                  <c:v>86.488985961605962</c:v>
                </c:pt>
                <c:pt idx="132">
                  <c:v>86.514611027664358</c:v>
                </c:pt>
                <c:pt idx="133">
                  <c:v>86.539770651810073</c:v>
                </c:pt>
                <c:pt idx="134">
                  <c:v>86.56447438924522</c:v>
                </c:pt>
                <c:pt idx="135">
                  <c:v>86.58873152480308</c:v>
                </c:pt>
                <c:pt idx="136">
                  <c:v>86.612551082434834</c:v>
                </c:pt>
                <c:pt idx="137">
                  <c:v>86.635941834299885</c:v>
                </c:pt>
                <c:pt idx="138">
                  <c:v>86.658912309478524</c:v>
                </c:pt>
                <c:pt idx="139">
                  <c:v>86.681470802325492</c:v>
                </c:pt>
                <c:pt idx="140">
                  <c:v>86.703625380481469</c:v>
                </c:pt>
                <c:pt idx="141">
                  <c:v>86.725383892558526</c:v>
                </c:pt>
                <c:pt idx="142">
                  <c:v>86.746753975515361</c:v>
                </c:pt>
                <c:pt idx="143">
                  <c:v>86.767743061736198</c:v>
                </c:pt>
                <c:pt idx="144">
                  <c:v>86.788358385827934</c:v>
                </c:pt>
                <c:pt idx="145">
                  <c:v>86.808606991147641</c:v>
                </c:pt>
                <c:pt idx="146">
                  <c:v>86.828495736073791</c:v>
                </c:pt>
                <c:pt idx="147">
                  <c:v>86.848031300031778</c:v>
                </c:pt>
                <c:pt idx="148">
                  <c:v>86.867220189286101</c:v>
                </c:pt>
                <c:pt idx="149">
                  <c:v>86.886068742508485</c:v>
                </c:pt>
                <c:pt idx="150">
                  <c:v>86.904583136133041</c:v>
                </c:pt>
                <c:pt idx="151">
                  <c:v>86.92276938950701</c:v>
                </c:pt>
                <c:pt idx="152">
                  <c:v>86.940633369846836</c:v>
                </c:pt>
                <c:pt idx="153">
                  <c:v>86.958180797007785</c:v>
                </c:pt>
                <c:pt idx="154">
                  <c:v>86.975417248075132</c:v>
                </c:pt>
                <c:pt idx="155">
                  <c:v>86.992348161784918</c:v>
                </c:pt>
                <c:pt idx="156">
                  <c:v>87.008978842781431</c:v>
                </c:pt>
                <c:pt idx="157">
                  <c:v>87.025314465718466</c:v>
                </c:pt>
                <c:pt idx="158">
                  <c:v>87.041360079211188</c:v>
                </c:pt>
                <c:pt idx="159">
                  <c:v>87.057120609644286</c:v>
                </c:pt>
                <c:pt idx="160">
                  <c:v>87.072600864843537</c:v>
                </c:pt>
                <c:pt idx="161">
                  <c:v>87.087805537615225</c:v>
                </c:pt>
                <c:pt idx="162">
                  <c:v>87.102739209160063</c:v>
                </c:pt>
                <c:pt idx="163">
                  <c:v>87.117406352365919</c:v>
                </c:pt>
                <c:pt idx="164">
                  <c:v>87.131811334984889</c:v>
                </c:pt>
                <c:pt idx="165">
                  <c:v>87.145958422699138</c:v>
                </c:pt>
                <c:pt idx="166">
                  <c:v>87.15985178208004</c:v>
                </c:pt>
                <c:pt idx="167">
                  <c:v>87.173495483445279</c:v>
                </c:pt>
                <c:pt idx="168">
                  <c:v>87.186893503617341</c:v>
                </c:pt>
                <c:pt idx="169">
                  <c:v>87.200049728587942</c:v>
                </c:pt>
                <c:pt idx="170">
                  <c:v>87.212967956091887</c:v>
                </c:pt>
                <c:pt idx="171">
                  <c:v>87.225651898093815</c:v>
                </c:pt>
                <c:pt idx="172">
                  <c:v>87.238105183191493</c:v>
                </c:pt>
                <c:pt idx="173">
                  <c:v>87.250331358938652</c:v>
                </c:pt>
                <c:pt idx="174">
                  <c:v>87.262333894090744</c:v>
                </c:pt>
                <c:pt idx="175">
                  <c:v>87.27411618077636</c:v>
                </c:pt>
                <c:pt idx="176">
                  <c:v>87.285681536597366</c:v>
                </c:pt>
                <c:pt idx="177">
                  <c:v>87.297033206660274</c:v>
                </c:pt>
                <c:pt idx="178">
                  <c:v>87.308174365541618</c:v>
                </c:pt>
                <c:pt idx="179">
                  <c:v>87.319108119189792</c:v>
                </c:pt>
                <c:pt idx="180">
                  <c:v>87.3298375067656</c:v>
                </c:pt>
                <c:pt idx="181">
                  <c:v>87.340365502424021</c:v>
                </c:pt>
                <c:pt idx="182">
                  <c:v>87.350695017039271</c:v>
                </c:pt>
                <c:pt idx="183">
                  <c:v>87.360828899875116</c:v>
                </c:pt>
                <c:pt idx="184">
                  <c:v>87.370769940202777</c:v>
                </c:pt>
                <c:pt idx="185">
                  <c:v>87.380520868867933</c:v>
                </c:pt>
                <c:pt idx="186">
                  <c:v>87.390084359809066</c:v>
                </c:pt>
                <c:pt idx="187">
                  <c:v>87.399463031528668</c:v>
                </c:pt>
                <c:pt idx="188">
                  <c:v>87.408659448519046</c:v>
                </c:pt>
                <c:pt idx="189">
                  <c:v>87.417676122644352</c:v>
                </c:pt>
                <c:pt idx="190">
                  <c:v>87.426515514480514</c:v>
                </c:pt>
                <c:pt idx="191">
                  <c:v>87.435180034614362</c:v>
                </c:pt>
                <c:pt idx="192">
                  <c:v>87.44367204490355</c:v>
                </c:pt>
                <c:pt idx="193">
                  <c:v>87.451993859698575</c:v>
                </c:pt>
                <c:pt idx="194">
                  <c:v>87.460147747028174</c:v>
                </c:pt>
                <c:pt idx="195">
                  <c:v>87.468135929749536</c:v>
                </c:pt>
                <c:pt idx="196">
                  <c:v>87.475960586664399</c:v>
                </c:pt>
                <c:pt idx="197">
                  <c:v>87.483623853602154</c:v>
                </c:pt>
                <c:pt idx="198">
                  <c:v>87.491127824471263</c:v>
                </c:pt>
                <c:pt idx="199">
                  <c:v>87.498474552280015</c:v>
                </c:pt>
                <c:pt idx="200">
                  <c:v>87.505666050127488</c:v>
                </c:pt>
                <c:pt idx="201">
                  <c:v>87.512704292166035</c:v>
                </c:pt>
                <c:pt idx="202">
                  <c:v>87.519591214535922</c:v>
                </c:pt>
                <c:pt idx="203">
                  <c:v>87.526328716273269</c:v>
                </c:pt>
                <c:pt idx="204">
                  <c:v>87.53291866019218</c:v>
                </c:pt>
                <c:pt idx="205">
                  <c:v>87.539362873741638</c:v>
                </c:pt>
                <c:pt idx="206">
                  <c:v>87.545663149838532</c:v>
                </c:pt>
                <c:pt idx="207">
                  <c:v>87.551821247676926</c:v>
                </c:pt>
                <c:pt idx="208">
                  <c:v>87.557838893514997</c:v>
                </c:pt>
                <c:pt idx="209">
                  <c:v>87.563717781439792</c:v>
                </c:pt>
                <c:pt idx="210">
                  <c:v>87.569459574111079</c:v>
                </c:pt>
                <c:pt idx="211">
                  <c:v>87.575065903484429</c:v>
                </c:pt>
                <c:pt idx="212">
                  <c:v>87.580538371514578</c:v>
                </c:pt>
                <c:pt idx="213">
                  <c:v>87.58587855083951</c:v>
                </c:pt>
                <c:pt idx="214">
                  <c:v>87.591087985446052</c:v>
                </c:pt>
                <c:pt idx="215">
                  <c:v>87.596168191317176</c:v>
                </c:pt>
                <c:pt idx="216">
                  <c:v>87.601120657062168</c:v>
                </c:pt>
                <c:pt idx="217">
                  <c:v>87.605946844529626</c:v>
                </c:pt>
                <c:pt idx="218">
                  <c:v>87.610648189404216</c:v>
                </c:pt>
                <c:pt idx="219">
                  <c:v>87.615226101787542</c:v>
                </c:pt>
                <c:pt idx="220">
                  <c:v>87.619681966763522</c:v>
                </c:pt>
                <c:pt idx="221">
                  <c:v>87.624017144948979</c:v>
                </c:pt>
                <c:pt idx="222">
                  <c:v>87.628232973029824</c:v>
                </c:pt>
                <c:pt idx="223">
                  <c:v>87.632330764282941</c:v>
                </c:pt>
                <c:pt idx="224">
                  <c:v>87.636311809084802</c:v>
                </c:pt>
                <c:pt idx="225">
                  <c:v>87.640177375406807</c:v>
                </c:pt>
                <c:pt idx="226">
                  <c:v>87.643928709297683</c:v>
                </c:pt>
                <c:pt idx="227">
                  <c:v>87.647567035353745</c:v>
                </c:pt>
                <c:pt idx="228">
                  <c:v>87.651093557176964</c:v>
                </c:pt>
                <c:pt idx="229">
                  <c:v>87.654509457821376</c:v>
                </c:pt>
                <c:pt idx="230">
                  <c:v>87.657815900228172</c:v>
                </c:pt>
                <c:pt idx="231">
                  <c:v>87.661014027649927</c:v>
                </c:pt>
                <c:pt idx="232">
                  <c:v>87.664104964063952</c:v>
                </c:pt>
                <c:pt idx="233">
                  <c:v>87.667089814575377</c:v>
                </c:pt>
                <c:pt idx="234">
                  <c:v>87.669969665810328</c:v>
                </c:pt>
                <c:pt idx="235">
                  <c:v>87.672745586299015</c:v>
                </c:pt>
                <c:pt idx="236">
                  <c:v>87.675418626849677</c:v>
                </c:pt>
                <c:pt idx="237">
                  <c:v>87.677989820913126</c:v>
                </c:pt>
                <c:pt idx="238">
                  <c:v>87.68046018493834</c:v>
                </c:pt>
                <c:pt idx="239">
                  <c:v>87.682830718719472</c:v>
                </c:pt>
                <c:pt idx="240">
                  <c:v>87.685102405734327</c:v>
                </c:pt>
                <c:pt idx="241">
                  <c:v>87.687276213474689</c:v>
                </c:pt>
                <c:pt idx="242">
                  <c:v>87.689353093768602</c:v>
                </c:pt>
                <c:pt idx="243">
                  <c:v>87.691333983094964</c:v>
                </c:pt>
                <c:pt idx="244">
                  <c:v>87.693219802890681</c:v>
                </c:pt>
                <c:pt idx="245">
                  <c:v>87.69501145985015</c:v>
                </c:pt>
                <c:pt idx="246">
                  <c:v>87.696709846218127</c:v>
                </c:pt>
                <c:pt idx="247">
                  <c:v>87.698315840075153</c:v>
                </c:pt>
                <c:pt idx="248">
                  <c:v>87.699830305616729</c:v>
                </c:pt>
                <c:pt idx="249">
                  <c:v>87.701254093425476</c:v>
                </c:pt>
                <c:pt idx="250">
                  <c:v>87.702588040737382</c:v>
                </c:pt>
                <c:pt idx="251">
                  <c:v>87.703832971701459</c:v>
                </c:pt>
                <c:pt idx="252">
                  <c:v>87.704989697633579</c:v>
                </c:pt>
                <c:pt idx="253">
                  <c:v>87.706059017264479</c:v>
                </c:pt>
                <c:pt idx="254">
                  <c:v>87.707041716981848</c:v>
                </c:pt>
                <c:pt idx="255">
                  <c:v>87.707938571067103</c:v>
                </c:pt>
                <c:pt idx="256">
                  <c:v>87.708750341926546</c:v>
                </c:pt>
                <c:pt idx="257">
                  <c:v>87.709477780317457</c:v>
                </c:pt>
                <c:pt idx="258">
                  <c:v>87.710121625568846</c:v>
                </c:pt>
                <c:pt idx="259">
                  <c:v>87.710682605797416</c:v>
                </c:pt>
                <c:pt idx="260">
                  <c:v>87.711161438118552</c:v>
                </c:pt>
                <c:pt idx="261">
                  <c:v>87.711558828852503</c:v>
                </c:pt>
                <c:pt idx="262">
                  <c:v>87.711875473726266</c:v>
                </c:pt>
                <c:pt idx="263">
                  <c:v>87.712112058070502</c:v>
                </c:pt>
                <c:pt idx="264">
                  <c:v>87.712269257012608</c:v>
                </c:pt>
                <c:pt idx="265">
                  <c:v>87.712347735665077</c:v>
                </c:pt>
                <c:pt idx="266">
                  <c:v>87.712348149309989</c:v>
                </c:pt>
                <c:pt idx="267">
                  <c:v>87.712271143579329</c:v>
                </c:pt>
                <c:pt idx="268">
                  <c:v>87.712117354631459</c:v>
                </c:pt>
                <c:pt idx="269">
                  <c:v>87.71188740932358</c:v>
                </c:pt>
                <c:pt idx="270">
                  <c:v>87.711581925380671</c:v>
                </c:pt>
                <c:pt idx="271">
                  <c:v>87.711201511560617</c:v>
                </c:pt>
                <c:pt idx="272">
                  <c:v>87.71074676781582</c:v>
                </c:pt>
                <c:pt idx="273">
                  <c:v>87.710218285451418</c:v>
                </c:pt>
                <c:pt idx="274">
                  <c:v>87.709616647279944</c:v>
                </c:pt>
                <c:pt idx="275">
                  <c:v>87.708942427772897</c:v>
                </c:pt>
                <c:pt idx="276">
                  <c:v>87.708196193208948</c:v>
                </c:pt>
                <c:pt idx="277">
                  <c:v>87.707378501819107</c:v>
                </c:pt>
                <c:pt idx="278">
                  <c:v>87.706489903928684</c:v>
                </c:pt>
                <c:pt idx="279">
                  <c:v>87.705530942096516</c:v>
                </c:pt>
                <c:pt idx="280">
                  <c:v>87.704502151250935</c:v>
                </c:pt>
                <c:pt idx="281">
                  <c:v>87.703404058823295</c:v>
                </c:pt>
                <c:pt idx="282">
                  <c:v>87.702237184878371</c:v>
                </c:pt>
                <c:pt idx="283">
                  <c:v>87.70100204224228</c:v>
                </c:pt>
                <c:pt idx="284">
                  <c:v>87.699699136627629</c:v>
                </c:pt>
                <c:pt idx="285">
                  <c:v>87.698328966756208</c:v>
                </c:pt>
                <c:pt idx="286">
                  <c:v>87.696892024479084</c:v>
                </c:pt>
                <c:pt idx="287">
                  <c:v>87.695388794894214</c:v>
                </c:pt>
                <c:pt idx="288">
                  <c:v>87.693819756461764</c:v>
                </c:pt>
                <c:pt idx="289">
                  <c:v>87.692185381117028</c:v>
                </c:pt>
                <c:pt idx="290">
                  <c:v>87.69048613438099</c:v>
                </c:pt>
                <c:pt idx="291">
                  <c:v>87.688722475468879</c:v>
                </c:pt>
                <c:pt idx="292">
                  <c:v>87.68689485739624</c:v>
                </c:pt>
                <c:pt idx="293">
                  <c:v>87.685003727083128</c:v>
                </c:pt>
                <c:pt idx="294">
                  <c:v>87.683049525456127</c:v>
                </c:pt>
                <c:pt idx="295">
                  <c:v>87.681032687548324</c:v>
                </c:pt>
                <c:pt idx="296">
                  <c:v>87.678953642597293</c:v>
                </c:pt>
                <c:pt idx="297">
                  <c:v>87.676812814141243</c:v>
                </c:pt>
                <c:pt idx="298">
                  <c:v>87.674610620113143</c:v>
                </c:pt>
                <c:pt idx="299">
                  <c:v>87.672347472933069</c:v>
                </c:pt>
                <c:pt idx="300">
                  <c:v>87.670023779598708</c:v>
                </c:pt>
                <c:pt idx="301">
                  <c:v>87.667639941774198</c:v>
                </c:pt>
                <c:pt idx="302">
                  <c:v>87.665196355877043</c:v>
                </c:pt>
                <c:pt idx="303">
                  <c:v>87.662693413163581</c:v>
                </c:pt>
                <c:pt idx="304">
                  <c:v>87.660131499812593</c:v>
                </c:pt>
                <c:pt idx="305">
                  <c:v>87.657510997007435</c:v>
                </c:pt>
                <c:pt idx="306">
                  <c:v>87.65483228101651</c:v>
                </c:pt>
                <c:pt idx="307">
                  <c:v>87.652095723272311</c:v>
                </c:pt>
                <c:pt idx="308">
                  <c:v>87.649301690448851</c:v>
                </c:pt>
                <c:pt idx="309">
                  <c:v>87.646450544537558</c:v>
                </c:pt>
                <c:pt idx="310">
                  <c:v>87.643542642922057</c:v>
                </c:pt>
                <c:pt idx="311">
                  <c:v>87.640578338451064</c:v>
                </c:pt>
                <c:pt idx="312">
                  <c:v>87.637557979510277</c:v>
                </c:pt>
                <c:pt idx="313">
                  <c:v>87.634481910092887</c:v>
                </c:pt>
                <c:pt idx="314">
                  <c:v>87.631350469868437</c:v>
                </c:pt>
                <c:pt idx="315">
                  <c:v>87.628163994250897</c:v>
                </c:pt>
                <c:pt idx="316">
                  <c:v>87.624922814464981</c:v>
                </c:pt>
                <c:pt idx="317">
                  <c:v>87.621627257611692</c:v>
                </c:pt>
                <c:pt idx="318">
                  <c:v>87.61827764673221</c:v>
                </c:pt>
              </c:numCache>
            </c:numRef>
          </c:yVal>
          <c:smooth val="0"/>
          <c:extLst>
            <c:ext xmlns:c16="http://schemas.microsoft.com/office/drawing/2014/chart" uri="{C3380CC4-5D6E-409C-BE32-E72D297353CC}">
              <c16:uniqueId val="{00000000-C35B-452B-BA4E-779A271337B2}"/>
            </c:ext>
          </c:extLst>
        </c:ser>
        <c:dLbls>
          <c:showLegendKey val="0"/>
          <c:showVal val="0"/>
          <c:showCatName val="0"/>
          <c:showSerName val="0"/>
          <c:showPercent val="0"/>
          <c:showBubbleSize val="0"/>
        </c:dLbls>
        <c:axId val="70141824"/>
        <c:axId val="70143360"/>
      </c:scatterChart>
      <c:scatterChart>
        <c:scatterStyle val="smoothMarker"/>
        <c:varyColors val="0"/>
        <c:ser>
          <c:idx val="7"/>
          <c:order val="1"/>
          <c:tx>
            <c:v>IC Temperature</c:v>
          </c:tx>
          <c:spPr>
            <a:ln>
              <a:solidFill>
                <a:srgbClr val="FF0000"/>
              </a:solidFill>
            </a:ln>
          </c:spPr>
          <c:marker>
            <c:symbol val="none"/>
          </c:marker>
          <c:xVal>
            <c:numRef>
              <c:f>Eff_vs_IOUT!$AZ$7:$AZ$325</c:f>
              <c:numCache>
                <c:formatCode>General</c:formatCode>
                <c:ptCount val="319"/>
                <c:pt idx="0">
                  <c:v>0</c:v>
                </c:pt>
                <c:pt idx="1">
                  <c:v>2E-3</c:v>
                </c:pt>
                <c:pt idx="2">
                  <c:v>4.0000000000000001E-3</c:v>
                </c:pt>
                <c:pt idx="3">
                  <c:v>6.0000000000000001E-3</c:v>
                </c:pt>
                <c:pt idx="4">
                  <c:v>8.0000000000000002E-3</c:v>
                </c:pt>
                <c:pt idx="5">
                  <c:v>0.01</c:v>
                </c:pt>
                <c:pt idx="6">
                  <c:v>1.2E-2</c:v>
                </c:pt>
                <c:pt idx="7">
                  <c:v>1.4E-2</c:v>
                </c:pt>
                <c:pt idx="8">
                  <c:v>1.6E-2</c:v>
                </c:pt>
                <c:pt idx="9">
                  <c:v>1.8000000000000002E-2</c:v>
                </c:pt>
                <c:pt idx="10">
                  <c:v>0.02</c:v>
                </c:pt>
                <c:pt idx="11">
                  <c:v>2.1999999999999999E-2</c:v>
                </c:pt>
                <c:pt idx="12">
                  <c:v>2.4E-2</c:v>
                </c:pt>
                <c:pt idx="13">
                  <c:v>2.6000000000000002E-2</c:v>
                </c:pt>
                <c:pt idx="14">
                  <c:v>2.8000000000000001E-2</c:v>
                </c:pt>
                <c:pt idx="15">
                  <c:v>0.03</c:v>
                </c:pt>
                <c:pt idx="16">
                  <c:v>3.2000000000000001E-2</c:v>
                </c:pt>
                <c:pt idx="17">
                  <c:v>3.4000000000000002E-2</c:v>
                </c:pt>
                <c:pt idx="18">
                  <c:v>3.6000000000000004E-2</c:v>
                </c:pt>
                <c:pt idx="19">
                  <c:v>3.7999999999999999E-2</c:v>
                </c:pt>
                <c:pt idx="20">
                  <c:v>0.04</c:v>
                </c:pt>
                <c:pt idx="21">
                  <c:v>4.2000000000000003E-2</c:v>
                </c:pt>
                <c:pt idx="22">
                  <c:v>4.3999999999999997E-2</c:v>
                </c:pt>
                <c:pt idx="23">
                  <c:v>4.5999999999999999E-2</c:v>
                </c:pt>
                <c:pt idx="24">
                  <c:v>4.8000000000000001E-2</c:v>
                </c:pt>
                <c:pt idx="25">
                  <c:v>0.05</c:v>
                </c:pt>
                <c:pt idx="26">
                  <c:v>5.2000000000000005E-2</c:v>
                </c:pt>
                <c:pt idx="27">
                  <c:v>5.3999999999999999E-2</c:v>
                </c:pt>
                <c:pt idx="28">
                  <c:v>5.6000000000000001E-2</c:v>
                </c:pt>
                <c:pt idx="29">
                  <c:v>5.8000000000000003E-2</c:v>
                </c:pt>
                <c:pt idx="30">
                  <c:v>0.06</c:v>
                </c:pt>
                <c:pt idx="31">
                  <c:v>6.2E-2</c:v>
                </c:pt>
                <c:pt idx="32">
                  <c:v>6.4000000000000001E-2</c:v>
                </c:pt>
                <c:pt idx="33">
                  <c:v>6.6000000000000003E-2</c:v>
                </c:pt>
                <c:pt idx="34">
                  <c:v>6.8000000000000005E-2</c:v>
                </c:pt>
                <c:pt idx="35">
                  <c:v>7.0000000000000007E-2</c:v>
                </c:pt>
                <c:pt idx="36">
                  <c:v>7.2000000000000008E-2</c:v>
                </c:pt>
                <c:pt idx="37">
                  <c:v>7.3999999999999996E-2</c:v>
                </c:pt>
                <c:pt idx="38">
                  <c:v>7.5999999999999998E-2</c:v>
                </c:pt>
                <c:pt idx="39">
                  <c:v>7.8E-2</c:v>
                </c:pt>
                <c:pt idx="40">
                  <c:v>0.08</c:v>
                </c:pt>
                <c:pt idx="41">
                  <c:v>8.2000000000000003E-2</c:v>
                </c:pt>
                <c:pt idx="42">
                  <c:v>8.4000000000000005E-2</c:v>
                </c:pt>
                <c:pt idx="43">
                  <c:v>8.6000000000000007E-2</c:v>
                </c:pt>
                <c:pt idx="44">
                  <c:v>8.7999999999999995E-2</c:v>
                </c:pt>
                <c:pt idx="45">
                  <c:v>0.09</c:v>
                </c:pt>
                <c:pt idx="46">
                  <c:v>9.1999999999999998E-2</c:v>
                </c:pt>
                <c:pt idx="47">
                  <c:v>9.4E-2</c:v>
                </c:pt>
                <c:pt idx="48">
                  <c:v>9.6000000000000002E-2</c:v>
                </c:pt>
                <c:pt idx="49">
                  <c:v>9.8000000000000004E-2</c:v>
                </c:pt>
                <c:pt idx="50">
                  <c:v>0.1</c:v>
                </c:pt>
                <c:pt idx="51">
                  <c:v>0.10200000000000001</c:v>
                </c:pt>
                <c:pt idx="52">
                  <c:v>0.10400000000000001</c:v>
                </c:pt>
                <c:pt idx="53">
                  <c:v>0.106</c:v>
                </c:pt>
                <c:pt idx="54">
                  <c:v>0.108</c:v>
                </c:pt>
                <c:pt idx="55">
                  <c:v>0.11</c:v>
                </c:pt>
                <c:pt idx="56">
                  <c:v>0.112</c:v>
                </c:pt>
                <c:pt idx="57">
                  <c:v>0.114</c:v>
                </c:pt>
                <c:pt idx="58">
                  <c:v>0.11600000000000001</c:v>
                </c:pt>
                <c:pt idx="59">
                  <c:v>0.11800000000000001</c:v>
                </c:pt>
                <c:pt idx="60">
                  <c:v>0.12</c:v>
                </c:pt>
                <c:pt idx="61">
                  <c:v>0.122</c:v>
                </c:pt>
                <c:pt idx="62">
                  <c:v>0.124</c:v>
                </c:pt>
                <c:pt idx="63">
                  <c:v>0.126</c:v>
                </c:pt>
                <c:pt idx="64">
                  <c:v>0.128</c:v>
                </c:pt>
                <c:pt idx="65">
                  <c:v>0.13</c:v>
                </c:pt>
                <c:pt idx="66">
                  <c:v>0.13200000000000001</c:v>
                </c:pt>
                <c:pt idx="67">
                  <c:v>0.13400000000000001</c:v>
                </c:pt>
                <c:pt idx="68">
                  <c:v>0.13600000000000001</c:v>
                </c:pt>
                <c:pt idx="69">
                  <c:v>0.13800000000000001</c:v>
                </c:pt>
                <c:pt idx="70">
                  <c:v>0.14000000000000001</c:v>
                </c:pt>
                <c:pt idx="71">
                  <c:v>0.14200000000000002</c:v>
                </c:pt>
                <c:pt idx="72">
                  <c:v>0.14400000000000002</c:v>
                </c:pt>
                <c:pt idx="73">
                  <c:v>0.14599999999999999</c:v>
                </c:pt>
                <c:pt idx="74">
                  <c:v>0.14799999999999999</c:v>
                </c:pt>
                <c:pt idx="75">
                  <c:v>0.15</c:v>
                </c:pt>
                <c:pt idx="76">
                  <c:v>0.152</c:v>
                </c:pt>
                <c:pt idx="77">
                  <c:v>0.154</c:v>
                </c:pt>
                <c:pt idx="78">
                  <c:v>0.156</c:v>
                </c:pt>
                <c:pt idx="79">
                  <c:v>0.158</c:v>
                </c:pt>
                <c:pt idx="80">
                  <c:v>0.16</c:v>
                </c:pt>
                <c:pt idx="81">
                  <c:v>0.16200000000000001</c:v>
                </c:pt>
                <c:pt idx="82">
                  <c:v>0.16400000000000001</c:v>
                </c:pt>
                <c:pt idx="83">
                  <c:v>0.16600000000000001</c:v>
                </c:pt>
                <c:pt idx="84">
                  <c:v>0.16800000000000001</c:v>
                </c:pt>
                <c:pt idx="85">
                  <c:v>0.17</c:v>
                </c:pt>
                <c:pt idx="86">
                  <c:v>0.17200000000000001</c:v>
                </c:pt>
                <c:pt idx="87">
                  <c:v>0.17400000000000002</c:v>
                </c:pt>
                <c:pt idx="88">
                  <c:v>0.17599999999999999</c:v>
                </c:pt>
                <c:pt idx="89">
                  <c:v>0.17799999999999999</c:v>
                </c:pt>
                <c:pt idx="90">
                  <c:v>0.18</c:v>
                </c:pt>
                <c:pt idx="91">
                  <c:v>0.182</c:v>
                </c:pt>
                <c:pt idx="92">
                  <c:v>0.184</c:v>
                </c:pt>
                <c:pt idx="93">
                  <c:v>0.186</c:v>
                </c:pt>
                <c:pt idx="94">
                  <c:v>0.188</c:v>
                </c:pt>
                <c:pt idx="95">
                  <c:v>0.19</c:v>
                </c:pt>
                <c:pt idx="96">
                  <c:v>0.192</c:v>
                </c:pt>
                <c:pt idx="97">
                  <c:v>0.19400000000000001</c:v>
                </c:pt>
                <c:pt idx="98">
                  <c:v>0.19600000000000001</c:v>
                </c:pt>
                <c:pt idx="99">
                  <c:v>0.19800000000000001</c:v>
                </c:pt>
                <c:pt idx="100">
                  <c:v>0.2</c:v>
                </c:pt>
                <c:pt idx="101">
                  <c:v>0.20200000000000001</c:v>
                </c:pt>
                <c:pt idx="102">
                  <c:v>0.20400000000000001</c:v>
                </c:pt>
                <c:pt idx="103">
                  <c:v>0.20600000000000002</c:v>
                </c:pt>
                <c:pt idx="104">
                  <c:v>0.20800000000000002</c:v>
                </c:pt>
                <c:pt idx="105">
                  <c:v>0.21</c:v>
                </c:pt>
                <c:pt idx="106">
                  <c:v>0.21199999999999999</c:v>
                </c:pt>
                <c:pt idx="107">
                  <c:v>0.214</c:v>
                </c:pt>
                <c:pt idx="108">
                  <c:v>0.216</c:v>
                </c:pt>
                <c:pt idx="109">
                  <c:v>0.218</c:v>
                </c:pt>
                <c:pt idx="110">
                  <c:v>0.22</c:v>
                </c:pt>
                <c:pt idx="111">
                  <c:v>0.222</c:v>
                </c:pt>
                <c:pt idx="112">
                  <c:v>0.224</c:v>
                </c:pt>
                <c:pt idx="113">
                  <c:v>0.22600000000000001</c:v>
                </c:pt>
                <c:pt idx="114">
                  <c:v>0.22800000000000001</c:v>
                </c:pt>
                <c:pt idx="115">
                  <c:v>0.23</c:v>
                </c:pt>
                <c:pt idx="116">
                  <c:v>0.23200000000000001</c:v>
                </c:pt>
                <c:pt idx="117">
                  <c:v>0.23400000000000001</c:v>
                </c:pt>
                <c:pt idx="118">
                  <c:v>0.23600000000000002</c:v>
                </c:pt>
                <c:pt idx="119">
                  <c:v>0.23800000000000002</c:v>
                </c:pt>
                <c:pt idx="120">
                  <c:v>0.24</c:v>
                </c:pt>
                <c:pt idx="121">
                  <c:v>0.24199999999999999</c:v>
                </c:pt>
                <c:pt idx="122">
                  <c:v>0.24399999999999999</c:v>
                </c:pt>
                <c:pt idx="123">
                  <c:v>0.246</c:v>
                </c:pt>
                <c:pt idx="124">
                  <c:v>0.248</c:v>
                </c:pt>
                <c:pt idx="125">
                  <c:v>0.25</c:v>
                </c:pt>
                <c:pt idx="126">
                  <c:v>0.252</c:v>
                </c:pt>
                <c:pt idx="127">
                  <c:v>0.254</c:v>
                </c:pt>
                <c:pt idx="128">
                  <c:v>0.25600000000000001</c:v>
                </c:pt>
                <c:pt idx="129">
                  <c:v>0.25800000000000001</c:v>
                </c:pt>
                <c:pt idx="130">
                  <c:v>0.26</c:v>
                </c:pt>
                <c:pt idx="131">
                  <c:v>0.26200000000000001</c:v>
                </c:pt>
                <c:pt idx="132">
                  <c:v>0.26400000000000001</c:v>
                </c:pt>
                <c:pt idx="133">
                  <c:v>0.26600000000000001</c:v>
                </c:pt>
                <c:pt idx="134">
                  <c:v>0.26800000000000002</c:v>
                </c:pt>
                <c:pt idx="135">
                  <c:v>0.27</c:v>
                </c:pt>
                <c:pt idx="136">
                  <c:v>0.27200000000000002</c:v>
                </c:pt>
                <c:pt idx="137">
                  <c:v>0.27400000000000002</c:v>
                </c:pt>
                <c:pt idx="138">
                  <c:v>0.27600000000000002</c:v>
                </c:pt>
                <c:pt idx="139">
                  <c:v>0.27800000000000002</c:v>
                </c:pt>
                <c:pt idx="140">
                  <c:v>0.28000000000000003</c:v>
                </c:pt>
                <c:pt idx="141">
                  <c:v>0.28200000000000003</c:v>
                </c:pt>
                <c:pt idx="142">
                  <c:v>0.28400000000000003</c:v>
                </c:pt>
                <c:pt idx="143">
                  <c:v>0.28600000000000003</c:v>
                </c:pt>
                <c:pt idx="144">
                  <c:v>0.28800000000000003</c:v>
                </c:pt>
                <c:pt idx="145">
                  <c:v>0.28999999999999998</c:v>
                </c:pt>
                <c:pt idx="146">
                  <c:v>0.29199999999999998</c:v>
                </c:pt>
                <c:pt idx="147">
                  <c:v>0.29399999999999998</c:v>
                </c:pt>
                <c:pt idx="148">
                  <c:v>0.29599999999999999</c:v>
                </c:pt>
                <c:pt idx="149">
                  <c:v>0.29799999999999999</c:v>
                </c:pt>
                <c:pt idx="150">
                  <c:v>0.3</c:v>
                </c:pt>
                <c:pt idx="151">
                  <c:v>0.30199999999999999</c:v>
                </c:pt>
                <c:pt idx="152">
                  <c:v>0.30399999999999999</c:v>
                </c:pt>
                <c:pt idx="153">
                  <c:v>0.30599999999999999</c:v>
                </c:pt>
                <c:pt idx="154">
                  <c:v>0.308</c:v>
                </c:pt>
                <c:pt idx="155">
                  <c:v>0.31</c:v>
                </c:pt>
                <c:pt idx="156">
                  <c:v>0.312</c:v>
                </c:pt>
                <c:pt idx="157">
                  <c:v>0.314</c:v>
                </c:pt>
                <c:pt idx="158">
                  <c:v>0.316</c:v>
                </c:pt>
                <c:pt idx="159">
                  <c:v>0.318</c:v>
                </c:pt>
                <c:pt idx="160">
                  <c:v>0.32</c:v>
                </c:pt>
                <c:pt idx="161">
                  <c:v>0.32200000000000001</c:v>
                </c:pt>
                <c:pt idx="162">
                  <c:v>0.32400000000000001</c:v>
                </c:pt>
                <c:pt idx="163">
                  <c:v>0.32600000000000001</c:v>
                </c:pt>
                <c:pt idx="164">
                  <c:v>0.32800000000000001</c:v>
                </c:pt>
                <c:pt idx="165">
                  <c:v>0.33</c:v>
                </c:pt>
                <c:pt idx="166">
                  <c:v>0.33200000000000002</c:v>
                </c:pt>
                <c:pt idx="167">
                  <c:v>0.33400000000000002</c:v>
                </c:pt>
                <c:pt idx="168">
                  <c:v>0.33600000000000002</c:v>
                </c:pt>
                <c:pt idx="169">
                  <c:v>0.33800000000000002</c:v>
                </c:pt>
                <c:pt idx="170">
                  <c:v>0.34</c:v>
                </c:pt>
                <c:pt idx="171">
                  <c:v>0.34200000000000003</c:v>
                </c:pt>
                <c:pt idx="172">
                  <c:v>0.34400000000000003</c:v>
                </c:pt>
                <c:pt idx="173">
                  <c:v>0.34600000000000003</c:v>
                </c:pt>
                <c:pt idx="174">
                  <c:v>0.34800000000000003</c:v>
                </c:pt>
                <c:pt idx="175">
                  <c:v>0.35000000000000003</c:v>
                </c:pt>
                <c:pt idx="176">
                  <c:v>0.35199999999999998</c:v>
                </c:pt>
                <c:pt idx="177">
                  <c:v>0.35399999999999998</c:v>
                </c:pt>
                <c:pt idx="178">
                  <c:v>0.35599999999999998</c:v>
                </c:pt>
                <c:pt idx="179">
                  <c:v>0.35799999999999998</c:v>
                </c:pt>
                <c:pt idx="180">
                  <c:v>0.36</c:v>
                </c:pt>
                <c:pt idx="181">
                  <c:v>0.36199999999999999</c:v>
                </c:pt>
                <c:pt idx="182">
                  <c:v>0.36399999999999999</c:v>
                </c:pt>
                <c:pt idx="183">
                  <c:v>0.36599999999999999</c:v>
                </c:pt>
                <c:pt idx="184">
                  <c:v>0.36799999999999999</c:v>
                </c:pt>
                <c:pt idx="185">
                  <c:v>0.37</c:v>
                </c:pt>
                <c:pt idx="186">
                  <c:v>0.372</c:v>
                </c:pt>
                <c:pt idx="187">
                  <c:v>0.374</c:v>
                </c:pt>
                <c:pt idx="188">
                  <c:v>0.376</c:v>
                </c:pt>
                <c:pt idx="189">
                  <c:v>0.378</c:v>
                </c:pt>
                <c:pt idx="190">
                  <c:v>0.38</c:v>
                </c:pt>
                <c:pt idx="191">
                  <c:v>0.38200000000000001</c:v>
                </c:pt>
                <c:pt idx="192">
                  <c:v>0.38400000000000001</c:v>
                </c:pt>
                <c:pt idx="193">
                  <c:v>0.38600000000000001</c:v>
                </c:pt>
                <c:pt idx="194">
                  <c:v>0.38800000000000001</c:v>
                </c:pt>
                <c:pt idx="195">
                  <c:v>0.39</c:v>
                </c:pt>
                <c:pt idx="196">
                  <c:v>0.39200000000000002</c:v>
                </c:pt>
                <c:pt idx="197">
                  <c:v>0.39400000000000002</c:v>
                </c:pt>
                <c:pt idx="198">
                  <c:v>0.39600000000000002</c:v>
                </c:pt>
                <c:pt idx="199">
                  <c:v>0.39800000000000002</c:v>
                </c:pt>
                <c:pt idx="200">
                  <c:v>0.4</c:v>
                </c:pt>
                <c:pt idx="201">
                  <c:v>0.40200000000000002</c:v>
                </c:pt>
                <c:pt idx="202">
                  <c:v>0.40400000000000003</c:v>
                </c:pt>
                <c:pt idx="203">
                  <c:v>0.40600000000000003</c:v>
                </c:pt>
                <c:pt idx="204">
                  <c:v>0.40800000000000003</c:v>
                </c:pt>
                <c:pt idx="205">
                  <c:v>0.41000000000000003</c:v>
                </c:pt>
                <c:pt idx="206">
                  <c:v>0.41200000000000003</c:v>
                </c:pt>
                <c:pt idx="207">
                  <c:v>0.41400000000000003</c:v>
                </c:pt>
                <c:pt idx="208">
                  <c:v>0.41600000000000004</c:v>
                </c:pt>
                <c:pt idx="209">
                  <c:v>0.41799999999999998</c:v>
                </c:pt>
                <c:pt idx="210">
                  <c:v>0.42</c:v>
                </c:pt>
                <c:pt idx="211">
                  <c:v>0.42199999999999999</c:v>
                </c:pt>
                <c:pt idx="212">
                  <c:v>0.42399999999999999</c:v>
                </c:pt>
                <c:pt idx="213">
                  <c:v>0.42599999999999999</c:v>
                </c:pt>
                <c:pt idx="214">
                  <c:v>0.42799999999999999</c:v>
                </c:pt>
                <c:pt idx="215">
                  <c:v>0.43</c:v>
                </c:pt>
                <c:pt idx="216">
                  <c:v>0.432</c:v>
                </c:pt>
                <c:pt idx="217">
                  <c:v>0.434</c:v>
                </c:pt>
                <c:pt idx="218">
                  <c:v>0.436</c:v>
                </c:pt>
                <c:pt idx="219">
                  <c:v>0.438</c:v>
                </c:pt>
                <c:pt idx="220">
                  <c:v>0.44</c:v>
                </c:pt>
                <c:pt idx="221">
                  <c:v>0.442</c:v>
                </c:pt>
                <c:pt idx="222">
                  <c:v>0.44400000000000001</c:v>
                </c:pt>
                <c:pt idx="223">
                  <c:v>0.44600000000000001</c:v>
                </c:pt>
                <c:pt idx="224">
                  <c:v>0.44800000000000001</c:v>
                </c:pt>
                <c:pt idx="225">
                  <c:v>0.45</c:v>
                </c:pt>
                <c:pt idx="226">
                  <c:v>0.45200000000000001</c:v>
                </c:pt>
                <c:pt idx="227">
                  <c:v>0.45400000000000001</c:v>
                </c:pt>
                <c:pt idx="228">
                  <c:v>0.45600000000000002</c:v>
                </c:pt>
                <c:pt idx="229">
                  <c:v>0.45800000000000002</c:v>
                </c:pt>
                <c:pt idx="230">
                  <c:v>0.46</c:v>
                </c:pt>
                <c:pt idx="231">
                  <c:v>0.46200000000000002</c:v>
                </c:pt>
                <c:pt idx="232">
                  <c:v>0.46400000000000002</c:v>
                </c:pt>
                <c:pt idx="233">
                  <c:v>0.46600000000000003</c:v>
                </c:pt>
                <c:pt idx="234">
                  <c:v>0.46800000000000003</c:v>
                </c:pt>
                <c:pt idx="235">
                  <c:v>0.47000000000000003</c:v>
                </c:pt>
                <c:pt idx="236">
                  <c:v>0.47200000000000003</c:v>
                </c:pt>
                <c:pt idx="237">
                  <c:v>0.47400000000000003</c:v>
                </c:pt>
                <c:pt idx="238">
                  <c:v>0.47600000000000003</c:v>
                </c:pt>
                <c:pt idx="239">
                  <c:v>0.47800000000000004</c:v>
                </c:pt>
                <c:pt idx="240">
                  <c:v>0.48</c:v>
                </c:pt>
                <c:pt idx="241">
                  <c:v>0.48199999999999998</c:v>
                </c:pt>
                <c:pt idx="242">
                  <c:v>0.48399999999999999</c:v>
                </c:pt>
                <c:pt idx="243">
                  <c:v>0.48599999999999999</c:v>
                </c:pt>
                <c:pt idx="244">
                  <c:v>0.48799999999999999</c:v>
                </c:pt>
                <c:pt idx="245">
                  <c:v>0.49</c:v>
                </c:pt>
                <c:pt idx="246">
                  <c:v>0.49199999999999999</c:v>
                </c:pt>
                <c:pt idx="247">
                  <c:v>0.49399999999999999</c:v>
                </c:pt>
                <c:pt idx="248">
                  <c:v>0.496</c:v>
                </c:pt>
                <c:pt idx="249">
                  <c:v>0.498</c:v>
                </c:pt>
                <c:pt idx="250">
                  <c:v>0.5</c:v>
                </c:pt>
                <c:pt idx="251">
                  <c:v>0.502</c:v>
                </c:pt>
                <c:pt idx="252">
                  <c:v>0.504</c:v>
                </c:pt>
                <c:pt idx="253">
                  <c:v>0.50600000000000001</c:v>
                </c:pt>
                <c:pt idx="254">
                  <c:v>0.50800000000000001</c:v>
                </c:pt>
                <c:pt idx="255">
                  <c:v>0.51</c:v>
                </c:pt>
                <c:pt idx="256">
                  <c:v>0.51200000000000001</c:v>
                </c:pt>
                <c:pt idx="257">
                  <c:v>0.51400000000000001</c:v>
                </c:pt>
                <c:pt idx="258">
                  <c:v>0.51600000000000001</c:v>
                </c:pt>
                <c:pt idx="259">
                  <c:v>0.51800000000000002</c:v>
                </c:pt>
                <c:pt idx="260">
                  <c:v>0.52</c:v>
                </c:pt>
                <c:pt idx="261">
                  <c:v>0.52200000000000002</c:v>
                </c:pt>
                <c:pt idx="262">
                  <c:v>0.52400000000000002</c:v>
                </c:pt>
                <c:pt idx="263">
                  <c:v>0.52600000000000002</c:v>
                </c:pt>
                <c:pt idx="264">
                  <c:v>0.52800000000000002</c:v>
                </c:pt>
                <c:pt idx="265">
                  <c:v>0.53</c:v>
                </c:pt>
                <c:pt idx="266">
                  <c:v>0.53200000000000003</c:v>
                </c:pt>
                <c:pt idx="267">
                  <c:v>0.53400000000000003</c:v>
                </c:pt>
                <c:pt idx="268">
                  <c:v>0.53600000000000003</c:v>
                </c:pt>
                <c:pt idx="269">
                  <c:v>0.53800000000000003</c:v>
                </c:pt>
                <c:pt idx="270">
                  <c:v>0.54</c:v>
                </c:pt>
                <c:pt idx="271">
                  <c:v>0.54200000000000004</c:v>
                </c:pt>
                <c:pt idx="272">
                  <c:v>0.54400000000000004</c:v>
                </c:pt>
                <c:pt idx="273">
                  <c:v>0.54600000000000004</c:v>
                </c:pt>
                <c:pt idx="274">
                  <c:v>0.54800000000000004</c:v>
                </c:pt>
                <c:pt idx="275">
                  <c:v>0.55000000000000004</c:v>
                </c:pt>
                <c:pt idx="276">
                  <c:v>0.55200000000000005</c:v>
                </c:pt>
                <c:pt idx="277">
                  <c:v>0.55400000000000005</c:v>
                </c:pt>
                <c:pt idx="278">
                  <c:v>0.55600000000000005</c:v>
                </c:pt>
                <c:pt idx="279">
                  <c:v>0.55800000000000005</c:v>
                </c:pt>
                <c:pt idx="280">
                  <c:v>0.56000000000000005</c:v>
                </c:pt>
                <c:pt idx="281">
                  <c:v>0.56200000000000006</c:v>
                </c:pt>
                <c:pt idx="282">
                  <c:v>0.56400000000000006</c:v>
                </c:pt>
                <c:pt idx="283">
                  <c:v>0.56600000000000006</c:v>
                </c:pt>
                <c:pt idx="284">
                  <c:v>0.56800000000000006</c:v>
                </c:pt>
                <c:pt idx="285">
                  <c:v>0.57000000000000006</c:v>
                </c:pt>
                <c:pt idx="286">
                  <c:v>0.57200000000000006</c:v>
                </c:pt>
                <c:pt idx="287">
                  <c:v>0.57400000000000007</c:v>
                </c:pt>
                <c:pt idx="288">
                  <c:v>0.57600000000000007</c:v>
                </c:pt>
                <c:pt idx="289">
                  <c:v>0.57799999999999996</c:v>
                </c:pt>
                <c:pt idx="290">
                  <c:v>0.57999999999999996</c:v>
                </c:pt>
                <c:pt idx="291">
                  <c:v>0.58199999999999996</c:v>
                </c:pt>
                <c:pt idx="292">
                  <c:v>0.58399999999999996</c:v>
                </c:pt>
                <c:pt idx="293">
                  <c:v>0.58599999999999997</c:v>
                </c:pt>
                <c:pt idx="294">
                  <c:v>0.58799999999999997</c:v>
                </c:pt>
                <c:pt idx="295">
                  <c:v>0.59</c:v>
                </c:pt>
                <c:pt idx="296">
                  <c:v>0.59199999999999997</c:v>
                </c:pt>
                <c:pt idx="297">
                  <c:v>0.59399999999999997</c:v>
                </c:pt>
                <c:pt idx="298">
                  <c:v>0.59599999999999997</c:v>
                </c:pt>
                <c:pt idx="299">
                  <c:v>0.59799999999999998</c:v>
                </c:pt>
                <c:pt idx="300">
                  <c:v>0.6</c:v>
                </c:pt>
                <c:pt idx="301">
                  <c:v>0.60199999999999998</c:v>
                </c:pt>
                <c:pt idx="302">
                  <c:v>0.60399999999999998</c:v>
                </c:pt>
                <c:pt idx="303">
                  <c:v>0.60599999999999998</c:v>
                </c:pt>
                <c:pt idx="304">
                  <c:v>0.60799999999999998</c:v>
                </c:pt>
                <c:pt idx="305">
                  <c:v>0.61</c:v>
                </c:pt>
                <c:pt idx="306">
                  <c:v>0.61199999999999999</c:v>
                </c:pt>
                <c:pt idx="307">
                  <c:v>0.61399999999999999</c:v>
                </c:pt>
                <c:pt idx="308">
                  <c:v>0.61599999999999999</c:v>
                </c:pt>
                <c:pt idx="309">
                  <c:v>0.61799999999999999</c:v>
                </c:pt>
                <c:pt idx="310">
                  <c:v>0.62</c:v>
                </c:pt>
                <c:pt idx="311">
                  <c:v>0.622</c:v>
                </c:pt>
                <c:pt idx="312">
                  <c:v>0.624</c:v>
                </c:pt>
                <c:pt idx="313">
                  <c:v>0.626</c:v>
                </c:pt>
                <c:pt idx="314">
                  <c:v>0.628</c:v>
                </c:pt>
                <c:pt idx="315">
                  <c:v>0.63</c:v>
                </c:pt>
                <c:pt idx="316">
                  <c:v>0.63200000000000001</c:v>
                </c:pt>
                <c:pt idx="317">
                  <c:v>0.63400000000000001</c:v>
                </c:pt>
                <c:pt idx="318">
                  <c:v>0.63600000000000001</c:v>
                </c:pt>
              </c:numCache>
            </c:numRef>
          </c:xVal>
          <c:yVal>
            <c:numRef>
              <c:f>Eff_vs_IOUT!$CC$7:$CC$325</c:f>
              <c:numCache>
                <c:formatCode>General</c:formatCode>
                <c:ptCount val="319"/>
                <c:pt idx="0">
                  <c:v>28.466750000000001</c:v>
                </c:pt>
                <c:pt idx="1">
                  <c:v>28.834901566174512</c:v>
                </c:pt>
                <c:pt idx="2">
                  <c:v>29.203598090556163</c:v>
                </c:pt>
                <c:pt idx="3">
                  <c:v>29.572654689711396</c:v>
                </c:pt>
                <c:pt idx="4">
                  <c:v>29.942006546666978</c:v>
                </c:pt>
                <c:pt idx="5">
                  <c:v>30.311616781613182</c:v>
                </c:pt>
                <c:pt idx="6">
                  <c:v>30.681460894102589</c:v>
                </c:pt>
                <c:pt idx="7">
                  <c:v>31.051521176765235</c:v>
                </c:pt>
                <c:pt idx="8">
                  <c:v>31.421784125308211</c:v>
                </c:pt>
                <c:pt idx="9">
                  <c:v>31.792239048107685</c:v>
                </c:pt>
                <c:pt idx="10">
                  <c:v>32.162877243473645</c:v>
                </c:pt>
                <c:pt idx="11">
                  <c:v>32.533691477520271</c:v>
                </c:pt>
                <c:pt idx="12">
                  <c:v>32.904675634770847</c:v>
                </c:pt>
                <c:pt idx="13">
                  <c:v>33.275824474410577</c:v>
                </c:pt>
                <c:pt idx="14">
                  <c:v>33.647133454426303</c:v>
                </c:pt>
                <c:pt idx="15">
                  <c:v>34.018598601154395</c:v>
                </c:pt>
                <c:pt idx="16">
                  <c:v>34.390216410229456</c:v>
                </c:pt>
                <c:pt idx="17">
                  <c:v>34.761983769866035</c:v>
                </c:pt>
                <c:pt idx="18">
                  <c:v>35.133897900410417</c:v>
                </c:pt>
                <c:pt idx="19">
                  <c:v>35.505956305995014</c:v>
                </c:pt>
                <c:pt idx="20">
                  <c:v>35.878156735360477</c:v>
                </c:pt>
                <c:pt idx="21">
                  <c:v>36.250497149734905</c:v>
                </c:pt>
                <c:pt idx="22">
                  <c:v>36.622975696223449</c:v>
                </c:pt>
                <c:pt idx="23">
                  <c:v>36.995590685556039</c:v>
                </c:pt>
                <c:pt idx="24">
                  <c:v>37.368340573321561</c:v>
                </c:pt>
                <c:pt idx="25">
                  <c:v>37.741223944020604</c:v>
                </c:pt>
                <c:pt idx="26">
                  <c:v>38.114239497418218</c:v>
                </c:pt>
                <c:pt idx="27">
                  <c:v>38.487386036790106</c:v>
                </c:pt>
                <c:pt idx="28">
                  <c:v>38.860662458739753</c:v>
                </c:pt>
                <c:pt idx="29">
                  <c:v>39.281196249693821</c:v>
                </c:pt>
                <c:pt idx="30">
                  <c:v>39.658307537887246</c:v>
                </c:pt>
                <c:pt idx="31">
                  <c:v>40.035780351654296</c:v>
                </c:pt>
                <c:pt idx="32">
                  <c:v>40.413617222546179</c:v>
                </c:pt>
                <c:pt idx="33">
                  <c:v>40.791820685700515</c:v>
                </c:pt>
                <c:pt idx="34">
                  <c:v>41.170393279841299</c:v>
                </c:pt>
                <c:pt idx="35">
                  <c:v>41.549337547278945</c:v>
                </c:pt>
                <c:pt idx="36">
                  <c:v>41.928656033910258</c:v>
                </c:pt>
                <c:pt idx="37">
                  <c:v>42.308351289218436</c:v>
                </c:pt>
                <c:pt idx="38">
                  <c:v>42.688425866273093</c:v>
                </c:pt>
                <c:pt idx="39">
                  <c:v>43.068882321730214</c:v>
                </c:pt>
                <c:pt idx="40">
                  <c:v>43.449723215832222</c:v>
                </c:pt>
                <c:pt idx="41">
                  <c:v>43.830951112407902</c:v>
                </c:pt>
                <c:pt idx="42">
                  <c:v>44.21256857887245</c:v>
                </c:pt>
                <c:pt idx="43">
                  <c:v>44.59457818622748</c:v>
                </c:pt>
                <c:pt idx="44">
                  <c:v>44.976982509060967</c:v>
                </c:pt>
                <c:pt idx="45">
                  <c:v>45.359784125547321</c:v>
                </c:pt>
                <c:pt idx="46">
                  <c:v>45.742985617447346</c:v>
                </c:pt>
                <c:pt idx="47">
                  <c:v>46.126589570108216</c:v>
                </c:pt>
                <c:pt idx="48">
                  <c:v>46.510598572463536</c:v>
                </c:pt>
                <c:pt idx="49">
                  <c:v>46.895015217033283</c:v>
                </c:pt>
                <c:pt idx="50">
                  <c:v>47.279842099923869</c:v>
                </c:pt>
                <c:pt idx="51">
                  <c:v>47.665081820828071</c:v>
                </c:pt>
                <c:pt idx="52">
                  <c:v>48.050736983025089</c:v>
                </c:pt>
                <c:pt idx="53">
                  <c:v>48.436810193380481</c:v>
                </c:pt>
                <c:pt idx="54">
                  <c:v>48.823304062346281</c:v>
                </c:pt>
                <c:pt idx="55">
                  <c:v>49.210221203960828</c:v>
                </c:pt>
                <c:pt idx="56">
                  <c:v>49.597564235848935</c:v>
                </c:pt>
                <c:pt idx="57">
                  <c:v>49.985335779221785</c:v>
                </c:pt>
                <c:pt idx="58">
                  <c:v>50.373538458876951</c:v>
                </c:pt>
                <c:pt idx="59">
                  <c:v>50.762174903198414</c:v>
                </c:pt>
                <c:pt idx="60">
                  <c:v>51.151247744156564</c:v>
                </c:pt>
                <c:pt idx="61">
                  <c:v>51.540759617308169</c:v>
                </c:pt>
                <c:pt idx="62">
                  <c:v>51.930713161796419</c:v>
                </c:pt>
                <c:pt idx="63">
                  <c:v>52.321111020350884</c:v>
                </c:pt>
                <c:pt idx="64">
                  <c:v>52.71195583928754</c:v>
                </c:pt>
                <c:pt idx="65">
                  <c:v>53.103250268508774</c:v>
                </c:pt>
                <c:pt idx="66">
                  <c:v>53.49499696150334</c:v>
                </c:pt>
                <c:pt idx="67">
                  <c:v>53.887198575346432</c:v>
                </c:pt>
                <c:pt idx="68">
                  <c:v>54.279857770699621</c:v>
                </c:pt>
                <c:pt idx="69">
                  <c:v>54.67297721181086</c:v>
                </c:pt>
                <c:pt idx="70">
                  <c:v>55.066559566514542</c:v>
                </c:pt>
                <c:pt idx="71">
                  <c:v>55.460607506231412</c:v>
                </c:pt>
                <c:pt idx="72">
                  <c:v>55.855123705968666</c:v>
                </c:pt>
                <c:pt idx="73">
                  <c:v>56.250110844319856</c:v>
                </c:pt>
                <c:pt idx="74">
                  <c:v>56.645571603464944</c:v>
                </c:pt>
                <c:pt idx="75">
                  <c:v>57.041508669170312</c:v>
                </c:pt>
                <c:pt idx="76">
                  <c:v>57.437924730788708</c:v>
                </c:pt>
                <c:pt idx="77">
                  <c:v>57.834822481259309</c:v>
                </c:pt>
                <c:pt idx="78">
                  <c:v>58.232204617107662</c:v>
                </c:pt>
                <c:pt idx="79">
                  <c:v>58.630073838445746</c:v>
                </c:pt>
                <c:pt idx="80">
                  <c:v>59.028432848971903</c:v>
                </c:pt>
                <c:pt idx="81">
                  <c:v>59.427284355970905</c:v>
                </c:pt>
                <c:pt idx="82">
                  <c:v>59.826631070313908</c:v>
                </c:pt>
                <c:pt idx="83">
                  <c:v>60.226475706458473</c:v>
                </c:pt>
                <c:pt idx="84">
                  <c:v>60.62682098244855</c:v>
                </c:pt>
                <c:pt idx="85">
                  <c:v>61.027669619914498</c:v>
                </c:pt>
                <c:pt idx="86">
                  <c:v>61.429024344073056</c:v>
                </c:pt>
                <c:pt idx="87">
                  <c:v>61.830887883727399</c:v>
                </c:pt>
                <c:pt idx="88">
                  <c:v>62.233262971267074</c:v>
                </c:pt>
                <c:pt idx="89">
                  <c:v>62.636152342668034</c:v>
                </c:pt>
                <c:pt idx="90">
                  <c:v>63.039558737492612</c:v>
                </c:pt>
                <c:pt idx="91">
                  <c:v>63.443484898889587</c:v>
                </c:pt>
                <c:pt idx="92">
                  <c:v>63.847933573594077</c:v>
                </c:pt>
                <c:pt idx="93">
                  <c:v>64.252907511927646</c:v>
                </c:pt>
                <c:pt idx="94">
                  <c:v>64.658409467798236</c:v>
                </c:pt>
                <c:pt idx="95">
                  <c:v>65.064442198700206</c:v>
                </c:pt>
                <c:pt idx="96">
                  <c:v>65.471008465714277</c:v>
                </c:pt>
                <c:pt idx="97">
                  <c:v>65.878111033507594</c:v>
                </c:pt>
                <c:pt idx="98">
                  <c:v>66.285752670333721</c:v>
                </c:pt>
                <c:pt idx="99">
                  <c:v>66.693936148032577</c:v>
                </c:pt>
                <c:pt idx="100">
                  <c:v>67.102664242030528</c:v>
                </c:pt>
                <c:pt idx="101">
                  <c:v>67.511939731340277</c:v>
                </c:pt>
                <c:pt idx="102">
                  <c:v>67.921765398560979</c:v>
                </c:pt>
                <c:pt idx="103">
                  <c:v>68.332144029878179</c:v>
                </c:pt>
                <c:pt idx="104">
                  <c:v>68.74307841506382</c:v>
                </c:pt>
                <c:pt idx="105">
                  <c:v>69.154571347476207</c:v>
                </c:pt>
                <c:pt idx="106">
                  <c:v>69.566625624060094</c:v>
                </c:pt>
                <c:pt idx="107">
                  <c:v>69.979244045346618</c:v>
                </c:pt>
                <c:pt idx="108">
                  <c:v>70.392429415453307</c:v>
                </c:pt>
                <c:pt idx="109">
                  <c:v>70.806184542084083</c:v>
                </c:pt>
                <c:pt idx="110">
                  <c:v>71.220512236529274</c:v>
                </c:pt>
                <c:pt idx="111">
                  <c:v>71.635415313665646</c:v>
                </c:pt>
                <c:pt idx="112">
                  <c:v>72.05089659195626</c:v>
                </c:pt>
                <c:pt idx="113">
                  <c:v>72.466958893450709</c:v>
                </c:pt>
                <c:pt idx="114">
                  <c:v>72.883605043784883</c:v>
                </c:pt>
                <c:pt idx="115">
                  <c:v>73.300837872181134</c:v>
                </c:pt>
                <c:pt idx="116">
                  <c:v>73.718660211448139</c:v>
                </c:pt>
                <c:pt idx="117">
                  <c:v>74.137074897981051</c:v>
                </c:pt>
                <c:pt idx="118">
                  <c:v>74.556084771761405</c:v>
                </c:pt>
                <c:pt idx="119">
                  <c:v>74.975692676357113</c:v>
                </c:pt>
                <c:pt idx="120">
                  <c:v>75.395901458922467</c:v>
                </c:pt>
                <c:pt idx="121">
                  <c:v>75.816713970198208</c:v>
                </c:pt>
                <c:pt idx="122">
                  <c:v>76.238133064511459</c:v>
                </c:pt>
                <c:pt idx="123">
                  <c:v>76.660161599775734</c:v>
                </c:pt>
                <c:pt idx="124">
                  <c:v>77.082802437490969</c:v>
                </c:pt>
                <c:pt idx="125">
                  <c:v>77.506058442743438</c:v>
                </c:pt>
                <c:pt idx="126">
                  <c:v>77.929932484205864</c:v>
                </c:pt>
                <c:pt idx="127">
                  <c:v>78.354427434137364</c:v>
                </c:pt>
                <c:pt idx="128">
                  <c:v>78.779546168383462</c:v>
                </c:pt>
                <c:pt idx="129">
                  <c:v>79.205291566376076</c:v>
                </c:pt>
                <c:pt idx="130">
                  <c:v>79.631666511133488</c:v>
                </c:pt>
                <c:pt idx="131">
                  <c:v>80.058673889260419</c:v>
                </c:pt>
                <c:pt idx="132">
                  <c:v>80.486316590947965</c:v>
                </c:pt>
                <c:pt idx="133">
                  <c:v>80.914597509973675</c:v>
                </c:pt>
                <c:pt idx="134">
                  <c:v>81.343519543701404</c:v>
                </c:pt>
                <c:pt idx="135">
                  <c:v>81.773085593081476</c:v>
                </c:pt>
                <c:pt idx="136">
                  <c:v>82.203298562650602</c:v>
                </c:pt>
                <c:pt idx="137">
                  <c:v>82.634161360531863</c:v>
                </c:pt>
                <c:pt idx="138">
                  <c:v>83.065676898434788</c:v>
                </c:pt>
                <c:pt idx="139">
                  <c:v>83.497848091655271</c:v>
                </c:pt>
                <c:pt idx="140">
                  <c:v>83.930677859075615</c:v>
                </c:pt>
                <c:pt idx="141">
                  <c:v>84.364169123164487</c:v>
                </c:pt>
                <c:pt idx="142">
                  <c:v>84.798324809977004</c:v>
                </c:pt>
                <c:pt idx="143">
                  <c:v>85.233147849154705</c:v>
                </c:pt>
                <c:pt idx="144">
                  <c:v>85.668641173925408</c:v>
                </c:pt>
                <c:pt idx="145">
                  <c:v>86.104807721103455</c:v>
                </c:pt>
                <c:pt idx="146">
                  <c:v>86.541650431089522</c:v>
                </c:pt>
                <c:pt idx="147">
                  <c:v>86.979172247870736</c:v>
                </c:pt>
                <c:pt idx="148">
                  <c:v>87.417376119020531</c:v>
                </c:pt>
                <c:pt idx="149">
                  <c:v>87.856264995698865</c:v>
                </c:pt>
                <c:pt idx="150">
                  <c:v>88.295841832651973</c:v>
                </c:pt>
                <c:pt idx="151">
                  <c:v>88.736109588212543</c:v>
                </c:pt>
                <c:pt idx="152">
                  <c:v>89.177071224299695</c:v>
                </c:pt>
                <c:pt idx="153">
                  <c:v>89.618729706418932</c:v>
                </c:pt>
                <c:pt idx="154">
                  <c:v>90.061088003662078</c:v>
                </c:pt>
                <c:pt idx="155">
                  <c:v>90.50414908870745</c:v>
                </c:pt>
                <c:pt idx="156">
                  <c:v>90.947915937819729</c:v>
                </c:pt>
                <c:pt idx="157">
                  <c:v>91.392391530850006</c:v>
                </c:pt>
                <c:pt idx="158">
                  <c:v>91.837578851235762</c:v>
                </c:pt>
                <c:pt idx="159">
                  <c:v>92.283480886000845</c:v>
                </c:pt>
                <c:pt idx="160">
                  <c:v>92.730100625755554</c:v>
                </c:pt>
                <c:pt idx="161">
                  <c:v>93.177441064696609</c:v>
                </c:pt>
                <c:pt idx="162">
                  <c:v>93.625505200607023</c:v>
                </c:pt>
                <c:pt idx="163">
                  <c:v>94.074296034856332</c:v>
                </c:pt>
                <c:pt idx="164">
                  <c:v>94.523816572400335</c:v>
                </c:pt>
                <c:pt idx="165">
                  <c:v>94.974069821781384</c:v>
                </c:pt>
                <c:pt idx="166">
                  <c:v>95.425058795128109</c:v>
                </c:pt>
                <c:pt idx="167">
                  <c:v>95.87678650815559</c:v>
                </c:pt>
                <c:pt idx="168">
                  <c:v>96.329255980165314</c:v>
                </c:pt>
                <c:pt idx="169">
                  <c:v>96.782470234045107</c:v>
                </c:pt>
                <c:pt idx="170">
                  <c:v>97.236432296269285</c:v>
                </c:pt>
                <c:pt idx="171">
                  <c:v>97.691145196898503</c:v>
                </c:pt>
                <c:pt idx="172">
                  <c:v>98.146611969579823</c:v>
                </c:pt>
                <c:pt idx="173">
                  <c:v>98.602835651546712</c:v>
                </c:pt>
                <c:pt idx="174">
                  <c:v>99.059819283619021</c:v>
                </c:pt>
                <c:pt idx="175">
                  <c:v>99.517565910203047</c:v>
                </c:pt>
                <c:pt idx="176">
                  <c:v>99.976078579291425</c:v>
                </c:pt>
                <c:pt idx="177">
                  <c:v>100.43536034246323</c:v>
                </c:pt>
                <c:pt idx="178">
                  <c:v>100.89541425488393</c:v>
                </c:pt>
                <c:pt idx="179">
                  <c:v>101.35624337530537</c:v>
                </c:pt>
                <c:pt idx="180">
                  <c:v>101.81785076606579</c:v>
                </c:pt>
                <c:pt idx="181">
                  <c:v>102.28023949308991</c:v>
                </c:pt>
                <c:pt idx="182">
                  <c:v>102.74341262588875</c:v>
                </c:pt>
                <c:pt idx="183">
                  <c:v>103.20737323755975</c:v>
                </c:pt>
                <c:pt idx="184">
                  <c:v>103.67212440478677</c:v>
                </c:pt>
                <c:pt idx="185">
                  <c:v>104.13766920784006</c:v>
                </c:pt>
                <c:pt idx="186">
                  <c:v>104.60401073057632</c:v>
                </c:pt>
                <c:pt idx="187">
                  <c:v>105.07115206043858</c:v>
                </c:pt>
                <c:pt idx="188">
                  <c:v>105.53909628845625</c:v>
                </c:pt>
                <c:pt idx="189">
                  <c:v>106.00784650924523</c:v>
                </c:pt>
                <c:pt idx="190">
                  <c:v>106.47740582100776</c:v>
                </c:pt>
                <c:pt idx="191">
                  <c:v>106.94777732553244</c:v>
                </c:pt>
                <c:pt idx="192">
                  <c:v>107.41896412819438</c:v>
                </c:pt>
                <c:pt idx="193">
                  <c:v>107.89096933795497</c:v>
                </c:pt>
                <c:pt idx="194">
                  <c:v>108.36379606736212</c:v>
                </c:pt>
                <c:pt idx="195">
                  <c:v>108.83744743255004</c:v>
                </c:pt>
                <c:pt idx="196">
                  <c:v>109.31192655323933</c:v>
                </c:pt>
                <c:pt idx="197">
                  <c:v>109.7872365527371</c:v>
                </c:pt>
                <c:pt idx="198">
                  <c:v>110.26338055793676</c:v>
                </c:pt>
                <c:pt idx="199">
                  <c:v>110.74036169931817</c:v>
                </c:pt>
                <c:pt idx="200">
                  <c:v>111.21818311094754</c:v>
                </c:pt>
                <c:pt idx="201">
                  <c:v>111.69684793047752</c:v>
                </c:pt>
                <c:pt idx="202">
                  <c:v>112.17635929914714</c:v>
                </c:pt>
                <c:pt idx="203">
                  <c:v>112.65672036178184</c:v>
                </c:pt>
                <c:pt idx="204">
                  <c:v>113.13793426679345</c:v>
                </c:pt>
                <c:pt idx="205">
                  <c:v>113.62000416618025</c:v>
                </c:pt>
                <c:pt idx="206">
                  <c:v>114.10293321552679</c:v>
                </c:pt>
                <c:pt idx="207">
                  <c:v>114.58672457400418</c:v>
                </c:pt>
                <c:pt idx="208">
                  <c:v>115.07138140436979</c:v>
                </c:pt>
                <c:pt idx="209">
                  <c:v>115.55690687296749</c:v>
                </c:pt>
                <c:pt idx="210">
                  <c:v>116.04330414972749</c:v>
                </c:pt>
                <c:pt idx="211">
                  <c:v>116.5305764081664</c:v>
                </c:pt>
                <c:pt idx="212">
                  <c:v>117.01872682538728</c:v>
                </c:pt>
                <c:pt idx="213">
                  <c:v>117.50775858207956</c:v>
                </c:pt>
                <c:pt idx="214">
                  <c:v>117.99767486251905</c:v>
                </c:pt>
                <c:pt idx="215">
                  <c:v>118.48847885456794</c:v>
                </c:pt>
                <c:pt idx="216">
                  <c:v>118.98017374967492</c:v>
                </c:pt>
                <c:pt idx="217">
                  <c:v>119.47276274287495</c:v>
                </c:pt>
                <c:pt idx="218">
                  <c:v>119.96624903278952</c:v>
                </c:pt>
                <c:pt idx="219">
                  <c:v>120.46063582162637</c:v>
                </c:pt>
                <c:pt idx="220">
                  <c:v>120.95592631517972</c:v>
                </c:pt>
                <c:pt idx="221">
                  <c:v>121.45212372283031</c:v>
                </c:pt>
                <c:pt idx="222">
                  <c:v>121.94923125754502</c:v>
                </c:pt>
                <c:pt idx="223">
                  <c:v>122.44725213587729</c:v>
                </c:pt>
                <c:pt idx="224">
                  <c:v>122.94618957796698</c:v>
                </c:pt>
                <c:pt idx="225">
                  <c:v>123.44604680754028</c:v>
                </c:pt>
                <c:pt idx="226">
                  <c:v>123.94682705190984</c:v>
                </c:pt>
                <c:pt idx="227">
                  <c:v>124.44853354197458</c:v>
                </c:pt>
                <c:pt idx="228">
                  <c:v>124.95116951221999</c:v>
                </c:pt>
                <c:pt idx="229">
                  <c:v>125.45473820071787</c:v>
                </c:pt>
                <c:pt idx="230">
                  <c:v>125.95924284912641</c:v>
                </c:pt>
                <c:pt idx="231">
                  <c:v>126.46468670269019</c:v>
                </c:pt>
                <c:pt idx="232">
                  <c:v>126.97107301024027</c:v>
                </c:pt>
                <c:pt idx="233">
                  <c:v>127.47840502419403</c:v>
                </c:pt>
                <c:pt idx="234">
                  <c:v>127.98668600055527</c:v>
                </c:pt>
                <c:pt idx="235">
                  <c:v>128.49591919891421</c:v>
                </c:pt>
                <c:pt idx="236">
                  <c:v>129.00610788244745</c:v>
                </c:pt>
                <c:pt idx="237">
                  <c:v>129.51725531791797</c:v>
                </c:pt>
                <c:pt idx="238">
                  <c:v>130.02936477567519</c:v>
                </c:pt>
                <c:pt idx="239">
                  <c:v>130.5424395296549</c:v>
                </c:pt>
                <c:pt idx="240">
                  <c:v>131.05648285737928</c:v>
                </c:pt>
                <c:pt idx="241">
                  <c:v>131.57149803995696</c:v>
                </c:pt>
                <c:pt idx="242">
                  <c:v>132.08748836208295</c:v>
                </c:pt>
                <c:pt idx="243">
                  <c:v>132.6044571120386</c:v>
                </c:pt>
                <c:pt idx="244">
                  <c:v>133.12240758169173</c:v>
                </c:pt>
                <c:pt idx="245">
                  <c:v>133.64134306649652</c:v>
                </c:pt>
                <c:pt idx="246">
                  <c:v>134.16126686549359</c:v>
                </c:pt>
                <c:pt idx="247">
                  <c:v>134.68218228130991</c:v>
                </c:pt>
                <c:pt idx="248">
                  <c:v>135.20409262015883</c:v>
                </c:pt>
                <c:pt idx="249">
                  <c:v>135.7270011918402</c:v>
                </c:pt>
                <c:pt idx="250">
                  <c:v>136.25091130974022</c:v>
                </c:pt>
                <c:pt idx="251">
                  <c:v>136.77582629083142</c:v>
                </c:pt>
                <c:pt idx="252">
                  <c:v>137.30174945567279</c:v>
                </c:pt>
                <c:pt idx="253">
                  <c:v>137.82868412840975</c:v>
                </c:pt>
                <c:pt idx="254">
                  <c:v>138.35663363677406</c:v>
                </c:pt>
                <c:pt idx="255">
                  <c:v>138.88560131208393</c:v>
                </c:pt>
                <c:pt idx="256">
                  <c:v>139.41559048924393</c:v>
                </c:pt>
                <c:pt idx="257">
                  <c:v>139.94660450674502</c:v>
                </c:pt>
                <c:pt idx="258">
                  <c:v>140.47864670666462</c:v>
                </c:pt>
                <c:pt idx="259">
                  <c:v>141.01172043466647</c:v>
                </c:pt>
                <c:pt idx="260">
                  <c:v>141.54582904000074</c:v>
                </c:pt>
                <c:pt idx="261">
                  <c:v>142.08097587550407</c:v>
                </c:pt>
                <c:pt idx="262">
                  <c:v>142.61716429759937</c:v>
                </c:pt>
                <c:pt idx="263">
                  <c:v>143.15439766629601</c:v>
                </c:pt>
                <c:pt idx="264">
                  <c:v>143.69267934518984</c:v>
                </c:pt>
                <c:pt idx="265">
                  <c:v>144.23201270146296</c:v>
                </c:pt>
                <c:pt idx="266">
                  <c:v>144.772401105884</c:v>
                </c:pt>
                <c:pt idx="267">
                  <c:v>145.3138479328079</c:v>
                </c:pt>
                <c:pt idx="268">
                  <c:v>145.85635656017601</c:v>
                </c:pt>
                <c:pt idx="269">
                  <c:v>146.39993036951614</c:v>
                </c:pt>
                <c:pt idx="270">
                  <c:v>146.94457274594242</c:v>
                </c:pt>
                <c:pt idx="271">
                  <c:v>147.49028707815543</c:v>
                </c:pt>
                <c:pt idx="272">
                  <c:v>148.03707675844214</c:v>
                </c:pt>
                <c:pt idx="273">
                  <c:v>148.58494518267588</c:v>
                </c:pt>
                <c:pt idx="274">
                  <c:v>149.13389575031647</c:v>
                </c:pt>
                <c:pt idx="275">
                  <c:v>149.68393186441006</c:v>
                </c:pt>
                <c:pt idx="276">
                  <c:v>150.23505693158921</c:v>
                </c:pt>
                <c:pt idx="277">
                  <c:v>150.78727436207288</c:v>
                </c:pt>
                <c:pt idx="278">
                  <c:v>151.34058756966641</c:v>
                </c:pt>
                <c:pt idx="279">
                  <c:v>151.89499997176159</c:v>
                </c:pt>
                <c:pt idx="280">
                  <c:v>152.45051498933651</c:v>
                </c:pt>
                <c:pt idx="281">
                  <c:v>153.00713604695582</c:v>
                </c:pt>
                <c:pt idx="282">
                  <c:v>153.56486657277037</c:v>
                </c:pt>
                <c:pt idx="283">
                  <c:v>154.1237099985176</c:v>
                </c:pt>
                <c:pt idx="284">
                  <c:v>154.68366975952125</c:v>
                </c:pt>
                <c:pt idx="285">
                  <c:v>155.24474929469147</c:v>
                </c:pt>
                <c:pt idx="286">
                  <c:v>155.80695204652486</c:v>
                </c:pt>
                <c:pt idx="287">
                  <c:v>156.37028146110424</c:v>
                </c:pt>
                <c:pt idx="288">
                  <c:v>156.93474098809904</c:v>
                </c:pt>
                <c:pt idx="289">
                  <c:v>157.50033408076499</c:v>
                </c:pt>
                <c:pt idx="290">
                  <c:v>158.06706419594425</c:v>
                </c:pt>
                <c:pt idx="291">
                  <c:v>158.6349347940654</c:v>
                </c:pt>
                <c:pt idx="292">
                  <c:v>159.20394933914332</c:v>
                </c:pt>
                <c:pt idx="293">
                  <c:v>159.77411129877936</c:v>
                </c:pt>
                <c:pt idx="294">
                  <c:v>160.34542414416137</c:v>
                </c:pt>
                <c:pt idx="295">
                  <c:v>160.91789135006334</c:v>
                </c:pt>
                <c:pt idx="296">
                  <c:v>161.49151639484589</c:v>
                </c:pt>
                <c:pt idx="297">
                  <c:v>162.06630276045604</c:v>
                </c:pt>
                <c:pt idx="298">
                  <c:v>162.64225393242697</c:v>
                </c:pt>
                <c:pt idx="299">
                  <c:v>163.21937339987846</c:v>
                </c:pt>
                <c:pt idx="300">
                  <c:v>163.79766465551674</c:v>
                </c:pt>
                <c:pt idx="301">
                  <c:v>164.37713119563423</c:v>
                </c:pt>
                <c:pt idx="302">
                  <c:v>164.95777652010997</c:v>
                </c:pt>
                <c:pt idx="303">
                  <c:v>165.53960413240921</c:v>
                </c:pt>
                <c:pt idx="304">
                  <c:v>166.12261753958373</c:v>
                </c:pt>
                <c:pt idx="305">
                  <c:v>166.70682025227168</c:v>
                </c:pt>
                <c:pt idx="306">
                  <c:v>167.29221578469753</c:v>
                </c:pt>
                <c:pt idx="307">
                  <c:v>167.87880765467224</c:v>
                </c:pt>
                <c:pt idx="308">
                  <c:v>168.46659938359315</c:v>
                </c:pt>
                <c:pt idx="309">
                  <c:v>169.05559449644397</c:v>
                </c:pt>
                <c:pt idx="310">
                  <c:v>169.64579652179486</c:v>
                </c:pt>
                <c:pt idx="311">
                  <c:v>170.23720899180231</c:v>
                </c:pt>
                <c:pt idx="312">
                  <c:v>170.82983544220923</c:v>
                </c:pt>
                <c:pt idx="313">
                  <c:v>171.42367941234502</c:v>
                </c:pt>
                <c:pt idx="314">
                  <c:v>172.01874444512532</c:v>
                </c:pt>
                <c:pt idx="315">
                  <c:v>172.61503408705232</c:v>
                </c:pt>
                <c:pt idx="316">
                  <c:v>173.21255188821453</c:v>
                </c:pt>
                <c:pt idx="317">
                  <c:v>173.81130140228677</c:v>
                </c:pt>
                <c:pt idx="318">
                  <c:v>174.41128618653048</c:v>
                </c:pt>
              </c:numCache>
            </c:numRef>
          </c:yVal>
          <c:smooth val="1"/>
          <c:extLst>
            <c:ext xmlns:c16="http://schemas.microsoft.com/office/drawing/2014/chart" uri="{C3380CC4-5D6E-409C-BE32-E72D297353CC}">
              <c16:uniqueId val="{00000001-C35B-452B-BA4E-779A271337B2}"/>
            </c:ext>
          </c:extLst>
        </c:ser>
        <c:dLbls>
          <c:showLegendKey val="0"/>
          <c:showVal val="0"/>
          <c:showCatName val="0"/>
          <c:showSerName val="0"/>
          <c:showPercent val="0"/>
          <c:showBubbleSize val="0"/>
        </c:dLbls>
        <c:axId val="70159744"/>
        <c:axId val="70157824"/>
      </c:scatterChart>
      <c:valAx>
        <c:axId val="70141824"/>
        <c:scaling>
          <c:orientation val="minMax"/>
          <c:max val="1.6"/>
          <c:min val="0"/>
        </c:scaling>
        <c:delete val="0"/>
        <c:axPos val="b"/>
        <c:majorGridlines/>
        <c:numFmt formatCode="General" sourceLinked="1"/>
        <c:majorTickMark val="out"/>
        <c:minorTickMark val="none"/>
        <c:tickLblPos val="nextTo"/>
        <c:crossAx val="70143360"/>
        <c:crosses val="autoZero"/>
        <c:crossBetween val="midCat"/>
      </c:valAx>
      <c:valAx>
        <c:axId val="70143360"/>
        <c:scaling>
          <c:orientation val="minMax"/>
          <c:max val="100"/>
          <c:min val="5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70141824"/>
        <c:crosses val="autoZero"/>
        <c:crossBetween val="midCat"/>
      </c:valAx>
      <c:valAx>
        <c:axId val="70157824"/>
        <c:scaling>
          <c:orientation val="minMax"/>
          <c:max val="150"/>
          <c:min val="0"/>
        </c:scaling>
        <c:delete val="0"/>
        <c:axPos val="r"/>
        <c:title>
          <c:tx>
            <c:rich>
              <a:bodyPr rot="-5400000" vert="horz"/>
              <a:lstStyle/>
              <a:p>
                <a:pPr>
                  <a:defRPr sz="1400"/>
                </a:pPr>
                <a:r>
                  <a:rPr lang="en-US" sz="1400"/>
                  <a:t>IC</a:t>
                </a:r>
                <a:r>
                  <a:rPr lang="en-US" sz="1400" baseline="0"/>
                  <a:t> Temperature (</a:t>
                </a:r>
                <a:r>
                  <a:rPr lang="en-US" sz="1400" baseline="0">
                    <a:latin typeface="Calibri"/>
                    <a:cs typeface="Calibri"/>
                  </a:rPr>
                  <a:t>°C</a:t>
                </a:r>
                <a:r>
                  <a:rPr lang="en-US" sz="1400" baseline="0"/>
                  <a:t>)</a:t>
                </a:r>
                <a:endParaRPr lang="en-US" sz="1400"/>
              </a:p>
            </c:rich>
          </c:tx>
          <c:overlay val="0"/>
        </c:title>
        <c:numFmt formatCode="General" sourceLinked="1"/>
        <c:majorTickMark val="out"/>
        <c:minorTickMark val="none"/>
        <c:tickLblPos val="nextTo"/>
        <c:crossAx val="70159744"/>
        <c:crosses val="max"/>
        <c:crossBetween val="midCat"/>
        <c:majorUnit val="15"/>
      </c:valAx>
      <c:valAx>
        <c:axId val="70159744"/>
        <c:scaling>
          <c:orientation val="minMax"/>
        </c:scaling>
        <c:delete val="1"/>
        <c:axPos val="b"/>
        <c:title>
          <c:tx>
            <c:rich>
              <a:bodyPr/>
              <a:lstStyle/>
              <a:p>
                <a:pPr>
                  <a:defRPr/>
                </a:pPr>
                <a:r>
                  <a:rPr lang="en-US"/>
                  <a:t>Load</a:t>
                </a:r>
                <a:r>
                  <a:rPr lang="en-US" baseline="0"/>
                  <a:t> Current (A)</a:t>
                </a:r>
                <a:endParaRPr lang="en-US"/>
              </a:p>
            </c:rich>
          </c:tx>
          <c:overlay val="0"/>
        </c:title>
        <c:numFmt formatCode="General" sourceLinked="1"/>
        <c:majorTickMark val="out"/>
        <c:minorTickMark val="none"/>
        <c:tickLblPos val="nextTo"/>
        <c:crossAx val="70157824"/>
        <c:crosses val="autoZero"/>
        <c:crossBetween val="midCat"/>
      </c:valAx>
    </c:plotArea>
    <c:legend>
      <c:legendPos val="r"/>
      <c:layout>
        <c:manualLayout>
          <c:xMode val="edge"/>
          <c:yMode val="edge"/>
          <c:x val="0.75293153485621367"/>
          <c:y val="0.66272443165675732"/>
          <c:w val="0.15814289063341899"/>
          <c:h val="0.16145979368662478"/>
        </c:manualLayout>
      </c:layout>
      <c:overlay val="1"/>
      <c:txPr>
        <a:bodyPr/>
        <a:lstStyle/>
        <a:p>
          <a:pPr>
            <a:defRPr sz="1400" b="1"/>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Eff_vs_IOUT!$AZ$7:$AZ$157</c:f>
              <c:numCache>
                <c:formatCode>General</c:formatCode>
                <c:ptCount val="151"/>
                <c:pt idx="0">
                  <c:v>0</c:v>
                </c:pt>
                <c:pt idx="1">
                  <c:v>2E-3</c:v>
                </c:pt>
                <c:pt idx="2">
                  <c:v>4.0000000000000001E-3</c:v>
                </c:pt>
                <c:pt idx="3">
                  <c:v>6.0000000000000001E-3</c:v>
                </c:pt>
                <c:pt idx="4">
                  <c:v>8.0000000000000002E-3</c:v>
                </c:pt>
                <c:pt idx="5">
                  <c:v>0.01</c:v>
                </c:pt>
                <c:pt idx="6">
                  <c:v>1.2E-2</c:v>
                </c:pt>
                <c:pt idx="7">
                  <c:v>1.4E-2</c:v>
                </c:pt>
                <c:pt idx="8">
                  <c:v>1.6E-2</c:v>
                </c:pt>
                <c:pt idx="9">
                  <c:v>1.8000000000000002E-2</c:v>
                </c:pt>
                <c:pt idx="10">
                  <c:v>0.02</c:v>
                </c:pt>
                <c:pt idx="11">
                  <c:v>2.1999999999999999E-2</c:v>
                </c:pt>
                <c:pt idx="12">
                  <c:v>2.4E-2</c:v>
                </c:pt>
                <c:pt idx="13">
                  <c:v>2.6000000000000002E-2</c:v>
                </c:pt>
                <c:pt idx="14">
                  <c:v>2.8000000000000001E-2</c:v>
                </c:pt>
                <c:pt idx="15">
                  <c:v>0.03</c:v>
                </c:pt>
                <c:pt idx="16">
                  <c:v>3.2000000000000001E-2</c:v>
                </c:pt>
                <c:pt idx="17">
                  <c:v>3.4000000000000002E-2</c:v>
                </c:pt>
                <c:pt idx="18">
                  <c:v>3.6000000000000004E-2</c:v>
                </c:pt>
                <c:pt idx="19">
                  <c:v>3.7999999999999999E-2</c:v>
                </c:pt>
                <c:pt idx="20">
                  <c:v>0.04</c:v>
                </c:pt>
                <c:pt idx="21">
                  <c:v>4.2000000000000003E-2</c:v>
                </c:pt>
                <c:pt idx="22">
                  <c:v>4.3999999999999997E-2</c:v>
                </c:pt>
                <c:pt idx="23">
                  <c:v>4.5999999999999999E-2</c:v>
                </c:pt>
                <c:pt idx="24">
                  <c:v>4.8000000000000001E-2</c:v>
                </c:pt>
                <c:pt idx="25">
                  <c:v>0.05</c:v>
                </c:pt>
                <c:pt idx="26">
                  <c:v>5.2000000000000005E-2</c:v>
                </c:pt>
                <c:pt idx="27">
                  <c:v>5.3999999999999999E-2</c:v>
                </c:pt>
                <c:pt idx="28">
                  <c:v>5.6000000000000001E-2</c:v>
                </c:pt>
                <c:pt idx="29">
                  <c:v>5.8000000000000003E-2</c:v>
                </c:pt>
                <c:pt idx="30">
                  <c:v>0.06</c:v>
                </c:pt>
                <c:pt idx="31">
                  <c:v>6.2E-2</c:v>
                </c:pt>
                <c:pt idx="32">
                  <c:v>6.4000000000000001E-2</c:v>
                </c:pt>
                <c:pt idx="33">
                  <c:v>6.6000000000000003E-2</c:v>
                </c:pt>
                <c:pt idx="34">
                  <c:v>6.8000000000000005E-2</c:v>
                </c:pt>
                <c:pt idx="35">
                  <c:v>7.0000000000000007E-2</c:v>
                </c:pt>
                <c:pt idx="36">
                  <c:v>7.2000000000000008E-2</c:v>
                </c:pt>
                <c:pt idx="37">
                  <c:v>7.3999999999999996E-2</c:v>
                </c:pt>
                <c:pt idx="38">
                  <c:v>7.5999999999999998E-2</c:v>
                </c:pt>
                <c:pt idx="39">
                  <c:v>7.8E-2</c:v>
                </c:pt>
                <c:pt idx="40">
                  <c:v>0.08</c:v>
                </c:pt>
                <c:pt idx="41">
                  <c:v>8.2000000000000003E-2</c:v>
                </c:pt>
                <c:pt idx="42">
                  <c:v>8.4000000000000005E-2</c:v>
                </c:pt>
                <c:pt idx="43">
                  <c:v>8.6000000000000007E-2</c:v>
                </c:pt>
                <c:pt idx="44">
                  <c:v>8.7999999999999995E-2</c:v>
                </c:pt>
                <c:pt idx="45">
                  <c:v>0.09</c:v>
                </c:pt>
                <c:pt idx="46">
                  <c:v>9.1999999999999998E-2</c:v>
                </c:pt>
                <c:pt idx="47">
                  <c:v>9.4E-2</c:v>
                </c:pt>
                <c:pt idx="48">
                  <c:v>9.6000000000000002E-2</c:v>
                </c:pt>
                <c:pt idx="49">
                  <c:v>9.8000000000000004E-2</c:v>
                </c:pt>
                <c:pt idx="50">
                  <c:v>0.1</c:v>
                </c:pt>
                <c:pt idx="51">
                  <c:v>0.10200000000000001</c:v>
                </c:pt>
                <c:pt idx="52">
                  <c:v>0.10400000000000001</c:v>
                </c:pt>
                <c:pt idx="53">
                  <c:v>0.106</c:v>
                </c:pt>
                <c:pt idx="54">
                  <c:v>0.108</c:v>
                </c:pt>
                <c:pt idx="55">
                  <c:v>0.11</c:v>
                </c:pt>
                <c:pt idx="56">
                  <c:v>0.112</c:v>
                </c:pt>
                <c:pt idx="57">
                  <c:v>0.114</c:v>
                </c:pt>
                <c:pt idx="58">
                  <c:v>0.11600000000000001</c:v>
                </c:pt>
                <c:pt idx="59">
                  <c:v>0.11800000000000001</c:v>
                </c:pt>
                <c:pt idx="60">
                  <c:v>0.12</c:v>
                </c:pt>
                <c:pt idx="61">
                  <c:v>0.122</c:v>
                </c:pt>
                <c:pt idx="62">
                  <c:v>0.124</c:v>
                </c:pt>
                <c:pt idx="63">
                  <c:v>0.126</c:v>
                </c:pt>
                <c:pt idx="64">
                  <c:v>0.128</c:v>
                </c:pt>
                <c:pt idx="65">
                  <c:v>0.13</c:v>
                </c:pt>
                <c:pt idx="66">
                  <c:v>0.13200000000000001</c:v>
                </c:pt>
                <c:pt idx="67">
                  <c:v>0.13400000000000001</c:v>
                </c:pt>
                <c:pt idx="68">
                  <c:v>0.13600000000000001</c:v>
                </c:pt>
                <c:pt idx="69">
                  <c:v>0.13800000000000001</c:v>
                </c:pt>
                <c:pt idx="70">
                  <c:v>0.14000000000000001</c:v>
                </c:pt>
                <c:pt idx="71">
                  <c:v>0.14200000000000002</c:v>
                </c:pt>
                <c:pt idx="72">
                  <c:v>0.14400000000000002</c:v>
                </c:pt>
                <c:pt idx="73">
                  <c:v>0.14599999999999999</c:v>
                </c:pt>
                <c:pt idx="74">
                  <c:v>0.14799999999999999</c:v>
                </c:pt>
                <c:pt idx="75">
                  <c:v>0.15</c:v>
                </c:pt>
                <c:pt idx="76">
                  <c:v>0.152</c:v>
                </c:pt>
                <c:pt idx="77">
                  <c:v>0.154</c:v>
                </c:pt>
                <c:pt idx="78">
                  <c:v>0.156</c:v>
                </c:pt>
                <c:pt idx="79">
                  <c:v>0.158</c:v>
                </c:pt>
                <c:pt idx="80">
                  <c:v>0.16</c:v>
                </c:pt>
                <c:pt idx="81">
                  <c:v>0.16200000000000001</c:v>
                </c:pt>
                <c:pt idx="82">
                  <c:v>0.16400000000000001</c:v>
                </c:pt>
                <c:pt idx="83">
                  <c:v>0.16600000000000001</c:v>
                </c:pt>
                <c:pt idx="84">
                  <c:v>0.16800000000000001</c:v>
                </c:pt>
                <c:pt idx="85">
                  <c:v>0.17</c:v>
                </c:pt>
                <c:pt idx="86">
                  <c:v>0.17200000000000001</c:v>
                </c:pt>
                <c:pt idx="87">
                  <c:v>0.17400000000000002</c:v>
                </c:pt>
                <c:pt idx="88">
                  <c:v>0.17599999999999999</c:v>
                </c:pt>
                <c:pt idx="89">
                  <c:v>0.17799999999999999</c:v>
                </c:pt>
                <c:pt idx="90">
                  <c:v>0.18</c:v>
                </c:pt>
                <c:pt idx="91">
                  <c:v>0.182</c:v>
                </c:pt>
                <c:pt idx="92">
                  <c:v>0.184</c:v>
                </c:pt>
                <c:pt idx="93">
                  <c:v>0.186</c:v>
                </c:pt>
                <c:pt idx="94">
                  <c:v>0.188</c:v>
                </c:pt>
                <c:pt idx="95">
                  <c:v>0.19</c:v>
                </c:pt>
                <c:pt idx="96">
                  <c:v>0.192</c:v>
                </c:pt>
                <c:pt idx="97">
                  <c:v>0.19400000000000001</c:v>
                </c:pt>
                <c:pt idx="98">
                  <c:v>0.19600000000000001</c:v>
                </c:pt>
                <c:pt idx="99">
                  <c:v>0.19800000000000001</c:v>
                </c:pt>
                <c:pt idx="100">
                  <c:v>0.2</c:v>
                </c:pt>
                <c:pt idx="101">
                  <c:v>0.20200000000000001</c:v>
                </c:pt>
                <c:pt idx="102">
                  <c:v>0.20400000000000001</c:v>
                </c:pt>
                <c:pt idx="103">
                  <c:v>0.20600000000000002</c:v>
                </c:pt>
                <c:pt idx="104">
                  <c:v>0.20800000000000002</c:v>
                </c:pt>
                <c:pt idx="105">
                  <c:v>0.21</c:v>
                </c:pt>
                <c:pt idx="106">
                  <c:v>0.21199999999999999</c:v>
                </c:pt>
                <c:pt idx="107">
                  <c:v>0.214</c:v>
                </c:pt>
                <c:pt idx="108">
                  <c:v>0.216</c:v>
                </c:pt>
                <c:pt idx="109">
                  <c:v>0.218</c:v>
                </c:pt>
                <c:pt idx="110">
                  <c:v>0.22</c:v>
                </c:pt>
                <c:pt idx="111">
                  <c:v>0.222</c:v>
                </c:pt>
                <c:pt idx="112">
                  <c:v>0.224</c:v>
                </c:pt>
                <c:pt idx="113">
                  <c:v>0.22600000000000001</c:v>
                </c:pt>
                <c:pt idx="114">
                  <c:v>0.22800000000000001</c:v>
                </c:pt>
                <c:pt idx="115">
                  <c:v>0.23</c:v>
                </c:pt>
                <c:pt idx="116">
                  <c:v>0.23200000000000001</c:v>
                </c:pt>
                <c:pt idx="117">
                  <c:v>0.23400000000000001</c:v>
                </c:pt>
                <c:pt idx="118">
                  <c:v>0.23600000000000002</c:v>
                </c:pt>
                <c:pt idx="119">
                  <c:v>0.23800000000000002</c:v>
                </c:pt>
                <c:pt idx="120">
                  <c:v>0.24</c:v>
                </c:pt>
                <c:pt idx="121">
                  <c:v>0.24199999999999999</c:v>
                </c:pt>
                <c:pt idx="122">
                  <c:v>0.24399999999999999</c:v>
                </c:pt>
                <c:pt idx="123">
                  <c:v>0.246</c:v>
                </c:pt>
                <c:pt idx="124">
                  <c:v>0.248</c:v>
                </c:pt>
                <c:pt idx="125">
                  <c:v>0.25</c:v>
                </c:pt>
                <c:pt idx="126">
                  <c:v>0.252</c:v>
                </c:pt>
                <c:pt idx="127">
                  <c:v>0.254</c:v>
                </c:pt>
                <c:pt idx="128">
                  <c:v>0.25600000000000001</c:v>
                </c:pt>
                <c:pt idx="129">
                  <c:v>0.25800000000000001</c:v>
                </c:pt>
                <c:pt idx="130">
                  <c:v>0.26</c:v>
                </c:pt>
                <c:pt idx="131">
                  <c:v>0.26200000000000001</c:v>
                </c:pt>
                <c:pt idx="132">
                  <c:v>0.26400000000000001</c:v>
                </c:pt>
                <c:pt idx="133">
                  <c:v>0.26600000000000001</c:v>
                </c:pt>
                <c:pt idx="134">
                  <c:v>0.26800000000000002</c:v>
                </c:pt>
                <c:pt idx="135">
                  <c:v>0.27</c:v>
                </c:pt>
                <c:pt idx="136">
                  <c:v>0.27200000000000002</c:v>
                </c:pt>
                <c:pt idx="137">
                  <c:v>0.27400000000000002</c:v>
                </c:pt>
                <c:pt idx="138">
                  <c:v>0.27600000000000002</c:v>
                </c:pt>
                <c:pt idx="139">
                  <c:v>0.27800000000000002</c:v>
                </c:pt>
                <c:pt idx="140">
                  <c:v>0.28000000000000003</c:v>
                </c:pt>
                <c:pt idx="141">
                  <c:v>0.28200000000000003</c:v>
                </c:pt>
                <c:pt idx="142">
                  <c:v>0.28400000000000003</c:v>
                </c:pt>
                <c:pt idx="143">
                  <c:v>0.28600000000000003</c:v>
                </c:pt>
                <c:pt idx="144">
                  <c:v>0.28800000000000003</c:v>
                </c:pt>
                <c:pt idx="145">
                  <c:v>0.28999999999999998</c:v>
                </c:pt>
                <c:pt idx="146">
                  <c:v>0.29199999999999998</c:v>
                </c:pt>
                <c:pt idx="147">
                  <c:v>0.29399999999999998</c:v>
                </c:pt>
                <c:pt idx="148">
                  <c:v>0.29599999999999999</c:v>
                </c:pt>
                <c:pt idx="149">
                  <c:v>0.29799999999999999</c:v>
                </c:pt>
                <c:pt idx="150">
                  <c:v>0.3</c:v>
                </c:pt>
              </c:numCache>
            </c:numRef>
          </c:xVal>
          <c:yVal>
            <c:numRef>
              <c:f>Eff_vs_IOUT!$CA$7:$CA$157</c:f>
              <c:numCache>
                <c:formatCode>General</c:formatCode>
                <c:ptCount val="151"/>
                <c:pt idx="0">
                  <c:v>0</c:v>
                </c:pt>
                <c:pt idx="1">
                  <c:v>12.174544723050632</c:v>
                </c:pt>
                <c:pt idx="2">
                  <c:v>21.485246389593058</c:v>
                </c:pt>
                <c:pt idx="3">
                  <c:v>28.83596902001057</c:v>
                </c:pt>
                <c:pt idx="4">
                  <c:v>34.786480811227449</c:v>
                </c:pt>
                <c:pt idx="5">
                  <c:v>39.70194227597927</c:v>
                </c:pt>
                <c:pt idx="6">
                  <c:v>43.830707269231596</c:v>
                </c:pt>
                <c:pt idx="7">
                  <c:v>47.347566278372696</c:v>
                </c:pt>
                <c:pt idx="8">
                  <c:v>50.379104164272057</c:v>
                </c:pt>
                <c:pt idx="9">
                  <c:v>53.019245728315788</c:v>
                </c:pt>
                <c:pt idx="10">
                  <c:v>55.339150172244409</c:v>
                </c:pt>
                <c:pt idx="11">
                  <c:v>57.393714121134167</c:v>
                </c:pt>
                <c:pt idx="12">
                  <c:v>59.225966074827838</c:v>
                </c:pt>
                <c:pt idx="13">
                  <c:v>60.870109012879368</c:v>
                </c:pt>
                <c:pt idx="14">
                  <c:v>62.353672651689841</c:v>
                </c:pt>
                <c:pt idx="15">
                  <c:v>63.699065174099587</c:v>
                </c:pt>
                <c:pt idx="16">
                  <c:v>64.924711227193896</c:v>
                </c:pt>
                <c:pt idx="17">
                  <c:v>66.045899406715549</c:v>
                </c:pt>
                <c:pt idx="18">
                  <c:v>67.075422219198629</c:v>
                </c:pt>
                <c:pt idx="19">
                  <c:v>68.024065480819203</c:v>
                </c:pt>
                <c:pt idx="20">
                  <c:v>68.900986919393731</c:v>
                </c:pt>
                <c:pt idx="21">
                  <c:v>69.714012179145442</c:v>
                </c:pt>
                <c:pt idx="22">
                  <c:v>70.469868513184025</c:v>
                </c:pt>
                <c:pt idx="23">
                  <c:v>71.174370948285315</c:v>
                </c:pt>
                <c:pt idx="24">
                  <c:v>71.832571829049527</c:v>
                </c:pt>
                <c:pt idx="25">
                  <c:v>72.44888187873805</c:v>
                </c:pt>
                <c:pt idx="26">
                  <c:v>73.027168911242796</c:v>
                </c:pt>
                <c:pt idx="27">
                  <c:v>73.570838863818793</c:v>
                </c:pt>
                <c:pt idx="28">
                  <c:v>74.082902737480126</c:v>
                </c:pt>
                <c:pt idx="29">
                  <c:v>74.539686454578842</c:v>
                </c:pt>
                <c:pt idx="30">
                  <c:v>74.994882586746414</c:v>
                </c:pt>
                <c:pt idx="31">
                  <c:v>75.425584689893896</c:v>
                </c:pt>
                <c:pt idx="32">
                  <c:v>75.833699496117646</c:v>
                </c:pt>
                <c:pt idx="33">
                  <c:v>76.220940710826184</c:v>
                </c:pt>
                <c:pt idx="34">
                  <c:v>76.588852835801049</c:v>
                </c:pt>
                <c:pt idx="35">
                  <c:v>76.938831549002956</c:v>
                </c:pt>
                <c:pt idx="36">
                  <c:v>77.272141208080257</c:v>
                </c:pt>
                <c:pt idx="37">
                  <c:v>77.589929940297793</c:v>
                </c:pt>
                <c:pt idx="38">
                  <c:v>77.893242698443672</c:v>
                </c:pt>
                <c:pt idx="39">
                  <c:v>78.183032595553584</c:v>
                </c:pt>
                <c:pt idx="40">
                  <c:v>78.460170777485615</c:v>
                </c:pt>
                <c:pt idx="41">
                  <c:v>78.725455048762981</c:v>
                </c:pt>
                <c:pt idx="42">
                  <c:v>78.97961743157876</c:v>
                </c:pt>
                <c:pt idx="43">
                  <c:v>79.223330808790521</c:v>
                </c:pt>
                <c:pt idx="44">
                  <c:v>79.457214777844669</c:v>
                </c:pt>
                <c:pt idx="45">
                  <c:v>79.681840822856657</c:v>
                </c:pt>
                <c:pt idx="46">
                  <c:v>79.897736895737935</c:v>
                </c:pt>
                <c:pt idx="47">
                  <c:v>80.105391483672435</c:v>
                </c:pt>
                <c:pt idx="48">
                  <c:v>80.305257228900643</c:v>
                </c:pt>
                <c:pt idx="49">
                  <c:v>80.497754157264552</c:v>
                </c:pt>
                <c:pt idx="50">
                  <c:v>80.683272563974313</c:v>
                </c:pt>
                <c:pt idx="51">
                  <c:v>80.862175598317492</c:v>
                </c:pt>
                <c:pt idx="52">
                  <c:v>81.034801583326725</c:v>
                </c:pt>
                <c:pt idx="53">
                  <c:v>81.201466101581019</c:v>
                </c:pt>
                <c:pt idx="54">
                  <c:v>81.36246387419331</c:v>
                </c:pt>
                <c:pt idx="55">
                  <c:v>81.518070456520064</c:v>
                </c:pt>
                <c:pt idx="56">
                  <c:v>81.668543771115239</c:v>
                </c:pt>
                <c:pt idx="57">
                  <c:v>81.814125495866975</c:v>
                </c:pt>
                <c:pt idx="58">
                  <c:v>81.955042323030483</c:v>
                </c:pt>
                <c:pt idx="59">
                  <c:v>82.091507102951795</c:v>
                </c:pt>
                <c:pt idx="60">
                  <c:v>82.223719884617893</c:v>
                </c:pt>
                <c:pt idx="61">
                  <c:v>82.3518688637308</c:v>
                </c:pt>
                <c:pt idx="62">
                  <c:v>82.476131247753813</c:v>
                </c:pt>
                <c:pt idx="63">
                  <c:v>82.596674046291113</c:v>
                </c:pt>
                <c:pt idx="64">
                  <c:v>82.713654794212971</c:v>
                </c:pt>
                <c:pt idx="65">
                  <c:v>82.827222214109824</c:v>
                </c:pt>
                <c:pt idx="66">
                  <c:v>82.937516823931972</c:v>
                </c:pt>
                <c:pt idx="67">
                  <c:v>83.04467149503472</c:v>
                </c:pt>
                <c:pt idx="68">
                  <c:v>83.14881196528772</c:v>
                </c:pt>
                <c:pt idx="69">
                  <c:v>83.250057311414224</c:v>
                </c:pt>
                <c:pt idx="70">
                  <c:v>83.348520384290325</c:v>
                </c:pt>
                <c:pt idx="71">
                  <c:v>83.444308210548868</c:v>
                </c:pt>
                <c:pt idx="72">
                  <c:v>83.537522363492727</c:v>
                </c:pt>
                <c:pt idx="73">
                  <c:v>83.628259306018762</c:v>
                </c:pt>
                <c:pt idx="74">
                  <c:v>83.716610707986462</c:v>
                </c:pt>
                <c:pt idx="75">
                  <c:v>83.802663740225526</c:v>
                </c:pt>
                <c:pt idx="76">
                  <c:v>83.886501347164298</c:v>
                </c:pt>
                <c:pt idx="77">
                  <c:v>83.968202499871197</c:v>
                </c:pt>
                <c:pt idx="78">
                  <c:v>84.047842431131244</c:v>
                </c:pt>
                <c:pt idx="79">
                  <c:v>84.125492854028607</c:v>
                </c:pt>
                <c:pt idx="80">
                  <c:v>84.201222165369416</c:v>
                </c:pt>
                <c:pt idx="81">
                  <c:v>84.27509563515757</c:v>
                </c:pt>
                <c:pt idx="82">
                  <c:v>84.347175583226687</c:v>
                </c:pt>
                <c:pt idx="83">
                  <c:v>84.417521544032368</c:v>
                </c:pt>
                <c:pt idx="84">
                  <c:v>84.486190420520629</c:v>
                </c:pt>
                <c:pt idx="85">
                  <c:v>84.553236627907751</c:v>
                </c:pt>
                <c:pt idx="86">
                  <c:v>84.618712228135578</c:v>
                </c:pt>
                <c:pt idx="87">
                  <c:v>84.682667055699255</c:v>
                </c:pt>
                <c:pt idx="88">
                  <c:v>84.745148835487555</c:v>
                </c:pt>
                <c:pt idx="89">
                  <c:v>84.806203293220165</c:v>
                </c:pt>
                <c:pt idx="90">
                  <c:v>84.865874259019492</c:v>
                </c:pt>
                <c:pt idx="91">
                  <c:v>84.924203764609672</c:v>
                </c:pt>
                <c:pt idx="92">
                  <c:v>84.981232134595473</c:v>
                </c:pt>
                <c:pt idx="93">
                  <c:v>85.036998072237722</c:v>
                </c:pt>
                <c:pt idx="94">
                  <c:v>85.091538740108433</c:v>
                </c:pt>
                <c:pt idx="95">
                  <c:v>85.144889835978717</c:v>
                </c:pt>
                <c:pt idx="96">
                  <c:v>85.197085664265089</c:v>
                </c:pt>
                <c:pt idx="97">
                  <c:v>85.248159203334367</c:v>
                </c:pt>
                <c:pt idx="98">
                  <c:v>85.298142168944679</c:v>
                </c:pt>
                <c:pt idx="99">
                  <c:v>85.347065074078969</c:v>
                </c:pt>
                <c:pt idx="100">
                  <c:v>85.394957285407898</c:v>
                </c:pt>
                <c:pt idx="101">
                  <c:v>85.44184707660169</c:v>
                </c:pt>
                <c:pt idx="102">
                  <c:v>85.487761678694312</c:v>
                </c:pt>
                <c:pt idx="103">
                  <c:v>85.532727327688121</c:v>
                </c:pt>
                <c:pt idx="104">
                  <c:v>85.576769309574146</c:v>
                </c:pt>
                <c:pt idx="105">
                  <c:v>85.619912002929937</c:v>
                </c:pt>
                <c:pt idx="106">
                  <c:v>85.662178919245633</c:v>
                </c:pt>
                <c:pt idx="107">
                  <c:v>85.703592741118769</c:v>
                </c:pt>
                <c:pt idx="108">
                  <c:v>85.744175358447677</c:v>
                </c:pt>
                <c:pt idx="109">
                  <c:v>85.783947902744842</c:v>
                </c:pt>
                <c:pt idx="110">
                  <c:v>85.822930779683475</c:v>
                </c:pt>
                <c:pt idx="111">
                  <c:v>85.86114369998208</c:v>
                </c:pt>
                <c:pt idx="112">
                  <c:v>85.898605708725526</c:v>
                </c:pt>
                <c:pt idx="113">
                  <c:v>85.935335213214074</c:v>
                </c:pt>
                <c:pt idx="114">
                  <c:v>85.971350009425905</c:v>
                </c:pt>
                <c:pt idx="115">
                  <c:v>86.006667307172876</c:v>
                </c:pt>
                <c:pt idx="116">
                  <c:v>86.041303754024469</c:v>
                </c:pt>
                <c:pt idx="117">
                  <c:v>86.075275458069427</c:v>
                </c:pt>
                <c:pt idx="118">
                  <c:v>86.108598009580575</c:v>
                </c:pt>
                <c:pt idx="119">
                  <c:v>86.141286501644032</c:v>
                </c:pt>
                <c:pt idx="120">
                  <c:v>86.173355549809997</c:v>
                </c:pt>
                <c:pt idx="121">
                  <c:v>86.204819310819019</c:v>
                </c:pt>
                <c:pt idx="122">
                  <c:v>86.235691500453697</c:v>
                </c:pt>
                <c:pt idx="123">
                  <c:v>86.265985410563701</c:v>
                </c:pt>
                <c:pt idx="124">
                  <c:v>86.295713925307851</c:v>
                </c:pt>
                <c:pt idx="125">
                  <c:v>86.32488953665532</c:v>
                </c:pt>
                <c:pt idx="126">
                  <c:v>86.353524359184945</c:v>
                </c:pt>
                <c:pt idx="127">
                  <c:v>86.381630144219358</c:v>
                </c:pt>
                <c:pt idx="128">
                  <c:v>86.409218293328848</c:v>
                </c:pt>
                <c:pt idx="129">
                  <c:v>86.436299871237154</c:v>
                </c:pt>
                <c:pt idx="130">
                  <c:v>86.462885618160115</c:v>
                </c:pt>
                <c:pt idx="131">
                  <c:v>86.488985961605962</c:v>
                </c:pt>
                <c:pt idx="132">
                  <c:v>86.514611027664358</c:v>
                </c:pt>
                <c:pt idx="133">
                  <c:v>86.539770651810073</c:v>
                </c:pt>
                <c:pt idx="134">
                  <c:v>86.56447438924522</c:v>
                </c:pt>
                <c:pt idx="135">
                  <c:v>86.58873152480308</c:v>
                </c:pt>
                <c:pt idx="136">
                  <c:v>86.612551082434834</c:v>
                </c:pt>
                <c:pt idx="137">
                  <c:v>86.635941834299885</c:v>
                </c:pt>
                <c:pt idx="138">
                  <c:v>86.658912309478524</c:v>
                </c:pt>
                <c:pt idx="139">
                  <c:v>86.681470802325492</c:v>
                </c:pt>
                <c:pt idx="140">
                  <c:v>86.703625380481469</c:v>
                </c:pt>
                <c:pt idx="141">
                  <c:v>86.725383892558526</c:v>
                </c:pt>
                <c:pt idx="142">
                  <c:v>86.746753975515361</c:v>
                </c:pt>
                <c:pt idx="143">
                  <c:v>86.767743061736198</c:v>
                </c:pt>
                <c:pt idx="144">
                  <c:v>86.788358385827934</c:v>
                </c:pt>
                <c:pt idx="145">
                  <c:v>86.808606991147641</c:v>
                </c:pt>
                <c:pt idx="146">
                  <c:v>86.828495736073791</c:v>
                </c:pt>
                <c:pt idx="147">
                  <c:v>86.848031300031778</c:v>
                </c:pt>
                <c:pt idx="148">
                  <c:v>86.867220189286101</c:v>
                </c:pt>
                <c:pt idx="149">
                  <c:v>86.886068742508485</c:v>
                </c:pt>
                <c:pt idx="150">
                  <c:v>86.904583136133041</c:v>
                </c:pt>
              </c:numCache>
            </c:numRef>
          </c:yVal>
          <c:smooth val="0"/>
          <c:extLst>
            <c:ext xmlns:c16="http://schemas.microsoft.com/office/drawing/2014/chart" uri="{C3380CC4-5D6E-409C-BE32-E72D297353CC}">
              <c16:uniqueId val="{00000000-7945-4D61-8594-DFD573151289}"/>
            </c:ext>
          </c:extLst>
        </c:ser>
        <c:dLbls>
          <c:showLegendKey val="0"/>
          <c:showVal val="0"/>
          <c:showCatName val="0"/>
          <c:showSerName val="0"/>
          <c:showPercent val="0"/>
          <c:showBubbleSize val="0"/>
        </c:dLbls>
        <c:axId val="69845376"/>
        <c:axId val="69846912"/>
      </c:scatterChart>
      <c:scatterChart>
        <c:scatterStyle val="smoothMarker"/>
        <c:varyColors val="0"/>
        <c:ser>
          <c:idx val="1"/>
          <c:order val="1"/>
          <c:tx>
            <c:v>MOSFET</c:v>
          </c:tx>
          <c:marker>
            <c:symbol val="none"/>
          </c:marker>
          <c:xVal>
            <c:numRef>
              <c:f>Eff_vs_IOUT!$AZ$7:$AZ$157</c:f>
              <c:numCache>
                <c:formatCode>General</c:formatCode>
                <c:ptCount val="151"/>
                <c:pt idx="0">
                  <c:v>0</c:v>
                </c:pt>
                <c:pt idx="1">
                  <c:v>2E-3</c:v>
                </c:pt>
                <c:pt idx="2">
                  <c:v>4.0000000000000001E-3</c:v>
                </c:pt>
                <c:pt idx="3">
                  <c:v>6.0000000000000001E-3</c:v>
                </c:pt>
                <c:pt idx="4">
                  <c:v>8.0000000000000002E-3</c:v>
                </c:pt>
                <c:pt idx="5">
                  <c:v>0.01</c:v>
                </c:pt>
                <c:pt idx="6">
                  <c:v>1.2E-2</c:v>
                </c:pt>
                <c:pt idx="7">
                  <c:v>1.4E-2</c:v>
                </c:pt>
                <c:pt idx="8">
                  <c:v>1.6E-2</c:v>
                </c:pt>
                <c:pt idx="9">
                  <c:v>1.8000000000000002E-2</c:v>
                </c:pt>
                <c:pt idx="10">
                  <c:v>0.02</c:v>
                </c:pt>
                <c:pt idx="11">
                  <c:v>2.1999999999999999E-2</c:v>
                </c:pt>
                <c:pt idx="12">
                  <c:v>2.4E-2</c:v>
                </c:pt>
                <c:pt idx="13">
                  <c:v>2.6000000000000002E-2</c:v>
                </c:pt>
                <c:pt idx="14">
                  <c:v>2.8000000000000001E-2</c:v>
                </c:pt>
                <c:pt idx="15">
                  <c:v>0.03</c:v>
                </c:pt>
                <c:pt idx="16">
                  <c:v>3.2000000000000001E-2</c:v>
                </c:pt>
                <c:pt idx="17">
                  <c:v>3.4000000000000002E-2</c:v>
                </c:pt>
                <c:pt idx="18">
                  <c:v>3.6000000000000004E-2</c:v>
                </c:pt>
                <c:pt idx="19">
                  <c:v>3.7999999999999999E-2</c:v>
                </c:pt>
                <c:pt idx="20">
                  <c:v>0.04</c:v>
                </c:pt>
                <c:pt idx="21">
                  <c:v>4.2000000000000003E-2</c:v>
                </c:pt>
                <c:pt idx="22">
                  <c:v>4.3999999999999997E-2</c:v>
                </c:pt>
                <c:pt idx="23">
                  <c:v>4.5999999999999999E-2</c:v>
                </c:pt>
                <c:pt idx="24">
                  <c:v>4.8000000000000001E-2</c:v>
                </c:pt>
                <c:pt idx="25">
                  <c:v>0.05</c:v>
                </c:pt>
                <c:pt idx="26">
                  <c:v>5.2000000000000005E-2</c:v>
                </c:pt>
                <c:pt idx="27">
                  <c:v>5.3999999999999999E-2</c:v>
                </c:pt>
                <c:pt idx="28">
                  <c:v>5.6000000000000001E-2</c:v>
                </c:pt>
                <c:pt idx="29">
                  <c:v>5.8000000000000003E-2</c:v>
                </c:pt>
                <c:pt idx="30">
                  <c:v>0.06</c:v>
                </c:pt>
                <c:pt idx="31">
                  <c:v>6.2E-2</c:v>
                </c:pt>
                <c:pt idx="32">
                  <c:v>6.4000000000000001E-2</c:v>
                </c:pt>
                <c:pt idx="33">
                  <c:v>6.6000000000000003E-2</c:v>
                </c:pt>
                <c:pt idx="34">
                  <c:v>6.8000000000000005E-2</c:v>
                </c:pt>
                <c:pt idx="35">
                  <c:v>7.0000000000000007E-2</c:v>
                </c:pt>
                <c:pt idx="36">
                  <c:v>7.2000000000000008E-2</c:v>
                </c:pt>
                <c:pt idx="37">
                  <c:v>7.3999999999999996E-2</c:v>
                </c:pt>
                <c:pt idx="38">
                  <c:v>7.5999999999999998E-2</c:v>
                </c:pt>
                <c:pt idx="39">
                  <c:v>7.8E-2</c:v>
                </c:pt>
                <c:pt idx="40">
                  <c:v>0.08</c:v>
                </c:pt>
                <c:pt idx="41">
                  <c:v>8.2000000000000003E-2</c:v>
                </c:pt>
                <c:pt idx="42">
                  <c:v>8.4000000000000005E-2</c:v>
                </c:pt>
                <c:pt idx="43">
                  <c:v>8.6000000000000007E-2</c:v>
                </c:pt>
                <c:pt idx="44">
                  <c:v>8.7999999999999995E-2</c:v>
                </c:pt>
                <c:pt idx="45">
                  <c:v>0.09</c:v>
                </c:pt>
                <c:pt idx="46">
                  <c:v>9.1999999999999998E-2</c:v>
                </c:pt>
                <c:pt idx="47">
                  <c:v>9.4E-2</c:v>
                </c:pt>
                <c:pt idx="48">
                  <c:v>9.6000000000000002E-2</c:v>
                </c:pt>
                <c:pt idx="49">
                  <c:v>9.8000000000000004E-2</c:v>
                </c:pt>
                <c:pt idx="50">
                  <c:v>0.1</c:v>
                </c:pt>
                <c:pt idx="51">
                  <c:v>0.10200000000000001</c:v>
                </c:pt>
                <c:pt idx="52">
                  <c:v>0.10400000000000001</c:v>
                </c:pt>
                <c:pt idx="53">
                  <c:v>0.106</c:v>
                </c:pt>
                <c:pt idx="54">
                  <c:v>0.108</c:v>
                </c:pt>
                <c:pt idx="55">
                  <c:v>0.11</c:v>
                </c:pt>
                <c:pt idx="56">
                  <c:v>0.112</c:v>
                </c:pt>
                <c:pt idx="57">
                  <c:v>0.114</c:v>
                </c:pt>
                <c:pt idx="58">
                  <c:v>0.11600000000000001</c:v>
                </c:pt>
                <c:pt idx="59">
                  <c:v>0.11800000000000001</c:v>
                </c:pt>
                <c:pt idx="60">
                  <c:v>0.12</c:v>
                </c:pt>
                <c:pt idx="61">
                  <c:v>0.122</c:v>
                </c:pt>
                <c:pt idx="62">
                  <c:v>0.124</c:v>
                </c:pt>
                <c:pt idx="63">
                  <c:v>0.126</c:v>
                </c:pt>
                <c:pt idx="64">
                  <c:v>0.128</c:v>
                </c:pt>
                <c:pt idx="65">
                  <c:v>0.13</c:v>
                </c:pt>
                <c:pt idx="66">
                  <c:v>0.13200000000000001</c:v>
                </c:pt>
                <c:pt idx="67">
                  <c:v>0.13400000000000001</c:v>
                </c:pt>
                <c:pt idx="68">
                  <c:v>0.13600000000000001</c:v>
                </c:pt>
                <c:pt idx="69">
                  <c:v>0.13800000000000001</c:v>
                </c:pt>
                <c:pt idx="70">
                  <c:v>0.14000000000000001</c:v>
                </c:pt>
                <c:pt idx="71">
                  <c:v>0.14200000000000002</c:v>
                </c:pt>
                <c:pt idx="72">
                  <c:v>0.14400000000000002</c:v>
                </c:pt>
                <c:pt idx="73">
                  <c:v>0.14599999999999999</c:v>
                </c:pt>
                <c:pt idx="74">
                  <c:v>0.14799999999999999</c:v>
                </c:pt>
                <c:pt idx="75">
                  <c:v>0.15</c:v>
                </c:pt>
                <c:pt idx="76">
                  <c:v>0.152</c:v>
                </c:pt>
                <c:pt idx="77">
                  <c:v>0.154</c:v>
                </c:pt>
                <c:pt idx="78">
                  <c:v>0.156</c:v>
                </c:pt>
                <c:pt idx="79">
                  <c:v>0.158</c:v>
                </c:pt>
                <c:pt idx="80">
                  <c:v>0.16</c:v>
                </c:pt>
                <c:pt idx="81">
                  <c:v>0.16200000000000001</c:v>
                </c:pt>
                <c:pt idx="82">
                  <c:v>0.16400000000000001</c:v>
                </c:pt>
                <c:pt idx="83">
                  <c:v>0.16600000000000001</c:v>
                </c:pt>
                <c:pt idx="84">
                  <c:v>0.16800000000000001</c:v>
                </c:pt>
                <c:pt idx="85">
                  <c:v>0.17</c:v>
                </c:pt>
                <c:pt idx="86">
                  <c:v>0.17200000000000001</c:v>
                </c:pt>
                <c:pt idx="87">
                  <c:v>0.17400000000000002</c:v>
                </c:pt>
                <c:pt idx="88">
                  <c:v>0.17599999999999999</c:v>
                </c:pt>
                <c:pt idx="89">
                  <c:v>0.17799999999999999</c:v>
                </c:pt>
                <c:pt idx="90">
                  <c:v>0.18</c:v>
                </c:pt>
                <c:pt idx="91">
                  <c:v>0.182</c:v>
                </c:pt>
                <c:pt idx="92">
                  <c:v>0.184</c:v>
                </c:pt>
                <c:pt idx="93">
                  <c:v>0.186</c:v>
                </c:pt>
                <c:pt idx="94">
                  <c:v>0.188</c:v>
                </c:pt>
                <c:pt idx="95">
                  <c:v>0.19</c:v>
                </c:pt>
                <c:pt idx="96">
                  <c:v>0.192</c:v>
                </c:pt>
                <c:pt idx="97">
                  <c:v>0.19400000000000001</c:v>
                </c:pt>
                <c:pt idx="98">
                  <c:v>0.19600000000000001</c:v>
                </c:pt>
                <c:pt idx="99">
                  <c:v>0.19800000000000001</c:v>
                </c:pt>
                <c:pt idx="100">
                  <c:v>0.2</c:v>
                </c:pt>
                <c:pt idx="101">
                  <c:v>0.20200000000000001</c:v>
                </c:pt>
                <c:pt idx="102">
                  <c:v>0.20400000000000001</c:v>
                </c:pt>
                <c:pt idx="103">
                  <c:v>0.20600000000000002</c:v>
                </c:pt>
                <c:pt idx="104">
                  <c:v>0.20800000000000002</c:v>
                </c:pt>
                <c:pt idx="105">
                  <c:v>0.21</c:v>
                </c:pt>
                <c:pt idx="106">
                  <c:v>0.21199999999999999</c:v>
                </c:pt>
                <c:pt idx="107">
                  <c:v>0.214</c:v>
                </c:pt>
                <c:pt idx="108">
                  <c:v>0.216</c:v>
                </c:pt>
                <c:pt idx="109">
                  <c:v>0.218</c:v>
                </c:pt>
                <c:pt idx="110">
                  <c:v>0.22</c:v>
                </c:pt>
                <c:pt idx="111">
                  <c:v>0.222</c:v>
                </c:pt>
                <c:pt idx="112">
                  <c:v>0.224</c:v>
                </c:pt>
                <c:pt idx="113">
                  <c:v>0.22600000000000001</c:v>
                </c:pt>
                <c:pt idx="114">
                  <c:v>0.22800000000000001</c:v>
                </c:pt>
                <c:pt idx="115">
                  <c:v>0.23</c:v>
                </c:pt>
                <c:pt idx="116">
                  <c:v>0.23200000000000001</c:v>
                </c:pt>
                <c:pt idx="117">
                  <c:v>0.23400000000000001</c:v>
                </c:pt>
                <c:pt idx="118">
                  <c:v>0.23600000000000002</c:v>
                </c:pt>
                <c:pt idx="119">
                  <c:v>0.23800000000000002</c:v>
                </c:pt>
                <c:pt idx="120">
                  <c:v>0.24</c:v>
                </c:pt>
                <c:pt idx="121">
                  <c:v>0.24199999999999999</c:v>
                </c:pt>
                <c:pt idx="122">
                  <c:v>0.24399999999999999</c:v>
                </c:pt>
                <c:pt idx="123">
                  <c:v>0.246</c:v>
                </c:pt>
                <c:pt idx="124">
                  <c:v>0.248</c:v>
                </c:pt>
                <c:pt idx="125">
                  <c:v>0.25</c:v>
                </c:pt>
                <c:pt idx="126">
                  <c:v>0.252</c:v>
                </c:pt>
                <c:pt idx="127">
                  <c:v>0.254</c:v>
                </c:pt>
                <c:pt idx="128">
                  <c:v>0.25600000000000001</c:v>
                </c:pt>
                <c:pt idx="129">
                  <c:v>0.25800000000000001</c:v>
                </c:pt>
                <c:pt idx="130">
                  <c:v>0.26</c:v>
                </c:pt>
                <c:pt idx="131">
                  <c:v>0.26200000000000001</c:v>
                </c:pt>
                <c:pt idx="132">
                  <c:v>0.26400000000000001</c:v>
                </c:pt>
                <c:pt idx="133">
                  <c:v>0.26600000000000001</c:v>
                </c:pt>
                <c:pt idx="134">
                  <c:v>0.26800000000000002</c:v>
                </c:pt>
                <c:pt idx="135">
                  <c:v>0.27</c:v>
                </c:pt>
                <c:pt idx="136">
                  <c:v>0.27200000000000002</c:v>
                </c:pt>
                <c:pt idx="137">
                  <c:v>0.27400000000000002</c:v>
                </c:pt>
                <c:pt idx="138">
                  <c:v>0.27600000000000002</c:v>
                </c:pt>
                <c:pt idx="139">
                  <c:v>0.27800000000000002</c:v>
                </c:pt>
                <c:pt idx="140">
                  <c:v>0.28000000000000003</c:v>
                </c:pt>
                <c:pt idx="141">
                  <c:v>0.28200000000000003</c:v>
                </c:pt>
                <c:pt idx="142">
                  <c:v>0.28400000000000003</c:v>
                </c:pt>
                <c:pt idx="143">
                  <c:v>0.28600000000000003</c:v>
                </c:pt>
                <c:pt idx="144">
                  <c:v>0.28800000000000003</c:v>
                </c:pt>
                <c:pt idx="145">
                  <c:v>0.28999999999999998</c:v>
                </c:pt>
                <c:pt idx="146">
                  <c:v>0.29199999999999998</c:v>
                </c:pt>
                <c:pt idx="147">
                  <c:v>0.29399999999999998</c:v>
                </c:pt>
                <c:pt idx="148">
                  <c:v>0.29599999999999999</c:v>
                </c:pt>
                <c:pt idx="149">
                  <c:v>0.29799999999999999</c:v>
                </c:pt>
                <c:pt idx="150">
                  <c:v>0.3</c:v>
                </c:pt>
              </c:numCache>
            </c:numRef>
          </c:xVal>
          <c:yVal>
            <c:numRef>
              <c:f>Eff_vs_IOUT!$BP$7:$BP$157</c:f>
              <c:numCache>
                <c:formatCode>General</c:formatCode>
                <c:ptCount val="151"/>
                <c:pt idx="0">
                  <c:v>0</c:v>
                </c:pt>
                <c:pt idx="1">
                  <c:v>1.051861617641466E-2</c:v>
                </c:pt>
                <c:pt idx="2">
                  <c:v>2.1052802587318901E-2</c:v>
                </c:pt>
                <c:pt idx="3">
                  <c:v>3.1597276848897002E-2</c:v>
                </c:pt>
                <c:pt idx="4">
                  <c:v>4.2150187047627942E-2</c:v>
                </c:pt>
                <c:pt idx="5">
                  <c:v>5.2710479474662369E-2</c:v>
                </c:pt>
                <c:pt idx="6">
                  <c:v>6.327745411721683E-2</c:v>
                </c:pt>
                <c:pt idx="7">
                  <c:v>7.3850605050435308E-2</c:v>
                </c:pt>
                <c:pt idx="8">
                  <c:v>8.4429546437377476E-2</c:v>
                </c:pt>
                <c:pt idx="9">
                  <c:v>9.5013972803076746E-2</c:v>
                </c:pt>
                <c:pt idx="10">
                  <c:v>0.1056036355278184</c:v>
                </c:pt>
                <c:pt idx="11">
                  <c:v>0.11619832792915062</c:v>
                </c:pt>
                <c:pt idx="12">
                  <c:v>0.12679787527916703</c:v>
                </c:pt>
                <c:pt idx="13">
                  <c:v>0.13740212784030226</c:v>
                </c:pt>
                <c:pt idx="14">
                  <c:v>0.14801095584075152</c:v>
                </c:pt>
                <c:pt idx="15">
                  <c:v>0.15862424574726844</c:v>
                </c:pt>
                <c:pt idx="16">
                  <c:v>0.16924189743512744</c:v>
                </c:pt>
                <c:pt idx="17">
                  <c:v>0.17986382199617248</c:v>
                </c:pt>
                <c:pt idx="18">
                  <c:v>0.1904899400117262</c:v>
                </c:pt>
                <c:pt idx="19">
                  <c:v>0.20112018017128611</c:v>
                </c:pt>
                <c:pt idx="20">
                  <c:v>0.21175447815315657</c:v>
                </c:pt>
                <c:pt idx="21">
                  <c:v>0.22239277570671154</c:v>
                </c:pt>
                <c:pt idx="22">
                  <c:v>0.23303501989209852</c:v>
                </c:pt>
                <c:pt idx="23">
                  <c:v>0.24368116244445814</c:v>
                </c:pt>
                <c:pt idx="24">
                  <c:v>0.25433115923775895</c:v>
                </c:pt>
                <c:pt idx="25">
                  <c:v>0.26498496982916014</c:v>
                </c:pt>
                <c:pt idx="26">
                  <c:v>0.27564255706909191</c:v>
                </c:pt>
                <c:pt idx="27">
                  <c:v>0.28630388676543156</c:v>
                </c:pt>
                <c:pt idx="28">
                  <c:v>0.29696892739256442</c:v>
                </c:pt>
                <c:pt idx="29">
                  <c:v>0.30898417856268073</c:v>
                </c:pt>
                <c:pt idx="30">
                  <c:v>0.31975878679677838</c:v>
                </c:pt>
                <c:pt idx="31">
                  <c:v>0.33054372433297974</c:v>
                </c:pt>
                <c:pt idx="32">
                  <c:v>0.34133906350131932</c:v>
                </c:pt>
                <c:pt idx="33">
                  <c:v>0.35214487673430028</c:v>
                </c:pt>
                <c:pt idx="34">
                  <c:v>0.36296123656689427</c:v>
                </c:pt>
                <c:pt idx="35">
                  <c:v>0.37378821563654135</c:v>
                </c:pt>
                <c:pt idx="36">
                  <c:v>0.38462588668315023</c:v>
                </c:pt>
                <c:pt idx="37">
                  <c:v>0.39547432254909826</c:v>
                </c:pt>
                <c:pt idx="38">
                  <c:v>0.40633359617923115</c:v>
                </c:pt>
                <c:pt idx="39">
                  <c:v>0.41720378062086344</c:v>
                </c:pt>
                <c:pt idx="40">
                  <c:v>0.42808494902377775</c:v>
                </c:pt>
                <c:pt idx="41">
                  <c:v>0.43897717464022573</c:v>
                </c:pt>
                <c:pt idx="42">
                  <c:v>0.44988053082492729</c:v>
                </c:pt>
                <c:pt idx="43">
                  <c:v>0.46079509103507083</c:v>
                </c:pt>
                <c:pt idx="44">
                  <c:v>0.47172092883031341</c:v>
                </c:pt>
                <c:pt idx="45">
                  <c:v>0.48265811787278068</c:v>
                </c:pt>
                <c:pt idx="46">
                  <c:v>0.493606731927067</c:v>
                </c:pt>
                <c:pt idx="47">
                  <c:v>0.50456684486023473</c:v>
                </c:pt>
                <c:pt idx="48">
                  <c:v>0.51553853064181521</c:v>
                </c:pt>
                <c:pt idx="49">
                  <c:v>0.52652186334380813</c:v>
                </c:pt>
                <c:pt idx="50">
                  <c:v>0.53751691714068206</c:v>
                </c:pt>
                <c:pt idx="51">
                  <c:v>0.54852376630937349</c:v>
                </c:pt>
                <c:pt idx="52">
                  <c:v>0.55954248522928818</c:v>
                </c:pt>
                <c:pt idx="53">
                  <c:v>0.57057314838229956</c:v>
                </c:pt>
                <c:pt idx="54">
                  <c:v>0.58161583035275077</c:v>
                </c:pt>
                <c:pt idx="55">
                  <c:v>0.59267060582745223</c:v>
                </c:pt>
                <c:pt idx="56">
                  <c:v>0.60373754959568393</c:v>
                </c:pt>
                <c:pt idx="57">
                  <c:v>0.61481673654919389</c:v>
                </c:pt>
                <c:pt idx="58">
                  <c:v>0.62590824168219861</c:v>
                </c:pt>
                <c:pt idx="59">
                  <c:v>0.63701214009138329</c:v>
                </c:pt>
                <c:pt idx="60">
                  <c:v>0.64812850697590174</c:v>
                </c:pt>
                <c:pt idx="61">
                  <c:v>0.65925741763737622</c:v>
                </c:pt>
                <c:pt idx="62">
                  <c:v>0.6703989474798977</c:v>
                </c:pt>
                <c:pt idx="63">
                  <c:v>0.68155317201002519</c:v>
                </c:pt>
                <c:pt idx="64">
                  <c:v>0.69272016683678683</c:v>
                </c:pt>
                <c:pt idx="65">
                  <c:v>0.70390000767167915</c:v>
                </c:pt>
                <c:pt idx="66">
                  <c:v>0.71509277032866692</c:v>
                </c:pt>
                <c:pt idx="67">
                  <c:v>0.72629853072418393</c:v>
                </c:pt>
                <c:pt idx="68">
                  <c:v>0.73751736487713204</c:v>
                </c:pt>
                <c:pt idx="69">
                  <c:v>0.74874934890888178</c:v>
                </c:pt>
                <c:pt idx="70">
                  <c:v>0.75999455904327262</c:v>
                </c:pt>
                <c:pt idx="71">
                  <c:v>0.77125307160661194</c:v>
                </c:pt>
                <c:pt idx="72">
                  <c:v>0.78252496302767627</c:v>
                </c:pt>
                <c:pt idx="73">
                  <c:v>0.79381030983771017</c:v>
                </c:pt>
                <c:pt idx="74">
                  <c:v>0.80510918867042702</c:v>
                </c:pt>
                <c:pt idx="75">
                  <c:v>0.8164216762620089</c:v>
                </c:pt>
                <c:pt idx="76">
                  <c:v>0.82774784945110591</c:v>
                </c:pt>
                <c:pt idx="77">
                  <c:v>0.83908778517883742</c:v>
                </c:pt>
                <c:pt idx="78">
                  <c:v>0.85044156048879038</c:v>
                </c:pt>
                <c:pt idx="79">
                  <c:v>0.86180925252702134</c:v>
                </c:pt>
                <c:pt idx="80">
                  <c:v>0.87319093854205432</c:v>
                </c:pt>
                <c:pt idx="81">
                  <c:v>0.88458669588488303</c:v>
                </c:pt>
                <c:pt idx="82">
                  <c:v>0.8959966020089688</c:v>
                </c:pt>
                <c:pt idx="83">
                  <c:v>0.90742073447024219</c:v>
                </c:pt>
                <c:pt idx="84">
                  <c:v>0.91885917092710145</c:v>
                </c:pt>
                <c:pt idx="85">
                  <c:v>0.93031198914041424</c:v>
                </c:pt>
                <c:pt idx="86">
                  <c:v>0.9417792669735161</c:v>
                </c:pt>
                <c:pt idx="87">
                  <c:v>0.95326108239221163</c:v>
                </c:pt>
                <c:pt idx="88">
                  <c:v>0.96475751346477367</c:v>
                </c:pt>
                <c:pt idx="89">
                  <c:v>0.97626863836194389</c:v>
                </c:pt>
                <c:pt idx="90">
                  <c:v>0.98779453535693185</c:v>
                </c:pt>
                <c:pt idx="91">
                  <c:v>0.99933528282541684</c:v>
                </c:pt>
                <c:pt idx="92">
                  <c:v>1.0108909592455453</c:v>
                </c:pt>
                <c:pt idx="93">
                  <c:v>1.022461643197933</c:v>
                </c:pt>
                <c:pt idx="94">
                  <c:v>1.0340474133656643</c:v>
                </c:pt>
                <c:pt idx="95">
                  <c:v>1.0456483485342918</c:v>
                </c:pt>
                <c:pt idx="96">
                  <c:v>1.0572645275918364</c:v>
                </c:pt>
                <c:pt idx="97">
                  <c:v>1.0688960295287886</c:v>
                </c:pt>
                <c:pt idx="98">
                  <c:v>1.0805429334381063</c:v>
                </c:pt>
                <c:pt idx="99">
                  <c:v>1.0922053185152165</c:v>
                </c:pt>
                <c:pt idx="100">
                  <c:v>1.103883264058015</c:v>
                </c:pt>
                <c:pt idx="101">
                  <c:v>1.115576849466865</c:v>
                </c:pt>
                <c:pt idx="102">
                  <c:v>1.1272861542445995</c:v>
                </c:pt>
                <c:pt idx="103">
                  <c:v>1.1390112579965197</c:v>
                </c:pt>
                <c:pt idx="104">
                  <c:v>1.1507522404303949</c:v>
                </c:pt>
                <c:pt idx="105">
                  <c:v>1.1625091813564632</c:v>
                </c:pt>
                <c:pt idx="106">
                  <c:v>1.1742821606874312</c:v>
                </c:pt>
                <c:pt idx="107">
                  <c:v>1.1860712584384749</c:v>
                </c:pt>
                <c:pt idx="108">
                  <c:v>1.1978765547272372</c:v>
                </c:pt>
                <c:pt idx="109">
                  <c:v>1.2096981297738312</c:v>
                </c:pt>
                <c:pt idx="110">
                  <c:v>1.2215360639008366</c:v>
                </c:pt>
                <c:pt idx="111">
                  <c:v>1.2333904375333042</c:v>
                </c:pt>
                <c:pt idx="112">
                  <c:v>1.2452613311987504</c:v>
                </c:pt>
                <c:pt idx="113">
                  <c:v>1.2571488255271634</c:v>
                </c:pt>
                <c:pt idx="114">
                  <c:v>1.2690530012509968</c:v>
                </c:pt>
                <c:pt idx="115">
                  <c:v>1.2809739392051753</c:v>
                </c:pt>
                <c:pt idx="116">
                  <c:v>1.2929117203270899</c:v>
                </c:pt>
                <c:pt idx="117">
                  <c:v>1.3048664256566018</c:v>
                </c:pt>
                <c:pt idx="118">
                  <c:v>1.3168381363360402</c:v>
                </c:pt>
                <c:pt idx="119">
                  <c:v>1.3288269336102032</c:v>
                </c:pt>
                <c:pt idx="120">
                  <c:v>1.3408328988263563</c:v>
                </c:pt>
                <c:pt idx="121">
                  <c:v>1.352856113434235</c:v>
                </c:pt>
                <c:pt idx="122">
                  <c:v>1.3648966589860421</c:v>
                </c:pt>
                <c:pt idx="123">
                  <c:v>1.37695461713645</c:v>
                </c:pt>
                <c:pt idx="124">
                  <c:v>1.3890300696425992</c:v>
                </c:pt>
                <c:pt idx="125">
                  <c:v>1.4011230983640981</c:v>
                </c:pt>
                <c:pt idx="126">
                  <c:v>1.4132337852630248</c:v>
                </c:pt>
                <c:pt idx="127">
                  <c:v>1.4253622124039249</c:v>
                </c:pt>
                <c:pt idx="128">
                  <c:v>1.4375084619538134</c:v>
                </c:pt>
                <c:pt idx="129">
                  <c:v>1.4496726161821736</c:v>
                </c:pt>
                <c:pt idx="130">
                  <c:v>1.4618547574609568</c:v>
                </c:pt>
                <c:pt idx="131">
                  <c:v>1.4740549682645836</c:v>
                </c:pt>
                <c:pt idx="132">
                  <c:v>1.4862733311699421</c:v>
                </c:pt>
                <c:pt idx="133">
                  <c:v>1.4985099288563908</c:v>
                </c:pt>
                <c:pt idx="134">
                  <c:v>1.5107648441057544</c:v>
                </c:pt>
                <c:pt idx="135">
                  <c:v>1.5230381598023282</c:v>
                </c:pt>
                <c:pt idx="136">
                  <c:v>1.5353299589328744</c:v>
                </c:pt>
                <c:pt idx="137">
                  <c:v>1.5476403245866248</c:v>
                </c:pt>
                <c:pt idx="138">
                  <c:v>1.5599693399552801</c:v>
                </c:pt>
                <c:pt idx="139">
                  <c:v>1.5723170883330078</c:v>
                </c:pt>
                <c:pt idx="140">
                  <c:v>1.5846836531164463</c:v>
                </c:pt>
                <c:pt idx="141">
                  <c:v>1.5970691178047001</c:v>
                </c:pt>
                <c:pt idx="142">
                  <c:v>1.6094735659993433</c:v>
                </c:pt>
                <c:pt idx="143">
                  <c:v>1.6218970814044202</c:v>
                </c:pt>
                <c:pt idx="144">
                  <c:v>1.6343397478264403</c:v>
                </c:pt>
                <c:pt idx="145">
                  <c:v>1.6468016491743847</c:v>
                </c:pt>
                <c:pt idx="146">
                  <c:v>1.659282869459701</c:v>
                </c:pt>
                <c:pt idx="147">
                  <c:v>1.6717834927963067</c:v>
                </c:pt>
                <c:pt idx="148">
                  <c:v>1.6843036034005869</c:v>
                </c:pt>
                <c:pt idx="149">
                  <c:v>1.6968432855913962</c:v>
                </c:pt>
                <c:pt idx="150">
                  <c:v>1.7094026237900564</c:v>
                </c:pt>
              </c:numCache>
            </c:numRef>
          </c:yVal>
          <c:smooth val="1"/>
          <c:extLst>
            <c:ext xmlns:c16="http://schemas.microsoft.com/office/drawing/2014/chart" uri="{C3380CC4-5D6E-409C-BE32-E72D297353CC}">
              <c16:uniqueId val="{00000001-7945-4D61-8594-DFD573151289}"/>
            </c:ext>
          </c:extLst>
        </c:ser>
        <c:ser>
          <c:idx val="2"/>
          <c:order val="2"/>
          <c:tx>
            <c:v>Diode</c:v>
          </c:tx>
          <c:marker>
            <c:symbol val="none"/>
          </c:marker>
          <c:xVal>
            <c:numRef>
              <c:f>Eff_vs_IOUT!$AZ$7:$AZ$157</c:f>
              <c:numCache>
                <c:formatCode>General</c:formatCode>
                <c:ptCount val="151"/>
                <c:pt idx="0">
                  <c:v>0</c:v>
                </c:pt>
                <c:pt idx="1">
                  <c:v>2E-3</c:v>
                </c:pt>
                <c:pt idx="2">
                  <c:v>4.0000000000000001E-3</c:v>
                </c:pt>
                <c:pt idx="3">
                  <c:v>6.0000000000000001E-3</c:v>
                </c:pt>
                <c:pt idx="4">
                  <c:v>8.0000000000000002E-3</c:v>
                </c:pt>
                <c:pt idx="5">
                  <c:v>0.01</c:v>
                </c:pt>
                <c:pt idx="6">
                  <c:v>1.2E-2</c:v>
                </c:pt>
                <c:pt idx="7">
                  <c:v>1.4E-2</c:v>
                </c:pt>
                <c:pt idx="8">
                  <c:v>1.6E-2</c:v>
                </c:pt>
                <c:pt idx="9">
                  <c:v>1.8000000000000002E-2</c:v>
                </c:pt>
                <c:pt idx="10">
                  <c:v>0.02</c:v>
                </c:pt>
                <c:pt idx="11">
                  <c:v>2.1999999999999999E-2</c:v>
                </c:pt>
                <c:pt idx="12">
                  <c:v>2.4E-2</c:v>
                </c:pt>
                <c:pt idx="13">
                  <c:v>2.6000000000000002E-2</c:v>
                </c:pt>
                <c:pt idx="14">
                  <c:v>2.8000000000000001E-2</c:v>
                </c:pt>
                <c:pt idx="15">
                  <c:v>0.03</c:v>
                </c:pt>
                <c:pt idx="16">
                  <c:v>3.2000000000000001E-2</c:v>
                </c:pt>
                <c:pt idx="17">
                  <c:v>3.4000000000000002E-2</c:v>
                </c:pt>
                <c:pt idx="18">
                  <c:v>3.6000000000000004E-2</c:v>
                </c:pt>
                <c:pt idx="19">
                  <c:v>3.7999999999999999E-2</c:v>
                </c:pt>
                <c:pt idx="20">
                  <c:v>0.04</c:v>
                </c:pt>
                <c:pt idx="21">
                  <c:v>4.2000000000000003E-2</c:v>
                </c:pt>
                <c:pt idx="22">
                  <c:v>4.3999999999999997E-2</c:v>
                </c:pt>
                <c:pt idx="23">
                  <c:v>4.5999999999999999E-2</c:v>
                </c:pt>
                <c:pt idx="24">
                  <c:v>4.8000000000000001E-2</c:v>
                </c:pt>
                <c:pt idx="25">
                  <c:v>0.05</c:v>
                </c:pt>
                <c:pt idx="26">
                  <c:v>5.2000000000000005E-2</c:v>
                </c:pt>
                <c:pt idx="27">
                  <c:v>5.3999999999999999E-2</c:v>
                </c:pt>
                <c:pt idx="28">
                  <c:v>5.6000000000000001E-2</c:v>
                </c:pt>
                <c:pt idx="29">
                  <c:v>5.8000000000000003E-2</c:v>
                </c:pt>
                <c:pt idx="30">
                  <c:v>0.06</c:v>
                </c:pt>
                <c:pt idx="31">
                  <c:v>6.2E-2</c:v>
                </c:pt>
                <c:pt idx="32">
                  <c:v>6.4000000000000001E-2</c:v>
                </c:pt>
                <c:pt idx="33">
                  <c:v>6.6000000000000003E-2</c:v>
                </c:pt>
                <c:pt idx="34">
                  <c:v>6.8000000000000005E-2</c:v>
                </c:pt>
                <c:pt idx="35">
                  <c:v>7.0000000000000007E-2</c:v>
                </c:pt>
                <c:pt idx="36">
                  <c:v>7.2000000000000008E-2</c:v>
                </c:pt>
                <c:pt idx="37">
                  <c:v>7.3999999999999996E-2</c:v>
                </c:pt>
                <c:pt idx="38">
                  <c:v>7.5999999999999998E-2</c:v>
                </c:pt>
                <c:pt idx="39">
                  <c:v>7.8E-2</c:v>
                </c:pt>
                <c:pt idx="40">
                  <c:v>0.08</c:v>
                </c:pt>
                <c:pt idx="41">
                  <c:v>8.2000000000000003E-2</c:v>
                </c:pt>
                <c:pt idx="42">
                  <c:v>8.4000000000000005E-2</c:v>
                </c:pt>
                <c:pt idx="43">
                  <c:v>8.6000000000000007E-2</c:v>
                </c:pt>
                <c:pt idx="44">
                  <c:v>8.7999999999999995E-2</c:v>
                </c:pt>
                <c:pt idx="45">
                  <c:v>0.09</c:v>
                </c:pt>
                <c:pt idx="46">
                  <c:v>9.1999999999999998E-2</c:v>
                </c:pt>
                <c:pt idx="47">
                  <c:v>9.4E-2</c:v>
                </c:pt>
                <c:pt idx="48">
                  <c:v>9.6000000000000002E-2</c:v>
                </c:pt>
                <c:pt idx="49">
                  <c:v>9.8000000000000004E-2</c:v>
                </c:pt>
                <c:pt idx="50">
                  <c:v>0.1</c:v>
                </c:pt>
                <c:pt idx="51">
                  <c:v>0.10200000000000001</c:v>
                </c:pt>
                <c:pt idx="52">
                  <c:v>0.10400000000000001</c:v>
                </c:pt>
                <c:pt idx="53">
                  <c:v>0.106</c:v>
                </c:pt>
                <c:pt idx="54">
                  <c:v>0.108</c:v>
                </c:pt>
                <c:pt idx="55">
                  <c:v>0.11</c:v>
                </c:pt>
                <c:pt idx="56">
                  <c:v>0.112</c:v>
                </c:pt>
                <c:pt idx="57">
                  <c:v>0.114</c:v>
                </c:pt>
                <c:pt idx="58">
                  <c:v>0.11600000000000001</c:v>
                </c:pt>
                <c:pt idx="59">
                  <c:v>0.11800000000000001</c:v>
                </c:pt>
                <c:pt idx="60">
                  <c:v>0.12</c:v>
                </c:pt>
                <c:pt idx="61">
                  <c:v>0.122</c:v>
                </c:pt>
                <c:pt idx="62">
                  <c:v>0.124</c:v>
                </c:pt>
                <c:pt idx="63">
                  <c:v>0.126</c:v>
                </c:pt>
                <c:pt idx="64">
                  <c:v>0.128</c:v>
                </c:pt>
                <c:pt idx="65">
                  <c:v>0.13</c:v>
                </c:pt>
                <c:pt idx="66">
                  <c:v>0.13200000000000001</c:v>
                </c:pt>
                <c:pt idx="67">
                  <c:v>0.13400000000000001</c:v>
                </c:pt>
                <c:pt idx="68">
                  <c:v>0.13600000000000001</c:v>
                </c:pt>
                <c:pt idx="69">
                  <c:v>0.13800000000000001</c:v>
                </c:pt>
                <c:pt idx="70">
                  <c:v>0.14000000000000001</c:v>
                </c:pt>
                <c:pt idx="71">
                  <c:v>0.14200000000000002</c:v>
                </c:pt>
                <c:pt idx="72">
                  <c:v>0.14400000000000002</c:v>
                </c:pt>
                <c:pt idx="73">
                  <c:v>0.14599999999999999</c:v>
                </c:pt>
                <c:pt idx="74">
                  <c:v>0.14799999999999999</c:v>
                </c:pt>
                <c:pt idx="75">
                  <c:v>0.15</c:v>
                </c:pt>
                <c:pt idx="76">
                  <c:v>0.152</c:v>
                </c:pt>
                <c:pt idx="77">
                  <c:v>0.154</c:v>
                </c:pt>
                <c:pt idx="78">
                  <c:v>0.156</c:v>
                </c:pt>
                <c:pt idx="79">
                  <c:v>0.158</c:v>
                </c:pt>
                <c:pt idx="80">
                  <c:v>0.16</c:v>
                </c:pt>
                <c:pt idx="81">
                  <c:v>0.16200000000000001</c:v>
                </c:pt>
                <c:pt idx="82">
                  <c:v>0.16400000000000001</c:v>
                </c:pt>
                <c:pt idx="83">
                  <c:v>0.16600000000000001</c:v>
                </c:pt>
                <c:pt idx="84">
                  <c:v>0.16800000000000001</c:v>
                </c:pt>
                <c:pt idx="85">
                  <c:v>0.17</c:v>
                </c:pt>
                <c:pt idx="86">
                  <c:v>0.17200000000000001</c:v>
                </c:pt>
                <c:pt idx="87">
                  <c:v>0.17400000000000002</c:v>
                </c:pt>
                <c:pt idx="88">
                  <c:v>0.17599999999999999</c:v>
                </c:pt>
                <c:pt idx="89">
                  <c:v>0.17799999999999999</c:v>
                </c:pt>
                <c:pt idx="90">
                  <c:v>0.18</c:v>
                </c:pt>
                <c:pt idx="91">
                  <c:v>0.182</c:v>
                </c:pt>
                <c:pt idx="92">
                  <c:v>0.184</c:v>
                </c:pt>
                <c:pt idx="93">
                  <c:v>0.186</c:v>
                </c:pt>
                <c:pt idx="94">
                  <c:v>0.188</c:v>
                </c:pt>
                <c:pt idx="95">
                  <c:v>0.19</c:v>
                </c:pt>
                <c:pt idx="96">
                  <c:v>0.192</c:v>
                </c:pt>
                <c:pt idx="97">
                  <c:v>0.19400000000000001</c:v>
                </c:pt>
                <c:pt idx="98">
                  <c:v>0.19600000000000001</c:v>
                </c:pt>
                <c:pt idx="99">
                  <c:v>0.19800000000000001</c:v>
                </c:pt>
                <c:pt idx="100">
                  <c:v>0.2</c:v>
                </c:pt>
                <c:pt idx="101">
                  <c:v>0.20200000000000001</c:v>
                </c:pt>
                <c:pt idx="102">
                  <c:v>0.20400000000000001</c:v>
                </c:pt>
                <c:pt idx="103">
                  <c:v>0.20600000000000002</c:v>
                </c:pt>
                <c:pt idx="104">
                  <c:v>0.20800000000000002</c:v>
                </c:pt>
                <c:pt idx="105">
                  <c:v>0.21</c:v>
                </c:pt>
                <c:pt idx="106">
                  <c:v>0.21199999999999999</c:v>
                </c:pt>
                <c:pt idx="107">
                  <c:v>0.214</c:v>
                </c:pt>
                <c:pt idx="108">
                  <c:v>0.216</c:v>
                </c:pt>
                <c:pt idx="109">
                  <c:v>0.218</c:v>
                </c:pt>
                <c:pt idx="110">
                  <c:v>0.22</c:v>
                </c:pt>
                <c:pt idx="111">
                  <c:v>0.222</c:v>
                </c:pt>
                <c:pt idx="112">
                  <c:v>0.224</c:v>
                </c:pt>
                <c:pt idx="113">
                  <c:v>0.22600000000000001</c:v>
                </c:pt>
                <c:pt idx="114">
                  <c:v>0.22800000000000001</c:v>
                </c:pt>
                <c:pt idx="115">
                  <c:v>0.23</c:v>
                </c:pt>
                <c:pt idx="116">
                  <c:v>0.23200000000000001</c:v>
                </c:pt>
                <c:pt idx="117">
                  <c:v>0.23400000000000001</c:v>
                </c:pt>
                <c:pt idx="118">
                  <c:v>0.23600000000000002</c:v>
                </c:pt>
                <c:pt idx="119">
                  <c:v>0.23800000000000002</c:v>
                </c:pt>
                <c:pt idx="120">
                  <c:v>0.24</c:v>
                </c:pt>
                <c:pt idx="121">
                  <c:v>0.24199999999999999</c:v>
                </c:pt>
                <c:pt idx="122">
                  <c:v>0.24399999999999999</c:v>
                </c:pt>
                <c:pt idx="123">
                  <c:v>0.246</c:v>
                </c:pt>
                <c:pt idx="124">
                  <c:v>0.248</c:v>
                </c:pt>
                <c:pt idx="125">
                  <c:v>0.25</c:v>
                </c:pt>
                <c:pt idx="126">
                  <c:v>0.252</c:v>
                </c:pt>
                <c:pt idx="127">
                  <c:v>0.254</c:v>
                </c:pt>
                <c:pt idx="128">
                  <c:v>0.25600000000000001</c:v>
                </c:pt>
                <c:pt idx="129">
                  <c:v>0.25800000000000001</c:v>
                </c:pt>
                <c:pt idx="130">
                  <c:v>0.26</c:v>
                </c:pt>
                <c:pt idx="131">
                  <c:v>0.26200000000000001</c:v>
                </c:pt>
                <c:pt idx="132">
                  <c:v>0.26400000000000001</c:v>
                </c:pt>
                <c:pt idx="133">
                  <c:v>0.26600000000000001</c:v>
                </c:pt>
                <c:pt idx="134">
                  <c:v>0.26800000000000002</c:v>
                </c:pt>
                <c:pt idx="135">
                  <c:v>0.27</c:v>
                </c:pt>
                <c:pt idx="136">
                  <c:v>0.27200000000000002</c:v>
                </c:pt>
                <c:pt idx="137">
                  <c:v>0.27400000000000002</c:v>
                </c:pt>
                <c:pt idx="138">
                  <c:v>0.27600000000000002</c:v>
                </c:pt>
                <c:pt idx="139">
                  <c:v>0.27800000000000002</c:v>
                </c:pt>
                <c:pt idx="140">
                  <c:v>0.28000000000000003</c:v>
                </c:pt>
                <c:pt idx="141">
                  <c:v>0.28200000000000003</c:v>
                </c:pt>
                <c:pt idx="142">
                  <c:v>0.28400000000000003</c:v>
                </c:pt>
                <c:pt idx="143">
                  <c:v>0.28600000000000003</c:v>
                </c:pt>
                <c:pt idx="144">
                  <c:v>0.28800000000000003</c:v>
                </c:pt>
                <c:pt idx="145">
                  <c:v>0.28999999999999998</c:v>
                </c:pt>
                <c:pt idx="146">
                  <c:v>0.29199999999999998</c:v>
                </c:pt>
                <c:pt idx="147">
                  <c:v>0.29399999999999998</c:v>
                </c:pt>
                <c:pt idx="148">
                  <c:v>0.29599999999999999</c:v>
                </c:pt>
                <c:pt idx="149">
                  <c:v>0.29799999999999999</c:v>
                </c:pt>
                <c:pt idx="150">
                  <c:v>0.3</c:v>
                </c:pt>
              </c:numCache>
            </c:numRef>
          </c:xVal>
          <c:yVal>
            <c:numRef>
              <c:f>Eff_vs_IOUT!$BU$7:$BU$157</c:f>
              <c:numCache>
                <c:formatCode>General</c:formatCode>
                <c:ptCount val="151"/>
                <c:pt idx="0">
                  <c:v>0.75525000000000009</c:v>
                </c:pt>
                <c:pt idx="1">
                  <c:v>0.75609000000000004</c:v>
                </c:pt>
                <c:pt idx="2">
                  <c:v>0.7569300000000001</c:v>
                </c:pt>
                <c:pt idx="3">
                  <c:v>0.75777000000000005</c:v>
                </c:pt>
                <c:pt idx="4">
                  <c:v>0.75861000000000012</c:v>
                </c:pt>
                <c:pt idx="5">
                  <c:v>0.75945000000000007</c:v>
                </c:pt>
                <c:pt idx="6">
                  <c:v>0.76029000000000013</c:v>
                </c:pt>
                <c:pt idx="7">
                  <c:v>0.76113000000000008</c:v>
                </c:pt>
                <c:pt idx="8">
                  <c:v>0.76197000000000004</c:v>
                </c:pt>
                <c:pt idx="9">
                  <c:v>0.7628100000000001</c:v>
                </c:pt>
                <c:pt idx="10">
                  <c:v>0.76365000000000005</c:v>
                </c:pt>
                <c:pt idx="11">
                  <c:v>0.76449000000000011</c:v>
                </c:pt>
                <c:pt idx="12">
                  <c:v>0.76533000000000007</c:v>
                </c:pt>
                <c:pt idx="13">
                  <c:v>0.76617000000000013</c:v>
                </c:pt>
                <c:pt idx="14">
                  <c:v>0.76701000000000008</c:v>
                </c:pt>
                <c:pt idx="15">
                  <c:v>0.76785000000000003</c:v>
                </c:pt>
                <c:pt idx="16">
                  <c:v>0.7686900000000001</c:v>
                </c:pt>
                <c:pt idx="17">
                  <c:v>0.76953000000000005</c:v>
                </c:pt>
                <c:pt idx="18">
                  <c:v>0.77037000000000011</c:v>
                </c:pt>
                <c:pt idx="19">
                  <c:v>0.77121000000000006</c:v>
                </c:pt>
                <c:pt idx="20">
                  <c:v>0.77205000000000013</c:v>
                </c:pt>
                <c:pt idx="21">
                  <c:v>0.77289000000000008</c:v>
                </c:pt>
                <c:pt idx="22">
                  <c:v>0.77373000000000014</c:v>
                </c:pt>
                <c:pt idx="23">
                  <c:v>0.77457000000000009</c:v>
                </c:pt>
                <c:pt idx="24">
                  <c:v>0.77541000000000004</c:v>
                </c:pt>
                <c:pt idx="25">
                  <c:v>0.77625000000000011</c:v>
                </c:pt>
                <c:pt idx="26">
                  <c:v>0.77709000000000006</c:v>
                </c:pt>
                <c:pt idx="27">
                  <c:v>0.77793000000000012</c:v>
                </c:pt>
                <c:pt idx="28">
                  <c:v>0.77877000000000007</c:v>
                </c:pt>
                <c:pt idx="29">
                  <c:v>0.77961000000000014</c:v>
                </c:pt>
                <c:pt idx="30">
                  <c:v>0.78045000000000009</c:v>
                </c:pt>
                <c:pt idx="31">
                  <c:v>0.78129000000000004</c:v>
                </c:pt>
                <c:pt idx="32">
                  <c:v>0.7821300000000001</c:v>
                </c:pt>
                <c:pt idx="33">
                  <c:v>0.78297000000000005</c:v>
                </c:pt>
                <c:pt idx="34">
                  <c:v>0.78381000000000012</c:v>
                </c:pt>
                <c:pt idx="35">
                  <c:v>0.78465000000000007</c:v>
                </c:pt>
                <c:pt idx="36">
                  <c:v>0.78549000000000013</c:v>
                </c:pt>
                <c:pt idx="37">
                  <c:v>0.78633000000000008</c:v>
                </c:pt>
                <c:pt idx="38">
                  <c:v>0.78717000000000004</c:v>
                </c:pt>
                <c:pt idx="39">
                  <c:v>0.7880100000000001</c:v>
                </c:pt>
                <c:pt idx="40">
                  <c:v>0.78885000000000005</c:v>
                </c:pt>
                <c:pt idx="41">
                  <c:v>0.78969000000000011</c:v>
                </c:pt>
                <c:pt idx="42">
                  <c:v>0.79053000000000007</c:v>
                </c:pt>
                <c:pt idx="43">
                  <c:v>0.79137000000000013</c:v>
                </c:pt>
                <c:pt idx="44">
                  <c:v>0.79221000000000008</c:v>
                </c:pt>
                <c:pt idx="45">
                  <c:v>0.79305000000000003</c:v>
                </c:pt>
                <c:pt idx="46">
                  <c:v>0.7938900000000001</c:v>
                </c:pt>
                <c:pt idx="47">
                  <c:v>0.79473000000000005</c:v>
                </c:pt>
                <c:pt idx="48">
                  <c:v>0.79557000000000011</c:v>
                </c:pt>
                <c:pt idx="49">
                  <c:v>0.79641000000000006</c:v>
                </c:pt>
                <c:pt idx="50">
                  <c:v>0.79725000000000013</c:v>
                </c:pt>
                <c:pt idx="51">
                  <c:v>0.79809000000000008</c:v>
                </c:pt>
                <c:pt idx="52">
                  <c:v>0.79893000000000014</c:v>
                </c:pt>
                <c:pt idx="53">
                  <c:v>0.79977000000000009</c:v>
                </c:pt>
                <c:pt idx="54">
                  <c:v>0.80061000000000004</c:v>
                </c:pt>
                <c:pt idx="55">
                  <c:v>0.80145000000000011</c:v>
                </c:pt>
                <c:pt idx="56">
                  <c:v>0.80229000000000006</c:v>
                </c:pt>
                <c:pt idx="57">
                  <c:v>0.80313000000000012</c:v>
                </c:pt>
                <c:pt idx="58">
                  <c:v>0.80397000000000007</c:v>
                </c:pt>
                <c:pt idx="59">
                  <c:v>0.80481000000000014</c:v>
                </c:pt>
                <c:pt idx="60">
                  <c:v>0.80565000000000009</c:v>
                </c:pt>
                <c:pt idx="61">
                  <c:v>0.80649000000000004</c:v>
                </c:pt>
                <c:pt idx="62">
                  <c:v>0.8073300000000001</c:v>
                </c:pt>
                <c:pt idx="63">
                  <c:v>0.80817000000000005</c:v>
                </c:pt>
                <c:pt idx="64">
                  <c:v>0.80901000000000012</c:v>
                </c:pt>
                <c:pt idx="65">
                  <c:v>0.80985000000000007</c:v>
                </c:pt>
                <c:pt idx="66">
                  <c:v>0.81069000000000013</c:v>
                </c:pt>
                <c:pt idx="67">
                  <c:v>0.81153000000000008</c:v>
                </c:pt>
                <c:pt idx="68">
                  <c:v>0.81237000000000004</c:v>
                </c:pt>
                <c:pt idx="69">
                  <c:v>0.8132100000000001</c:v>
                </c:pt>
                <c:pt idx="70">
                  <c:v>0.81405000000000005</c:v>
                </c:pt>
                <c:pt idx="71">
                  <c:v>0.81489000000000011</c:v>
                </c:pt>
                <c:pt idx="72">
                  <c:v>0.81573000000000007</c:v>
                </c:pt>
                <c:pt idx="73">
                  <c:v>0.81657000000000013</c:v>
                </c:pt>
                <c:pt idx="74">
                  <c:v>0.81741000000000008</c:v>
                </c:pt>
                <c:pt idx="75">
                  <c:v>0.81825000000000014</c:v>
                </c:pt>
                <c:pt idx="76">
                  <c:v>0.8190900000000001</c:v>
                </c:pt>
                <c:pt idx="77">
                  <c:v>0.81993000000000005</c:v>
                </c:pt>
                <c:pt idx="78">
                  <c:v>0.82077000000000011</c:v>
                </c:pt>
                <c:pt idx="79">
                  <c:v>0.82161000000000006</c:v>
                </c:pt>
                <c:pt idx="80">
                  <c:v>0.82245000000000013</c:v>
                </c:pt>
                <c:pt idx="81">
                  <c:v>0.82329000000000008</c:v>
                </c:pt>
                <c:pt idx="82">
                  <c:v>0.82413000000000003</c:v>
                </c:pt>
                <c:pt idx="83">
                  <c:v>0.82497000000000009</c:v>
                </c:pt>
                <c:pt idx="84">
                  <c:v>0.82581000000000004</c:v>
                </c:pt>
                <c:pt idx="85">
                  <c:v>0.82665000000000011</c:v>
                </c:pt>
                <c:pt idx="86">
                  <c:v>0.82749000000000006</c:v>
                </c:pt>
                <c:pt idx="87">
                  <c:v>0.82833000000000012</c:v>
                </c:pt>
                <c:pt idx="88">
                  <c:v>0.82917000000000007</c:v>
                </c:pt>
                <c:pt idx="89">
                  <c:v>0.83001000000000014</c:v>
                </c:pt>
                <c:pt idx="90">
                  <c:v>0.83085000000000009</c:v>
                </c:pt>
                <c:pt idx="91">
                  <c:v>0.83169000000000004</c:v>
                </c:pt>
                <c:pt idx="92">
                  <c:v>0.8325300000000001</c:v>
                </c:pt>
                <c:pt idx="93">
                  <c:v>0.83337000000000006</c:v>
                </c:pt>
                <c:pt idx="94">
                  <c:v>0.83421000000000012</c:v>
                </c:pt>
                <c:pt idx="95">
                  <c:v>0.83505000000000007</c:v>
                </c:pt>
                <c:pt idx="96">
                  <c:v>0.83589000000000013</c:v>
                </c:pt>
                <c:pt idx="97">
                  <c:v>0.83673000000000008</c:v>
                </c:pt>
                <c:pt idx="98">
                  <c:v>0.83757000000000015</c:v>
                </c:pt>
                <c:pt idx="99">
                  <c:v>0.8384100000000001</c:v>
                </c:pt>
                <c:pt idx="100">
                  <c:v>0.83925000000000005</c:v>
                </c:pt>
                <c:pt idx="101">
                  <c:v>0.84009000000000011</c:v>
                </c:pt>
                <c:pt idx="102">
                  <c:v>0.84093000000000007</c:v>
                </c:pt>
                <c:pt idx="103">
                  <c:v>0.84177000000000013</c:v>
                </c:pt>
                <c:pt idx="104">
                  <c:v>0.84261000000000008</c:v>
                </c:pt>
                <c:pt idx="105">
                  <c:v>0.84345000000000003</c:v>
                </c:pt>
                <c:pt idx="106">
                  <c:v>0.8442900000000001</c:v>
                </c:pt>
                <c:pt idx="107">
                  <c:v>0.84513000000000005</c:v>
                </c:pt>
                <c:pt idx="108">
                  <c:v>0.84597000000000011</c:v>
                </c:pt>
                <c:pt idx="109">
                  <c:v>0.84681000000000006</c:v>
                </c:pt>
                <c:pt idx="110">
                  <c:v>0.84765000000000013</c:v>
                </c:pt>
                <c:pt idx="111">
                  <c:v>0.84849000000000008</c:v>
                </c:pt>
                <c:pt idx="112">
                  <c:v>0.84933000000000014</c:v>
                </c:pt>
                <c:pt idx="113">
                  <c:v>0.85017000000000009</c:v>
                </c:pt>
                <c:pt idx="114">
                  <c:v>0.85101000000000004</c:v>
                </c:pt>
                <c:pt idx="115">
                  <c:v>0.85185000000000011</c:v>
                </c:pt>
                <c:pt idx="116">
                  <c:v>0.85269000000000006</c:v>
                </c:pt>
                <c:pt idx="117">
                  <c:v>0.85353000000000012</c:v>
                </c:pt>
                <c:pt idx="118">
                  <c:v>0.85437000000000007</c:v>
                </c:pt>
                <c:pt idx="119">
                  <c:v>0.85521000000000014</c:v>
                </c:pt>
                <c:pt idx="120">
                  <c:v>0.85605000000000009</c:v>
                </c:pt>
                <c:pt idx="121">
                  <c:v>0.85689000000000004</c:v>
                </c:pt>
                <c:pt idx="122">
                  <c:v>0.8577300000000001</c:v>
                </c:pt>
                <c:pt idx="123">
                  <c:v>0.85857000000000006</c:v>
                </c:pt>
                <c:pt idx="124">
                  <c:v>0.85941000000000012</c:v>
                </c:pt>
                <c:pt idx="125">
                  <c:v>0.86025000000000007</c:v>
                </c:pt>
                <c:pt idx="126">
                  <c:v>0.86109000000000013</c:v>
                </c:pt>
                <c:pt idx="127">
                  <c:v>0.86193000000000008</c:v>
                </c:pt>
                <c:pt idx="128">
                  <c:v>0.86277000000000004</c:v>
                </c:pt>
                <c:pt idx="129">
                  <c:v>0.8636100000000001</c:v>
                </c:pt>
                <c:pt idx="130">
                  <c:v>0.86445000000000005</c:v>
                </c:pt>
                <c:pt idx="131">
                  <c:v>0.86529000000000011</c:v>
                </c:pt>
                <c:pt idx="132">
                  <c:v>0.86613000000000007</c:v>
                </c:pt>
                <c:pt idx="133">
                  <c:v>0.86697000000000013</c:v>
                </c:pt>
                <c:pt idx="134">
                  <c:v>0.86781000000000008</c:v>
                </c:pt>
                <c:pt idx="135">
                  <c:v>0.86865000000000014</c:v>
                </c:pt>
                <c:pt idx="136">
                  <c:v>0.8694900000000001</c:v>
                </c:pt>
                <c:pt idx="137">
                  <c:v>0.87033000000000005</c:v>
                </c:pt>
                <c:pt idx="138">
                  <c:v>0.87117000000000011</c:v>
                </c:pt>
                <c:pt idx="139">
                  <c:v>0.87201000000000006</c:v>
                </c:pt>
                <c:pt idx="140">
                  <c:v>0.87285000000000013</c:v>
                </c:pt>
                <c:pt idx="141">
                  <c:v>0.87369000000000008</c:v>
                </c:pt>
                <c:pt idx="142">
                  <c:v>0.87453000000000014</c:v>
                </c:pt>
                <c:pt idx="143">
                  <c:v>0.87537000000000009</c:v>
                </c:pt>
                <c:pt idx="144">
                  <c:v>0.87621000000000016</c:v>
                </c:pt>
                <c:pt idx="145">
                  <c:v>0.87705000000000011</c:v>
                </c:pt>
                <c:pt idx="146">
                  <c:v>0.87789000000000006</c:v>
                </c:pt>
                <c:pt idx="147">
                  <c:v>0.87873000000000012</c:v>
                </c:pt>
                <c:pt idx="148">
                  <c:v>0.87957000000000007</c:v>
                </c:pt>
                <c:pt idx="149">
                  <c:v>0.88041000000000014</c:v>
                </c:pt>
                <c:pt idx="150">
                  <c:v>0.88125000000000009</c:v>
                </c:pt>
              </c:numCache>
            </c:numRef>
          </c:yVal>
          <c:smooth val="1"/>
          <c:extLst>
            <c:ext xmlns:c16="http://schemas.microsoft.com/office/drawing/2014/chart" uri="{C3380CC4-5D6E-409C-BE32-E72D297353CC}">
              <c16:uniqueId val="{00000002-7945-4D61-8594-DFD573151289}"/>
            </c:ext>
          </c:extLst>
        </c:ser>
        <c:ser>
          <c:idx val="3"/>
          <c:order val="3"/>
          <c:tx>
            <c:v>RCS</c:v>
          </c:tx>
          <c:marker>
            <c:symbol val="none"/>
          </c:marker>
          <c:xVal>
            <c:numRef>
              <c:f>Eff_vs_IOUT!$AZ$7:$AZ$157</c:f>
              <c:numCache>
                <c:formatCode>General</c:formatCode>
                <c:ptCount val="151"/>
                <c:pt idx="0">
                  <c:v>0</c:v>
                </c:pt>
                <c:pt idx="1">
                  <c:v>2E-3</c:v>
                </c:pt>
                <c:pt idx="2">
                  <c:v>4.0000000000000001E-3</c:v>
                </c:pt>
                <c:pt idx="3">
                  <c:v>6.0000000000000001E-3</c:v>
                </c:pt>
                <c:pt idx="4">
                  <c:v>8.0000000000000002E-3</c:v>
                </c:pt>
                <c:pt idx="5">
                  <c:v>0.01</c:v>
                </c:pt>
                <c:pt idx="6">
                  <c:v>1.2E-2</c:v>
                </c:pt>
                <c:pt idx="7">
                  <c:v>1.4E-2</c:v>
                </c:pt>
                <c:pt idx="8">
                  <c:v>1.6E-2</c:v>
                </c:pt>
                <c:pt idx="9">
                  <c:v>1.8000000000000002E-2</c:v>
                </c:pt>
                <c:pt idx="10">
                  <c:v>0.02</c:v>
                </c:pt>
                <c:pt idx="11">
                  <c:v>2.1999999999999999E-2</c:v>
                </c:pt>
                <c:pt idx="12">
                  <c:v>2.4E-2</c:v>
                </c:pt>
                <c:pt idx="13">
                  <c:v>2.6000000000000002E-2</c:v>
                </c:pt>
                <c:pt idx="14">
                  <c:v>2.8000000000000001E-2</c:v>
                </c:pt>
                <c:pt idx="15">
                  <c:v>0.03</c:v>
                </c:pt>
                <c:pt idx="16">
                  <c:v>3.2000000000000001E-2</c:v>
                </c:pt>
                <c:pt idx="17">
                  <c:v>3.4000000000000002E-2</c:v>
                </c:pt>
                <c:pt idx="18">
                  <c:v>3.6000000000000004E-2</c:v>
                </c:pt>
                <c:pt idx="19">
                  <c:v>3.7999999999999999E-2</c:v>
                </c:pt>
                <c:pt idx="20">
                  <c:v>0.04</c:v>
                </c:pt>
                <c:pt idx="21">
                  <c:v>4.2000000000000003E-2</c:v>
                </c:pt>
                <c:pt idx="22">
                  <c:v>4.3999999999999997E-2</c:v>
                </c:pt>
                <c:pt idx="23">
                  <c:v>4.5999999999999999E-2</c:v>
                </c:pt>
                <c:pt idx="24">
                  <c:v>4.8000000000000001E-2</c:v>
                </c:pt>
                <c:pt idx="25">
                  <c:v>0.05</c:v>
                </c:pt>
                <c:pt idx="26">
                  <c:v>5.2000000000000005E-2</c:v>
                </c:pt>
                <c:pt idx="27">
                  <c:v>5.3999999999999999E-2</c:v>
                </c:pt>
                <c:pt idx="28">
                  <c:v>5.6000000000000001E-2</c:v>
                </c:pt>
                <c:pt idx="29">
                  <c:v>5.8000000000000003E-2</c:v>
                </c:pt>
                <c:pt idx="30">
                  <c:v>0.06</c:v>
                </c:pt>
                <c:pt idx="31">
                  <c:v>6.2E-2</c:v>
                </c:pt>
                <c:pt idx="32">
                  <c:v>6.4000000000000001E-2</c:v>
                </c:pt>
                <c:pt idx="33">
                  <c:v>6.6000000000000003E-2</c:v>
                </c:pt>
                <c:pt idx="34">
                  <c:v>6.8000000000000005E-2</c:v>
                </c:pt>
                <c:pt idx="35">
                  <c:v>7.0000000000000007E-2</c:v>
                </c:pt>
                <c:pt idx="36">
                  <c:v>7.2000000000000008E-2</c:v>
                </c:pt>
                <c:pt idx="37">
                  <c:v>7.3999999999999996E-2</c:v>
                </c:pt>
                <c:pt idx="38">
                  <c:v>7.5999999999999998E-2</c:v>
                </c:pt>
                <c:pt idx="39">
                  <c:v>7.8E-2</c:v>
                </c:pt>
                <c:pt idx="40">
                  <c:v>0.08</c:v>
                </c:pt>
                <c:pt idx="41">
                  <c:v>8.2000000000000003E-2</c:v>
                </c:pt>
                <c:pt idx="42">
                  <c:v>8.4000000000000005E-2</c:v>
                </c:pt>
                <c:pt idx="43">
                  <c:v>8.6000000000000007E-2</c:v>
                </c:pt>
                <c:pt idx="44">
                  <c:v>8.7999999999999995E-2</c:v>
                </c:pt>
                <c:pt idx="45">
                  <c:v>0.09</c:v>
                </c:pt>
                <c:pt idx="46">
                  <c:v>9.1999999999999998E-2</c:v>
                </c:pt>
                <c:pt idx="47">
                  <c:v>9.4E-2</c:v>
                </c:pt>
                <c:pt idx="48">
                  <c:v>9.6000000000000002E-2</c:v>
                </c:pt>
                <c:pt idx="49">
                  <c:v>9.8000000000000004E-2</c:v>
                </c:pt>
                <c:pt idx="50">
                  <c:v>0.1</c:v>
                </c:pt>
                <c:pt idx="51">
                  <c:v>0.10200000000000001</c:v>
                </c:pt>
                <c:pt idx="52">
                  <c:v>0.10400000000000001</c:v>
                </c:pt>
                <c:pt idx="53">
                  <c:v>0.106</c:v>
                </c:pt>
                <c:pt idx="54">
                  <c:v>0.108</c:v>
                </c:pt>
                <c:pt idx="55">
                  <c:v>0.11</c:v>
                </c:pt>
                <c:pt idx="56">
                  <c:v>0.112</c:v>
                </c:pt>
                <c:pt idx="57">
                  <c:v>0.114</c:v>
                </c:pt>
                <c:pt idx="58">
                  <c:v>0.11600000000000001</c:v>
                </c:pt>
                <c:pt idx="59">
                  <c:v>0.11800000000000001</c:v>
                </c:pt>
                <c:pt idx="60">
                  <c:v>0.12</c:v>
                </c:pt>
                <c:pt idx="61">
                  <c:v>0.122</c:v>
                </c:pt>
                <c:pt idx="62">
                  <c:v>0.124</c:v>
                </c:pt>
                <c:pt idx="63">
                  <c:v>0.126</c:v>
                </c:pt>
                <c:pt idx="64">
                  <c:v>0.128</c:v>
                </c:pt>
                <c:pt idx="65">
                  <c:v>0.13</c:v>
                </c:pt>
                <c:pt idx="66">
                  <c:v>0.13200000000000001</c:v>
                </c:pt>
                <c:pt idx="67">
                  <c:v>0.13400000000000001</c:v>
                </c:pt>
                <c:pt idx="68">
                  <c:v>0.13600000000000001</c:v>
                </c:pt>
                <c:pt idx="69">
                  <c:v>0.13800000000000001</c:v>
                </c:pt>
                <c:pt idx="70">
                  <c:v>0.14000000000000001</c:v>
                </c:pt>
                <c:pt idx="71">
                  <c:v>0.14200000000000002</c:v>
                </c:pt>
                <c:pt idx="72">
                  <c:v>0.14400000000000002</c:v>
                </c:pt>
                <c:pt idx="73">
                  <c:v>0.14599999999999999</c:v>
                </c:pt>
                <c:pt idx="74">
                  <c:v>0.14799999999999999</c:v>
                </c:pt>
                <c:pt idx="75">
                  <c:v>0.15</c:v>
                </c:pt>
                <c:pt idx="76">
                  <c:v>0.152</c:v>
                </c:pt>
                <c:pt idx="77">
                  <c:v>0.154</c:v>
                </c:pt>
                <c:pt idx="78">
                  <c:v>0.156</c:v>
                </c:pt>
                <c:pt idx="79">
                  <c:v>0.158</c:v>
                </c:pt>
                <c:pt idx="80">
                  <c:v>0.16</c:v>
                </c:pt>
                <c:pt idx="81">
                  <c:v>0.16200000000000001</c:v>
                </c:pt>
                <c:pt idx="82">
                  <c:v>0.16400000000000001</c:v>
                </c:pt>
                <c:pt idx="83">
                  <c:v>0.16600000000000001</c:v>
                </c:pt>
                <c:pt idx="84">
                  <c:v>0.16800000000000001</c:v>
                </c:pt>
                <c:pt idx="85">
                  <c:v>0.17</c:v>
                </c:pt>
                <c:pt idx="86">
                  <c:v>0.17200000000000001</c:v>
                </c:pt>
                <c:pt idx="87">
                  <c:v>0.17400000000000002</c:v>
                </c:pt>
                <c:pt idx="88">
                  <c:v>0.17599999999999999</c:v>
                </c:pt>
                <c:pt idx="89">
                  <c:v>0.17799999999999999</c:v>
                </c:pt>
                <c:pt idx="90">
                  <c:v>0.18</c:v>
                </c:pt>
                <c:pt idx="91">
                  <c:v>0.182</c:v>
                </c:pt>
                <c:pt idx="92">
                  <c:v>0.184</c:v>
                </c:pt>
                <c:pt idx="93">
                  <c:v>0.186</c:v>
                </c:pt>
                <c:pt idx="94">
                  <c:v>0.188</c:v>
                </c:pt>
                <c:pt idx="95">
                  <c:v>0.19</c:v>
                </c:pt>
                <c:pt idx="96">
                  <c:v>0.192</c:v>
                </c:pt>
                <c:pt idx="97">
                  <c:v>0.19400000000000001</c:v>
                </c:pt>
                <c:pt idx="98">
                  <c:v>0.19600000000000001</c:v>
                </c:pt>
                <c:pt idx="99">
                  <c:v>0.19800000000000001</c:v>
                </c:pt>
                <c:pt idx="100">
                  <c:v>0.2</c:v>
                </c:pt>
                <c:pt idx="101">
                  <c:v>0.20200000000000001</c:v>
                </c:pt>
                <c:pt idx="102">
                  <c:v>0.20400000000000001</c:v>
                </c:pt>
                <c:pt idx="103">
                  <c:v>0.20600000000000002</c:v>
                </c:pt>
                <c:pt idx="104">
                  <c:v>0.20800000000000002</c:v>
                </c:pt>
                <c:pt idx="105">
                  <c:v>0.21</c:v>
                </c:pt>
                <c:pt idx="106">
                  <c:v>0.21199999999999999</c:v>
                </c:pt>
                <c:pt idx="107">
                  <c:v>0.214</c:v>
                </c:pt>
                <c:pt idx="108">
                  <c:v>0.216</c:v>
                </c:pt>
                <c:pt idx="109">
                  <c:v>0.218</c:v>
                </c:pt>
                <c:pt idx="110">
                  <c:v>0.22</c:v>
                </c:pt>
                <c:pt idx="111">
                  <c:v>0.222</c:v>
                </c:pt>
                <c:pt idx="112">
                  <c:v>0.224</c:v>
                </c:pt>
                <c:pt idx="113">
                  <c:v>0.22600000000000001</c:v>
                </c:pt>
                <c:pt idx="114">
                  <c:v>0.22800000000000001</c:v>
                </c:pt>
                <c:pt idx="115">
                  <c:v>0.23</c:v>
                </c:pt>
                <c:pt idx="116">
                  <c:v>0.23200000000000001</c:v>
                </c:pt>
                <c:pt idx="117">
                  <c:v>0.23400000000000001</c:v>
                </c:pt>
                <c:pt idx="118">
                  <c:v>0.23600000000000002</c:v>
                </c:pt>
                <c:pt idx="119">
                  <c:v>0.23800000000000002</c:v>
                </c:pt>
                <c:pt idx="120">
                  <c:v>0.24</c:v>
                </c:pt>
                <c:pt idx="121">
                  <c:v>0.24199999999999999</c:v>
                </c:pt>
                <c:pt idx="122">
                  <c:v>0.24399999999999999</c:v>
                </c:pt>
                <c:pt idx="123">
                  <c:v>0.246</c:v>
                </c:pt>
                <c:pt idx="124">
                  <c:v>0.248</c:v>
                </c:pt>
                <c:pt idx="125">
                  <c:v>0.25</c:v>
                </c:pt>
                <c:pt idx="126">
                  <c:v>0.252</c:v>
                </c:pt>
                <c:pt idx="127">
                  <c:v>0.254</c:v>
                </c:pt>
                <c:pt idx="128">
                  <c:v>0.25600000000000001</c:v>
                </c:pt>
                <c:pt idx="129">
                  <c:v>0.25800000000000001</c:v>
                </c:pt>
                <c:pt idx="130">
                  <c:v>0.26</c:v>
                </c:pt>
                <c:pt idx="131">
                  <c:v>0.26200000000000001</c:v>
                </c:pt>
                <c:pt idx="132">
                  <c:v>0.26400000000000001</c:v>
                </c:pt>
                <c:pt idx="133">
                  <c:v>0.26600000000000001</c:v>
                </c:pt>
                <c:pt idx="134">
                  <c:v>0.26800000000000002</c:v>
                </c:pt>
                <c:pt idx="135">
                  <c:v>0.27</c:v>
                </c:pt>
                <c:pt idx="136">
                  <c:v>0.27200000000000002</c:v>
                </c:pt>
                <c:pt idx="137">
                  <c:v>0.27400000000000002</c:v>
                </c:pt>
                <c:pt idx="138">
                  <c:v>0.27600000000000002</c:v>
                </c:pt>
                <c:pt idx="139">
                  <c:v>0.27800000000000002</c:v>
                </c:pt>
                <c:pt idx="140">
                  <c:v>0.28000000000000003</c:v>
                </c:pt>
                <c:pt idx="141">
                  <c:v>0.28200000000000003</c:v>
                </c:pt>
                <c:pt idx="142">
                  <c:v>0.28400000000000003</c:v>
                </c:pt>
                <c:pt idx="143">
                  <c:v>0.28600000000000003</c:v>
                </c:pt>
                <c:pt idx="144">
                  <c:v>0.28800000000000003</c:v>
                </c:pt>
                <c:pt idx="145">
                  <c:v>0.28999999999999998</c:v>
                </c:pt>
                <c:pt idx="146">
                  <c:v>0.29199999999999998</c:v>
                </c:pt>
                <c:pt idx="147">
                  <c:v>0.29399999999999998</c:v>
                </c:pt>
                <c:pt idx="148">
                  <c:v>0.29599999999999999</c:v>
                </c:pt>
                <c:pt idx="149">
                  <c:v>0.29799999999999999</c:v>
                </c:pt>
                <c:pt idx="150">
                  <c:v>0.3</c:v>
                </c:pt>
              </c:numCache>
            </c:numRef>
          </c:xVal>
          <c:yVal>
            <c:numRef>
              <c:f>Eff_vs_IOUT!$BV$7:$BV$157</c:f>
              <c:numCache>
                <c:formatCode>General</c:formatCode>
                <c:ptCount val="1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numCache>
            </c:numRef>
          </c:yVal>
          <c:smooth val="1"/>
          <c:extLst>
            <c:ext xmlns:c16="http://schemas.microsoft.com/office/drawing/2014/chart" uri="{C3380CC4-5D6E-409C-BE32-E72D297353CC}">
              <c16:uniqueId val="{00000003-7945-4D61-8594-DFD573151289}"/>
            </c:ext>
          </c:extLst>
        </c:ser>
        <c:dLbls>
          <c:showLegendKey val="0"/>
          <c:showVal val="0"/>
          <c:showCatName val="0"/>
          <c:showSerName val="0"/>
          <c:showPercent val="0"/>
          <c:showBubbleSize val="0"/>
        </c:dLbls>
        <c:axId val="69854720"/>
        <c:axId val="69853184"/>
      </c:scatterChart>
      <c:valAx>
        <c:axId val="69845376"/>
        <c:scaling>
          <c:orientation val="minMax"/>
          <c:max val="6"/>
        </c:scaling>
        <c:delete val="0"/>
        <c:axPos val="b"/>
        <c:majorGridlines/>
        <c:numFmt formatCode="General" sourceLinked="1"/>
        <c:majorTickMark val="out"/>
        <c:minorTickMark val="none"/>
        <c:tickLblPos val="nextTo"/>
        <c:crossAx val="69846912"/>
        <c:crosses val="autoZero"/>
        <c:crossBetween val="midCat"/>
      </c:valAx>
      <c:valAx>
        <c:axId val="69846912"/>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69845376"/>
        <c:crosses val="autoZero"/>
        <c:crossBetween val="midCat"/>
      </c:valAx>
      <c:valAx>
        <c:axId val="69853184"/>
        <c:scaling>
          <c:orientation val="minMax"/>
        </c:scaling>
        <c:delete val="0"/>
        <c:axPos val="r"/>
        <c:numFmt formatCode="General" sourceLinked="1"/>
        <c:majorTickMark val="out"/>
        <c:minorTickMark val="none"/>
        <c:tickLblPos val="nextTo"/>
        <c:crossAx val="69854720"/>
        <c:crosses val="max"/>
        <c:crossBetween val="midCat"/>
      </c:valAx>
      <c:valAx>
        <c:axId val="69854720"/>
        <c:scaling>
          <c:orientation val="minMax"/>
        </c:scaling>
        <c:delete val="1"/>
        <c:axPos val="b"/>
        <c:numFmt formatCode="General" sourceLinked="1"/>
        <c:majorTickMark val="out"/>
        <c:minorTickMark val="none"/>
        <c:tickLblPos val="nextTo"/>
        <c:crossAx val="69853184"/>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Eff_vs_IOUT!$AZ$7:$AZ$157</c:f>
              <c:numCache>
                <c:formatCode>General</c:formatCode>
                <c:ptCount val="151"/>
                <c:pt idx="0">
                  <c:v>0</c:v>
                </c:pt>
                <c:pt idx="1">
                  <c:v>2E-3</c:v>
                </c:pt>
                <c:pt idx="2">
                  <c:v>4.0000000000000001E-3</c:v>
                </c:pt>
                <c:pt idx="3">
                  <c:v>6.0000000000000001E-3</c:v>
                </c:pt>
                <c:pt idx="4">
                  <c:v>8.0000000000000002E-3</c:v>
                </c:pt>
                <c:pt idx="5">
                  <c:v>0.01</c:v>
                </c:pt>
                <c:pt idx="6">
                  <c:v>1.2E-2</c:v>
                </c:pt>
                <c:pt idx="7">
                  <c:v>1.4E-2</c:v>
                </c:pt>
                <c:pt idx="8">
                  <c:v>1.6E-2</c:v>
                </c:pt>
                <c:pt idx="9">
                  <c:v>1.8000000000000002E-2</c:v>
                </c:pt>
                <c:pt idx="10">
                  <c:v>0.02</c:v>
                </c:pt>
                <c:pt idx="11">
                  <c:v>2.1999999999999999E-2</c:v>
                </c:pt>
                <c:pt idx="12">
                  <c:v>2.4E-2</c:v>
                </c:pt>
                <c:pt idx="13">
                  <c:v>2.6000000000000002E-2</c:v>
                </c:pt>
                <c:pt idx="14">
                  <c:v>2.8000000000000001E-2</c:v>
                </c:pt>
                <c:pt idx="15">
                  <c:v>0.03</c:v>
                </c:pt>
                <c:pt idx="16">
                  <c:v>3.2000000000000001E-2</c:v>
                </c:pt>
                <c:pt idx="17">
                  <c:v>3.4000000000000002E-2</c:v>
                </c:pt>
                <c:pt idx="18">
                  <c:v>3.6000000000000004E-2</c:v>
                </c:pt>
                <c:pt idx="19">
                  <c:v>3.7999999999999999E-2</c:v>
                </c:pt>
                <c:pt idx="20">
                  <c:v>0.04</c:v>
                </c:pt>
                <c:pt idx="21">
                  <c:v>4.2000000000000003E-2</c:v>
                </c:pt>
                <c:pt idx="22">
                  <c:v>4.3999999999999997E-2</c:v>
                </c:pt>
                <c:pt idx="23">
                  <c:v>4.5999999999999999E-2</c:v>
                </c:pt>
                <c:pt idx="24">
                  <c:v>4.8000000000000001E-2</c:v>
                </c:pt>
                <c:pt idx="25">
                  <c:v>0.05</c:v>
                </c:pt>
                <c:pt idx="26">
                  <c:v>5.2000000000000005E-2</c:v>
                </c:pt>
                <c:pt idx="27">
                  <c:v>5.3999999999999999E-2</c:v>
                </c:pt>
                <c:pt idx="28">
                  <c:v>5.6000000000000001E-2</c:v>
                </c:pt>
                <c:pt idx="29">
                  <c:v>5.8000000000000003E-2</c:v>
                </c:pt>
                <c:pt idx="30">
                  <c:v>0.06</c:v>
                </c:pt>
                <c:pt idx="31">
                  <c:v>6.2E-2</c:v>
                </c:pt>
                <c:pt idx="32">
                  <c:v>6.4000000000000001E-2</c:v>
                </c:pt>
                <c:pt idx="33">
                  <c:v>6.6000000000000003E-2</c:v>
                </c:pt>
                <c:pt idx="34">
                  <c:v>6.8000000000000005E-2</c:v>
                </c:pt>
                <c:pt idx="35">
                  <c:v>7.0000000000000007E-2</c:v>
                </c:pt>
                <c:pt idx="36">
                  <c:v>7.2000000000000008E-2</c:v>
                </c:pt>
                <c:pt idx="37">
                  <c:v>7.3999999999999996E-2</c:v>
                </c:pt>
                <c:pt idx="38">
                  <c:v>7.5999999999999998E-2</c:v>
                </c:pt>
                <c:pt idx="39">
                  <c:v>7.8E-2</c:v>
                </c:pt>
                <c:pt idx="40">
                  <c:v>0.08</c:v>
                </c:pt>
                <c:pt idx="41">
                  <c:v>8.2000000000000003E-2</c:v>
                </c:pt>
                <c:pt idx="42">
                  <c:v>8.4000000000000005E-2</c:v>
                </c:pt>
                <c:pt idx="43">
                  <c:v>8.6000000000000007E-2</c:v>
                </c:pt>
                <c:pt idx="44">
                  <c:v>8.7999999999999995E-2</c:v>
                </c:pt>
                <c:pt idx="45">
                  <c:v>0.09</c:v>
                </c:pt>
                <c:pt idx="46">
                  <c:v>9.1999999999999998E-2</c:v>
                </c:pt>
                <c:pt idx="47">
                  <c:v>9.4E-2</c:v>
                </c:pt>
                <c:pt idx="48">
                  <c:v>9.6000000000000002E-2</c:v>
                </c:pt>
                <c:pt idx="49">
                  <c:v>9.8000000000000004E-2</c:v>
                </c:pt>
                <c:pt idx="50">
                  <c:v>0.1</c:v>
                </c:pt>
                <c:pt idx="51">
                  <c:v>0.10200000000000001</c:v>
                </c:pt>
                <c:pt idx="52">
                  <c:v>0.10400000000000001</c:v>
                </c:pt>
                <c:pt idx="53">
                  <c:v>0.106</c:v>
                </c:pt>
                <c:pt idx="54">
                  <c:v>0.108</c:v>
                </c:pt>
                <c:pt idx="55">
                  <c:v>0.11</c:v>
                </c:pt>
                <c:pt idx="56">
                  <c:v>0.112</c:v>
                </c:pt>
                <c:pt idx="57">
                  <c:v>0.114</c:v>
                </c:pt>
                <c:pt idx="58">
                  <c:v>0.11600000000000001</c:v>
                </c:pt>
                <c:pt idx="59">
                  <c:v>0.11800000000000001</c:v>
                </c:pt>
                <c:pt idx="60">
                  <c:v>0.12</c:v>
                </c:pt>
                <c:pt idx="61">
                  <c:v>0.122</c:v>
                </c:pt>
                <c:pt idx="62">
                  <c:v>0.124</c:v>
                </c:pt>
                <c:pt idx="63">
                  <c:v>0.126</c:v>
                </c:pt>
                <c:pt idx="64">
                  <c:v>0.128</c:v>
                </c:pt>
                <c:pt idx="65">
                  <c:v>0.13</c:v>
                </c:pt>
                <c:pt idx="66">
                  <c:v>0.13200000000000001</c:v>
                </c:pt>
                <c:pt idx="67">
                  <c:v>0.13400000000000001</c:v>
                </c:pt>
                <c:pt idx="68">
                  <c:v>0.13600000000000001</c:v>
                </c:pt>
                <c:pt idx="69">
                  <c:v>0.13800000000000001</c:v>
                </c:pt>
                <c:pt idx="70">
                  <c:v>0.14000000000000001</c:v>
                </c:pt>
                <c:pt idx="71">
                  <c:v>0.14200000000000002</c:v>
                </c:pt>
                <c:pt idx="72">
                  <c:v>0.14400000000000002</c:v>
                </c:pt>
                <c:pt idx="73">
                  <c:v>0.14599999999999999</c:v>
                </c:pt>
                <c:pt idx="74">
                  <c:v>0.14799999999999999</c:v>
                </c:pt>
                <c:pt idx="75">
                  <c:v>0.15</c:v>
                </c:pt>
                <c:pt idx="76">
                  <c:v>0.152</c:v>
                </c:pt>
                <c:pt idx="77">
                  <c:v>0.154</c:v>
                </c:pt>
                <c:pt idx="78">
                  <c:v>0.156</c:v>
                </c:pt>
                <c:pt idx="79">
                  <c:v>0.158</c:v>
                </c:pt>
                <c:pt idx="80">
                  <c:v>0.16</c:v>
                </c:pt>
                <c:pt idx="81">
                  <c:v>0.16200000000000001</c:v>
                </c:pt>
                <c:pt idx="82">
                  <c:v>0.16400000000000001</c:v>
                </c:pt>
                <c:pt idx="83">
                  <c:v>0.16600000000000001</c:v>
                </c:pt>
                <c:pt idx="84">
                  <c:v>0.16800000000000001</c:v>
                </c:pt>
                <c:pt idx="85">
                  <c:v>0.17</c:v>
                </c:pt>
                <c:pt idx="86">
                  <c:v>0.17200000000000001</c:v>
                </c:pt>
                <c:pt idx="87">
                  <c:v>0.17400000000000002</c:v>
                </c:pt>
                <c:pt idx="88">
                  <c:v>0.17599999999999999</c:v>
                </c:pt>
                <c:pt idx="89">
                  <c:v>0.17799999999999999</c:v>
                </c:pt>
                <c:pt idx="90">
                  <c:v>0.18</c:v>
                </c:pt>
                <c:pt idx="91">
                  <c:v>0.182</c:v>
                </c:pt>
                <c:pt idx="92">
                  <c:v>0.184</c:v>
                </c:pt>
                <c:pt idx="93">
                  <c:v>0.186</c:v>
                </c:pt>
                <c:pt idx="94">
                  <c:v>0.188</c:v>
                </c:pt>
                <c:pt idx="95">
                  <c:v>0.19</c:v>
                </c:pt>
                <c:pt idx="96">
                  <c:v>0.192</c:v>
                </c:pt>
                <c:pt idx="97">
                  <c:v>0.19400000000000001</c:v>
                </c:pt>
                <c:pt idx="98">
                  <c:v>0.19600000000000001</c:v>
                </c:pt>
                <c:pt idx="99">
                  <c:v>0.19800000000000001</c:v>
                </c:pt>
                <c:pt idx="100">
                  <c:v>0.2</c:v>
                </c:pt>
                <c:pt idx="101">
                  <c:v>0.20200000000000001</c:v>
                </c:pt>
                <c:pt idx="102">
                  <c:v>0.20400000000000001</c:v>
                </c:pt>
                <c:pt idx="103">
                  <c:v>0.20600000000000002</c:v>
                </c:pt>
                <c:pt idx="104">
                  <c:v>0.20800000000000002</c:v>
                </c:pt>
                <c:pt idx="105">
                  <c:v>0.21</c:v>
                </c:pt>
                <c:pt idx="106">
                  <c:v>0.21199999999999999</c:v>
                </c:pt>
                <c:pt idx="107">
                  <c:v>0.214</c:v>
                </c:pt>
                <c:pt idx="108">
                  <c:v>0.216</c:v>
                </c:pt>
                <c:pt idx="109">
                  <c:v>0.218</c:v>
                </c:pt>
                <c:pt idx="110">
                  <c:v>0.22</c:v>
                </c:pt>
                <c:pt idx="111">
                  <c:v>0.222</c:v>
                </c:pt>
                <c:pt idx="112">
                  <c:v>0.224</c:v>
                </c:pt>
                <c:pt idx="113">
                  <c:v>0.22600000000000001</c:v>
                </c:pt>
                <c:pt idx="114">
                  <c:v>0.22800000000000001</c:v>
                </c:pt>
                <c:pt idx="115">
                  <c:v>0.23</c:v>
                </c:pt>
                <c:pt idx="116">
                  <c:v>0.23200000000000001</c:v>
                </c:pt>
                <c:pt idx="117">
                  <c:v>0.23400000000000001</c:v>
                </c:pt>
                <c:pt idx="118">
                  <c:v>0.23600000000000002</c:v>
                </c:pt>
                <c:pt idx="119">
                  <c:v>0.23800000000000002</c:v>
                </c:pt>
                <c:pt idx="120">
                  <c:v>0.24</c:v>
                </c:pt>
                <c:pt idx="121">
                  <c:v>0.24199999999999999</c:v>
                </c:pt>
                <c:pt idx="122">
                  <c:v>0.24399999999999999</c:v>
                </c:pt>
                <c:pt idx="123">
                  <c:v>0.246</c:v>
                </c:pt>
                <c:pt idx="124">
                  <c:v>0.248</c:v>
                </c:pt>
                <c:pt idx="125">
                  <c:v>0.25</c:v>
                </c:pt>
                <c:pt idx="126">
                  <c:v>0.252</c:v>
                </c:pt>
                <c:pt idx="127">
                  <c:v>0.254</c:v>
                </c:pt>
                <c:pt idx="128">
                  <c:v>0.25600000000000001</c:v>
                </c:pt>
                <c:pt idx="129">
                  <c:v>0.25800000000000001</c:v>
                </c:pt>
                <c:pt idx="130">
                  <c:v>0.26</c:v>
                </c:pt>
                <c:pt idx="131">
                  <c:v>0.26200000000000001</c:v>
                </c:pt>
                <c:pt idx="132">
                  <c:v>0.26400000000000001</c:v>
                </c:pt>
                <c:pt idx="133">
                  <c:v>0.26600000000000001</c:v>
                </c:pt>
                <c:pt idx="134">
                  <c:v>0.26800000000000002</c:v>
                </c:pt>
                <c:pt idx="135">
                  <c:v>0.27</c:v>
                </c:pt>
                <c:pt idx="136">
                  <c:v>0.27200000000000002</c:v>
                </c:pt>
                <c:pt idx="137">
                  <c:v>0.27400000000000002</c:v>
                </c:pt>
                <c:pt idx="138">
                  <c:v>0.27600000000000002</c:v>
                </c:pt>
                <c:pt idx="139">
                  <c:v>0.27800000000000002</c:v>
                </c:pt>
                <c:pt idx="140">
                  <c:v>0.28000000000000003</c:v>
                </c:pt>
                <c:pt idx="141">
                  <c:v>0.28200000000000003</c:v>
                </c:pt>
                <c:pt idx="142">
                  <c:v>0.28400000000000003</c:v>
                </c:pt>
                <c:pt idx="143">
                  <c:v>0.28600000000000003</c:v>
                </c:pt>
                <c:pt idx="144">
                  <c:v>0.28800000000000003</c:v>
                </c:pt>
                <c:pt idx="145">
                  <c:v>0.28999999999999998</c:v>
                </c:pt>
                <c:pt idx="146">
                  <c:v>0.29199999999999998</c:v>
                </c:pt>
                <c:pt idx="147">
                  <c:v>0.29399999999999998</c:v>
                </c:pt>
                <c:pt idx="148">
                  <c:v>0.29599999999999999</c:v>
                </c:pt>
                <c:pt idx="149">
                  <c:v>0.29799999999999999</c:v>
                </c:pt>
                <c:pt idx="150">
                  <c:v>0.3</c:v>
                </c:pt>
              </c:numCache>
            </c:numRef>
          </c:xVal>
          <c:yVal>
            <c:numRef>
              <c:f>Eff_vs_IOUT!$CA$7:$CA$157</c:f>
              <c:numCache>
                <c:formatCode>General</c:formatCode>
                <c:ptCount val="151"/>
                <c:pt idx="0">
                  <c:v>0</c:v>
                </c:pt>
                <c:pt idx="1">
                  <c:v>12.174544723050632</c:v>
                </c:pt>
                <c:pt idx="2">
                  <c:v>21.485246389593058</c:v>
                </c:pt>
                <c:pt idx="3">
                  <c:v>28.83596902001057</c:v>
                </c:pt>
                <c:pt idx="4">
                  <c:v>34.786480811227449</c:v>
                </c:pt>
                <c:pt idx="5">
                  <c:v>39.70194227597927</c:v>
                </c:pt>
                <c:pt idx="6">
                  <c:v>43.830707269231596</c:v>
                </c:pt>
                <c:pt idx="7">
                  <c:v>47.347566278372696</c:v>
                </c:pt>
                <c:pt idx="8">
                  <c:v>50.379104164272057</c:v>
                </c:pt>
                <c:pt idx="9">
                  <c:v>53.019245728315788</c:v>
                </c:pt>
                <c:pt idx="10">
                  <c:v>55.339150172244409</c:v>
                </c:pt>
                <c:pt idx="11">
                  <c:v>57.393714121134167</c:v>
                </c:pt>
                <c:pt idx="12">
                  <c:v>59.225966074827838</c:v>
                </c:pt>
                <c:pt idx="13">
                  <c:v>60.870109012879368</c:v>
                </c:pt>
                <c:pt idx="14">
                  <c:v>62.353672651689841</c:v>
                </c:pt>
                <c:pt idx="15">
                  <c:v>63.699065174099587</c:v>
                </c:pt>
                <c:pt idx="16">
                  <c:v>64.924711227193896</c:v>
                </c:pt>
                <c:pt idx="17">
                  <c:v>66.045899406715549</c:v>
                </c:pt>
                <c:pt idx="18">
                  <c:v>67.075422219198629</c:v>
                </c:pt>
                <c:pt idx="19">
                  <c:v>68.024065480819203</c:v>
                </c:pt>
                <c:pt idx="20">
                  <c:v>68.900986919393731</c:v>
                </c:pt>
                <c:pt idx="21">
                  <c:v>69.714012179145442</c:v>
                </c:pt>
                <c:pt idx="22">
                  <c:v>70.469868513184025</c:v>
                </c:pt>
                <c:pt idx="23">
                  <c:v>71.174370948285315</c:v>
                </c:pt>
                <c:pt idx="24">
                  <c:v>71.832571829049527</c:v>
                </c:pt>
                <c:pt idx="25">
                  <c:v>72.44888187873805</c:v>
                </c:pt>
                <c:pt idx="26">
                  <c:v>73.027168911242796</c:v>
                </c:pt>
                <c:pt idx="27">
                  <c:v>73.570838863818793</c:v>
                </c:pt>
                <c:pt idx="28">
                  <c:v>74.082902737480126</c:v>
                </c:pt>
                <c:pt idx="29">
                  <c:v>74.539686454578842</c:v>
                </c:pt>
                <c:pt idx="30">
                  <c:v>74.994882586746414</c:v>
                </c:pt>
                <c:pt idx="31">
                  <c:v>75.425584689893896</c:v>
                </c:pt>
                <c:pt idx="32">
                  <c:v>75.833699496117646</c:v>
                </c:pt>
                <c:pt idx="33">
                  <c:v>76.220940710826184</c:v>
                </c:pt>
                <c:pt idx="34">
                  <c:v>76.588852835801049</c:v>
                </c:pt>
                <c:pt idx="35">
                  <c:v>76.938831549002956</c:v>
                </c:pt>
                <c:pt idx="36">
                  <c:v>77.272141208080257</c:v>
                </c:pt>
                <c:pt idx="37">
                  <c:v>77.589929940297793</c:v>
                </c:pt>
                <c:pt idx="38">
                  <c:v>77.893242698443672</c:v>
                </c:pt>
                <c:pt idx="39">
                  <c:v>78.183032595553584</c:v>
                </c:pt>
                <c:pt idx="40">
                  <c:v>78.460170777485615</c:v>
                </c:pt>
                <c:pt idx="41">
                  <c:v>78.725455048762981</c:v>
                </c:pt>
                <c:pt idx="42">
                  <c:v>78.97961743157876</c:v>
                </c:pt>
                <c:pt idx="43">
                  <c:v>79.223330808790521</c:v>
                </c:pt>
                <c:pt idx="44">
                  <c:v>79.457214777844669</c:v>
                </c:pt>
                <c:pt idx="45">
                  <c:v>79.681840822856657</c:v>
                </c:pt>
                <c:pt idx="46">
                  <c:v>79.897736895737935</c:v>
                </c:pt>
                <c:pt idx="47">
                  <c:v>80.105391483672435</c:v>
                </c:pt>
                <c:pt idx="48">
                  <c:v>80.305257228900643</c:v>
                </c:pt>
                <c:pt idx="49">
                  <c:v>80.497754157264552</c:v>
                </c:pt>
                <c:pt idx="50">
                  <c:v>80.683272563974313</c:v>
                </c:pt>
                <c:pt idx="51">
                  <c:v>80.862175598317492</c:v>
                </c:pt>
                <c:pt idx="52">
                  <c:v>81.034801583326725</c:v>
                </c:pt>
                <c:pt idx="53">
                  <c:v>81.201466101581019</c:v>
                </c:pt>
                <c:pt idx="54">
                  <c:v>81.36246387419331</c:v>
                </c:pt>
                <c:pt idx="55">
                  <c:v>81.518070456520064</c:v>
                </c:pt>
                <c:pt idx="56">
                  <c:v>81.668543771115239</c:v>
                </c:pt>
                <c:pt idx="57">
                  <c:v>81.814125495866975</c:v>
                </c:pt>
                <c:pt idx="58">
                  <c:v>81.955042323030483</c:v>
                </c:pt>
                <c:pt idx="59">
                  <c:v>82.091507102951795</c:v>
                </c:pt>
                <c:pt idx="60">
                  <c:v>82.223719884617893</c:v>
                </c:pt>
                <c:pt idx="61">
                  <c:v>82.3518688637308</c:v>
                </c:pt>
                <c:pt idx="62">
                  <c:v>82.476131247753813</c:v>
                </c:pt>
                <c:pt idx="63">
                  <c:v>82.596674046291113</c:v>
                </c:pt>
                <c:pt idx="64">
                  <c:v>82.713654794212971</c:v>
                </c:pt>
                <c:pt idx="65">
                  <c:v>82.827222214109824</c:v>
                </c:pt>
                <c:pt idx="66">
                  <c:v>82.937516823931972</c:v>
                </c:pt>
                <c:pt idx="67">
                  <c:v>83.04467149503472</c:v>
                </c:pt>
                <c:pt idx="68">
                  <c:v>83.14881196528772</c:v>
                </c:pt>
                <c:pt idx="69">
                  <c:v>83.250057311414224</c:v>
                </c:pt>
                <c:pt idx="70">
                  <c:v>83.348520384290325</c:v>
                </c:pt>
                <c:pt idx="71">
                  <c:v>83.444308210548868</c:v>
                </c:pt>
                <c:pt idx="72">
                  <c:v>83.537522363492727</c:v>
                </c:pt>
                <c:pt idx="73">
                  <c:v>83.628259306018762</c:v>
                </c:pt>
                <c:pt idx="74">
                  <c:v>83.716610707986462</c:v>
                </c:pt>
                <c:pt idx="75">
                  <c:v>83.802663740225526</c:v>
                </c:pt>
                <c:pt idx="76">
                  <c:v>83.886501347164298</c:v>
                </c:pt>
                <c:pt idx="77">
                  <c:v>83.968202499871197</c:v>
                </c:pt>
                <c:pt idx="78">
                  <c:v>84.047842431131244</c:v>
                </c:pt>
                <c:pt idx="79">
                  <c:v>84.125492854028607</c:v>
                </c:pt>
                <c:pt idx="80">
                  <c:v>84.201222165369416</c:v>
                </c:pt>
                <c:pt idx="81">
                  <c:v>84.27509563515757</c:v>
                </c:pt>
                <c:pt idx="82">
                  <c:v>84.347175583226687</c:v>
                </c:pt>
                <c:pt idx="83">
                  <c:v>84.417521544032368</c:v>
                </c:pt>
                <c:pt idx="84">
                  <c:v>84.486190420520629</c:v>
                </c:pt>
                <c:pt idx="85">
                  <c:v>84.553236627907751</c:v>
                </c:pt>
                <c:pt idx="86">
                  <c:v>84.618712228135578</c:v>
                </c:pt>
                <c:pt idx="87">
                  <c:v>84.682667055699255</c:v>
                </c:pt>
                <c:pt idx="88">
                  <c:v>84.745148835487555</c:v>
                </c:pt>
                <c:pt idx="89">
                  <c:v>84.806203293220165</c:v>
                </c:pt>
                <c:pt idx="90">
                  <c:v>84.865874259019492</c:v>
                </c:pt>
                <c:pt idx="91">
                  <c:v>84.924203764609672</c:v>
                </c:pt>
                <c:pt idx="92">
                  <c:v>84.981232134595473</c:v>
                </c:pt>
                <c:pt idx="93">
                  <c:v>85.036998072237722</c:v>
                </c:pt>
                <c:pt idx="94">
                  <c:v>85.091538740108433</c:v>
                </c:pt>
                <c:pt idx="95">
                  <c:v>85.144889835978717</c:v>
                </c:pt>
                <c:pt idx="96">
                  <c:v>85.197085664265089</c:v>
                </c:pt>
                <c:pt idx="97">
                  <c:v>85.248159203334367</c:v>
                </c:pt>
                <c:pt idx="98">
                  <c:v>85.298142168944679</c:v>
                </c:pt>
                <c:pt idx="99">
                  <c:v>85.347065074078969</c:v>
                </c:pt>
                <c:pt idx="100">
                  <c:v>85.394957285407898</c:v>
                </c:pt>
                <c:pt idx="101">
                  <c:v>85.44184707660169</c:v>
                </c:pt>
                <c:pt idx="102">
                  <c:v>85.487761678694312</c:v>
                </c:pt>
                <c:pt idx="103">
                  <c:v>85.532727327688121</c:v>
                </c:pt>
                <c:pt idx="104">
                  <c:v>85.576769309574146</c:v>
                </c:pt>
                <c:pt idx="105">
                  <c:v>85.619912002929937</c:v>
                </c:pt>
                <c:pt idx="106">
                  <c:v>85.662178919245633</c:v>
                </c:pt>
                <c:pt idx="107">
                  <c:v>85.703592741118769</c:v>
                </c:pt>
                <c:pt idx="108">
                  <c:v>85.744175358447677</c:v>
                </c:pt>
                <c:pt idx="109">
                  <c:v>85.783947902744842</c:v>
                </c:pt>
                <c:pt idx="110">
                  <c:v>85.822930779683475</c:v>
                </c:pt>
                <c:pt idx="111">
                  <c:v>85.86114369998208</c:v>
                </c:pt>
                <c:pt idx="112">
                  <c:v>85.898605708725526</c:v>
                </c:pt>
                <c:pt idx="113">
                  <c:v>85.935335213214074</c:v>
                </c:pt>
                <c:pt idx="114">
                  <c:v>85.971350009425905</c:v>
                </c:pt>
                <c:pt idx="115">
                  <c:v>86.006667307172876</c:v>
                </c:pt>
                <c:pt idx="116">
                  <c:v>86.041303754024469</c:v>
                </c:pt>
                <c:pt idx="117">
                  <c:v>86.075275458069427</c:v>
                </c:pt>
                <c:pt idx="118">
                  <c:v>86.108598009580575</c:v>
                </c:pt>
                <c:pt idx="119">
                  <c:v>86.141286501644032</c:v>
                </c:pt>
                <c:pt idx="120">
                  <c:v>86.173355549809997</c:v>
                </c:pt>
                <c:pt idx="121">
                  <c:v>86.204819310819019</c:v>
                </c:pt>
                <c:pt idx="122">
                  <c:v>86.235691500453697</c:v>
                </c:pt>
                <c:pt idx="123">
                  <c:v>86.265985410563701</c:v>
                </c:pt>
                <c:pt idx="124">
                  <c:v>86.295713925307851</c:v>
                </c:pt>
                <c:pt idx="125">
                  <c:v>86.32488953665532</c:v>
                </c:pt>
                <c:pt idx="126">
                  <c:v>86.353524359184945</c:v>
                </c:pt>
                <c:pt idx="127">
                  <c:v>86.381630144219358</c:v>
                </c:pt>
                <c:pt idx="128">
                  <c:v>86.409218293328848</c:v>
                </c:pt>
                <c:pt idx="129">
                  <c:v>86.436299871237154</c:v>
                </c:pt>
                <c:pt idx="130">
                  <c:v>86.462885618160115</c:v>
                </c:pt>
                <c:pt idx="131">
                  <c:v>86.488985961605962</c:v>
                </c:pt>
                <c:pt idx="132">
                  <c:v>86.514611027664358</c:v>
                </c:pt>
                <c:pt idx="133">
                  <c:v>86.539770651810073</c:v>
                </c:pt>
                <c:pt idx="134">
                  <c:v>86.56447438924522</c:v>
                </c:pt>
                <c:pt idx="135">
                  <c:v>86.58873152480308</c:v>
                </c:pt>
                <c:pt idx="136">
                  <c:v>86.612551082434834</c:v>
                </c:pt>
                <c:pt idx="137">
                  <c:v>86.635941834299885</c:v>
                </c:pt>
                <c:pt idx="138">
                  <c:v>86.658912309478524</c:v>
                </c:pt>
                <c:pt idx="139">
                  <c:v>86.681470802325492</c:v>
                </c:pt>
                <c:pt idx="140">
                  <c:v>86.703625380481469</c:v>
                </c:pt>
                <c:pt idx="141">
                  <c:v>86.725383892558526</c:v>
                </c:pt>
                <c:pt idx="142">
                  <c:v>86.746753975515361</c:v>
                </c:pt>
                <c:pt idx="143">
                  <c:v>86.767743061736198</c:v>
                </c:pt>
                <c:pt idx="144">
                  <c:v>86.788358385827934</c:v>
                </c:pt>
                <c:pt idx="145">
                  <c:v>86.808606991147641</c:v>
                </c:pt>
                <c:pt idx="146">
                  <c:v>86.828495736073791</c:v>
                </c:pt>
                <c:pt idx="147">
                  <c:v>86.848031300031778</c:v>
                </c:pt>
                <c:pt idx="148">
                  <c:v>86.867220189286101</c:v>
                </c:pt>
                <c:pt idx="149">
                  <c:v>86.886068742508485</c:v>
                </c:pt>
                <c:pt idx="150">
                  <c:v>86.904583136133041</c:v>
                </c:pt>
              </c:numCache>
            </c:numRef>
          </c:yVal>
          <c:smooth val="0"/>
          <c:extLst>
            <c:ext xmlns:c16="http://schemas.microsoft.com/office/drawing/2014/chart" uri="{C3380CC4-5D6E-409C-BE32-E72D297353CC}">
              <c16:uniqueId val="{00000000-5398-43C3-8D33-A0111B65B9EF}"/>
            </c:ext>
          </c:extLst>
        </c:ser>
        <c:dLbls>
          <c:showLegendKey val="0"/>
          <c:showVal val="0"/>
          <c:showCatName val="0"/>
          <c:showSerName val="0"/>
          <c:showPercent val="0"/>
          <c:showBubbleSize val="0"/>
        </c:dLbls>
        <c:axId val="74549888"/>
        <c:axId val="74555776"/>
      </c:scatterChart>
      <c:scatterChart>
        <c:scatterStyle val="smoothMarker"/>
        <c:varyColors val="0"/>
        <c:ser>
          <c:idx val="1"/>
          <c:order val="1"/>
          <c:tx>
            <c:v>MOSFET</c:v>
          </c:tx>
          <c:marker>
            <c:symbol val="none"/>
          </c:marker>
          <c:xVal>
            <c:numRef>
              <c:f>Eff_vs_IOUT!$AZ$7:$AZ$157</c:f>
              <c:numCache>
                <c:formatCode>General</c:formatCode>
                <c:ptCount val="151"/>
                <c:pt idx="0">
                  <c:v>0</c:v>
                </c:pt>
                <c:pt idx="1">
                  <c:v>2E-3</c:v>
                </c:pt>
                <c:pt idx="2">
                  <c:v>4.0000000000000001E-3</c:v>
                </c:pt>
                <c:pt idx="3">
                  <c:v>6.0000000000000001E-3</c:v>
                </c:pt>
                <c:pt idx="4">
                  <c:v>8.0000000000000002E-3</c:v>
                </c:pt>
                <c:pt idx="5">
                  <c:v>0.01</c:v>
                </c:pt>
                <c:pt idx="6">
                  <c:v>1.2E-2</c:v>
                </c:pt>
                <c:pt idx="7">
                  <c:v>1.4E-2</c:v>
                </c:pt>
                <c:pt idx="8">
                  <c:v>1.6E-2</c:v>
                </c:pt>
                <c:pt idx="9">
                  <c:v>1.8000000000000002E-2</c:v>
                </c:pt>
                <c:pt idx="10">
                  <c:v>0.02</c:v>
                </c:pt>
                <c:pt idx="11">
                  <c:v>2.1999999999999999E-2</c:v>
                </c:pt>
                <c:pt idx="12">
                  <c:v>2.4E-2</c:v>
                </c:pt>
                <c:pt idx="13">
                  <c:v>2.6000000000000002E-2</c:v>
                </c:pt>
                <c:pt idx="14">
                  <c:v>2.8000000000000001E-2</c:v>
                </c:pt>
                <c:pt idx="15">
                  <c:v>0.03</c:v>
                </c:pt>
                <c:pt idx="16">
                  <c:v>3.2000000000000001E-2</c:v>
                </c:pt>
                <c:pt idx="17">
                  <c:v>3.4000000000000002E-2</c:v>
                </c:pt>
                <c:pt idx="18">
                  <c:v>3.6000000000000004E-2</c:v>
                </c:pt>
                <c:pt idx="19">
                  <c:v>3.7999999999999999E-2</c:v>
                </c:pt>
                <c:pt idx="20">
                  <c:v>0.04</c:v>
                </c:pt>
                <c:pt idx="21">
                  <c:v>4.2000000000000003E-2</c:v>
                </c:pt>
                <c:pt idx="22">
                  <c:v>4.3999999999999997E-2</c:v>
                </c:pt>
                <c:pt idx="23">
                  <c:v>4.5999999999999999E-2</c:v>
                </c:pt>
                <c:pt idx="24">
                  <c:v>4.8000000000000001E-2</c:v>
                </c:pt>
                <c:pt idx="25">
                  <c:v>0.05</c:v>
                </c:pt>
                <c:pt idx="26">
                  <c:v>5.2000000000000005E-2</c:v>
                </c:pt>
                <c:pt idx="27">
                  <c:v>5.3999999999999999E-2</c:v>
                </c:pt>
                <c:pt idx="28">
                  <c:v>5.6000000000000001E-2</c:v>
                </c:pt>
                <c:pt idx="29">
                  <c:v>5.8000000000000003E-2</c:v>
                </c:pt>
                <c:pt idx="30">
                  <c:v>0.06</c:v>
                </c:pt>
                <c:pt idx="31">
                  <c:v>6.2E-2</c:v>
                </c:pt>
                <c:pt idx="32">
                  <c:v>6.4000000000000001E-2</c:v>
                </c:pt>
                <c:pt idx="33">
                  <c:v>6.6000000000000003E-2</c:v>
                </c:pt>
                <c:pt idx="34">
                  <c:v>6.8000000000000005E-2</c:v>
                </c:pt>
                <c:pt idx="35">
                  <c:v>7.0000000000000007E-2</c:v>
                </c:pt>
                <c:pt idx="36">
                  <c:v>7.2000000000000008E-2</c:v>
                </c:pt>
                <c:pt idx="37">
                  <c:v>7.3999999999999996E-2</c:v>
                </c:pt>
                <c:pt idx="38">
                  <c:v>7.5999999999999998E-2</c:v>
                </c:pt>
                <c:pt idx="39">
                  <c:v>7.8E-2</c:v>
                </c:pt>
                <c:pt idx="40">
                  <c:v>0.08</c:v>
                </c:pt>
                <c:pt idx="41">
                  <c:v>8.2000000000000003E-2</c:v>
                </c:pt>
                <c:pt idx="42">
                  <c:v>8.4000000000000005E-2</c:v>
                </c:pt>
                <c:pt idx="43">
                  <c:v>8.6000000000000007E-2</c:v>
                </c:pt>
                <c:pt idx="44">
                  <c:v>8.7999999999999995E-2</c:v>
                </c:pt>
                <c:pt idx="45">
                  <c:v>0.09</c:v>
                </c:pt>
                <c:pt idx="46">
                  <c:v>9.1999999999999998E-2</c:v>
                </c:pt>
                <c:pt idx="47">
                  <c:v>9.4E-2</c:v>
                </c:pt>
                <c:pt idx="48">
                  <c:v>9.6000000000000002E-2</c:v>
                </c:pt>
                <c:pt idx="49">
                  <c:v>9.8000000000000004E-2</c:v>
                </c:pt>
                <c:pt idx="50">
                  <c:v>0.1</c:v>
                </c:pt>
                <c:pt idx="51">
                  <c:v>0.10200000000000001</c:v>
                </c:pt>
                <c:pt idx="52">
                  <c:v>0.10400000000000001</c:v>
                </c:pt>
                <c:pt idx="53">
                  <c:v>0.106</c:v>
                </c:pt>
                <c:pt idx="54">
                  <c:v>0.108</c:v>
                </c:pt>
                <c:pt idx="55">
                  <c:v>0.11</c:v>
                </c:pt>
                <c:pt idx="56">
                  <c:v>0.112</c:v>
                </c:pt>
                <c:pt idx="57">
                  <c:v>0.114</c:v>
                </c:pt>
                <c:pt idx="58">
                  <c:v>0.11600000000000001</c:v>
                </c:pt>
                <c:pt idx="59">
                  <c:v>0.11800000000000001</c:v>
                </c:pt>
                <c:pt idx="60">
                  <c:v>0.12</c:v>
                </c:pt>
                <c:pt idx="61">
                  <c:v>0.122</c:v>
                </c:pt>
                <c:pt idx="62">
                  <c:v>0.124</c:v>
                </c:pt>
                <c:pt idx="63">
                  <c:v>0.126</c:v>
                </c:pt>
                <c:pt idx="64">
                  <c:v>0.128</c:v>
                </c:pt>
                <c:pt idx="65">
                  <c:v>0.13</c:v>
                </c:pt>
                <c:pt idx="66">
                  <c:v>0.13200000000000001</c:v>
                </c:pt>
                <c:pt idx="67">
                  <c:v>0.13400000000000001</c:v>
                </c:pt>
                <c:pt idx="68">
                  <c:v>0.13600000000000001</c:v>
                </c:pt>
                <c:pt idx="69">
                  <c:v>0.13800000000000001</c:v>
                </c:pt>
                <c:pt idx="70">
                  <c:v>0.14000000000000001</c:v>
                </c:pt>
                <c:pt idx="71">
                  <c:v>0.14200000000000002</c:v>
                </c:pt>
                <c:pt idx="72">
                  <c:v>0.14400000000000002</c:v>
                </c:pt>
                <c:pt idx="73">
                  <c:v>0.14599999999999999</c:v>
                </c:pt>
                <c:pt idx="74">
                  <c:v>0.14799999999999999</c:v>
                </c:pt>
                <c:pt idx="75">
                  <c:v>0.15</c:v>
                </c:pt>
                <c:pt idx="76">
                  <c:v>0.152</c:v>
                </c:pt>
                <c:pt idx="77">
                  <c:v>0.154</c:v>
                </c:pt>
                <c:pt idx="78">
                  <c:v>0.156</c:v>
                </c:pt>
                <c:pt idx="79">
                  <c:v>0.158</c:v>
                </c:pt>
                <c:pt idx="80">
                  <c:v>0.16</c:v>
                </c:pt>
                <c:pt idx="81">
                  <c:v>0.16200000000000001</c:v>
                </c:pt>
                <c:pt idx="82">
                  <c:v>0.16400000000000001</c:v>
                </c:pt>
                <c:pt idx="83">
                  <c:v>0.16600000000000001</c:v>
                </c:pt>
                <c:pt idx="84">
                  <c:v>0.16800000000000001</c:v>
                </c:pt>
                <c:pt idx="85">
                  <c:v>0.17</c:v>
                </c:pt>
                <c:pt idx="86">
                  <c:v>0.17200000000000001</c:v>
                </c:pt>
                <c:pt idx="87">
                  <c:v>0.17400000000000002</c:v>
                </c:pt>
                <c:pt idx="88">
                  <c:v>0.17599999999999999</c:v>
                </c:pt>
                <c:pt idx="89">
                  <c:v>0.17799999999999999</c:v>
                </c:pt>
                <c:pt idx="90">
                  <c:v>0.18</c:v>
                </c:pt>
                <c:pt idx="91">
                  <c:v>0.182</c:v>
                </c:pt>
                <c:pt idx="92">
                  <c:v>0.184</c:v>
                </c:pt>
                <c:pt idx="93">
                  <c:v>0.186</c:v>
                </c:pt>
                <c:pt idx="94">
                  <c:v>0.188</c:v>
                </c:pt>
                <c:pt idx="95">
                  <c:v>0.19</c:v>
                </c:pt>
                <c:pt idx="96">
                  <c:v>0.192</c:v>
                </c:pt>
                <c:pt idx="97">
                  <c:v>0.19400000000000001</c:v>
                </c:pt>
                <c:pt idx="98">
                  <c:v>0.19600000000000001</c:v>
                </c:pt>
                <c:pt idx="99">
                  <c:v>0.19800000000000001</c:v>
                </c:pt>
                <c:pt idx="100">
                  <c:v>0.2</c:v>
                </c:pt>
                <c:pt idx="101">
                  <c:v>0.20200000000000001</c:v>
                </c:pt>
                <c:pt idx="102">
                  <c:v>0.20400000000000001</c:v>
                </c:pt>
                <c:pt idx="103">
                  <c:v>0.20600000000000002</c:v>
                </c:pt>
                <c:pt idx="104">
                  <c:v>0.20800000000000002</c:v>
                </c:pt>
                <c:pt idx="105">
                  <c:v>0.21</c:v>
                </c:pt>
                <c:pt idx="106">
                  <c:v>0.21199999999999999</c:v>
                </c:pt>
                <c:pt idx="107">
                  <c:v>0.214</c:v>
                </c:pt>
                <c:pt idx="108">
                  <c:v>0.216</c:v>
                </c:pt>
                <c:pt idx="109">
                  <c:v>0.218</c:v>
                </c:pt>
                <c:pt idx="110">
                  <c:v>0.22</c:v>
                </c:pt>
                <c:pt idx="111">
                  <c:v>0.222</c:v>
                </c:pt>
                <c:pt idx="112">
                  <c:v>0.224</c:v>
                </c:pt>
                <c:pt idx="113">
                  <c:v>0.22600000000000001</c:v>
                </c:pt>
                <c:pt idx="114">
                  <c:v>0.22800000000000001</c:v>
                </c:pt>
                <c:pt idx="115">
                  <c:v>0.23</c:v>
                </c:pt>
                <c:pt idx="116">
                  <c:v>0.23200000000000001</c:v>
                </c:pt>
                <c:pt idx="117">
                  <c:v>0.23400000000000001</c:v>
                </c:pt>
                <c:pt idx="118">
                  <c:v>0.23600000000000002</c:v>
                </c:pt>
                <c:pt idx="119">
                  <c:v>0.23800000000000002</c:v>
                </c:pt>
                <c:pt idx="120">
                  <c:v>0.24</c:v>
                </c:pt>
                <c:pt idx="121">
                  <c:v>0.24199999999999999</c:v>
                </c:pt>
                <c:pt idx="122">
                  <c:v>0.24399999999999999</c:v>
                </c:pt>
                <c:pt idx="123">
                  <c:v>0.246</c:v>
                </c:pt>
                <c:pt idx="124">
                  <c:v>0.248</c:v>
                </c:pt>
                <c:pt idx="125">
                  <c:v>0.25</c:v>
                </c:pt>
                <c:pt idx="126">
                  <c:v>0.252</c:v>
                </c:pt>
                <c:pt idx="127">
                  <c:v>0.254</c:v>
                </c:pt>
                <c:pt idx="128">
                  <c:v>0.25600000000000001</c:v>
                </c:pt>
                <c:pt idx="129">
                  <c:v>0.25800000000000001</c:v>
                </c:pt>
                <c:pt idx="130">
                  <c:v>0.26</c:v>
                </c:pt>
                <c:pt idx="131">
                  <c:v>0.26200000000000001</c:v>
                </c:pt>
                <c:pt idx="132">
                  <c:v>0.26400000000000001</c:v>
                </c:pt>
                <c:pt idx="133">
                  <c:v>0.26600000000000001</c:v>
                </c:pt>
                <c:pt idx="134">
                  <c:v>0.26800000000000002</c:v>
                </c:pt>
                <c:pt idx="135">
                  <c:v>0.27</c:v>
                </c:pt>
                <c:pt idx="136">
                  <c:v>0.27200000000000002</c:v>
                </c:pt>
                <c:pt idx="137">
                  <c:v>0.27400000000000002</c:v>
                </c:pt>
                <c:pt idx="138">
                  <c:v>0.27600000000000002</c:v>
                </c:pt>
                <c:pt idx="139">
                  <c:v>0.27800000000000002</c:v>
                </c:pt>
                <c:pt idx="140">
                  <c:v>0.28000000000000003</c:v>
                </c:pt>
                <c:pt idx="141">
                  <c:v>0.28200000000000003</c:v>
                </c:pt>
                <c:pt idx="142">
                  <c:v>0.28400000000000003</c:v>
                </c:pt>
                <c:pt idx="143">
                  <c:v>0.28600000000000003</c:v>
                </c:pt>
                <c:pt idx="144">
                  <c:v>0.28800000000000003</c:v>
                </c:pt>
                <c:pt idx="145">
                  <c:v>0.28999999999999998</c:v>
                </c:pt>
                <c:pt idx="146">
                  <c:v>0.29199999999999998</c:v>
                </c:pt>
                <c:pt idx="147">
                  <c:v>0.29399999999999998</c:v>
                </c:pt>
                <c:pt idx="148">
                  <c:v>0.29599999999999999</c:v>
                </c:pt>
                <c:pt idx="149">
                  <c:v>0.29799999999999999</c:v>
                </c:pt>
                <c:pt idx="150">
                  <c:v>0.3</c:v>
                </c:pt>
              </c:numCache>
            </c:numRef>
          </c:xVal>
          <c:yVal>
            <c:numRef>
              <c:f>Eff_vs_IOUT!$BP$7:$BP$157</c:f>
              <c:numCache>
                <c:formatCode>General</c:formatCode>
                <c:ptCount val="151"/>
                <c:pt idx="0">
                  <c:v>0</c:v>
                </c:pt>
                <c:pt idx="1">
                  <c:v>1.051861617641466E-2</c:v>
                </c:pt>
                <c:pt idx="2">
                  <c:v>2.1052802587318901E-2</c:v>
                </c:pt>
                <c:pt idx="3">
                  <c:v>3.1597276848897002E-2</c:v>
                </c:pt>
                <c:pt idx="4">
                  <c:v>4.2150187047627942E-2</c:v>
                </c:pt>
                <c:pt idx="5">
                  <c:v>5.2710479474662369E-2</c:v>
                </c:pt>
                <c:pt idx="6">
                  <c:v>6.327745411721683E-2</c:v>
                </c:pt>
                <c:pt idx="7">
                  <c:v>7.3850605050435308E-2</c:v>
                </c:pt>
                <c:pt idx="8">
                  <c:v>8.4429546437377476E-2</c:v>
                </c:pt>
                <c:pt idx="9">
                  <c:v>9.5013972803076746E-2</c:v>
                </c:pt>
                <c:pt idx="10">
                  <c:v>0.1056036355278184</c:v>
                </c:pt>
                <c:pt idx="11">
                  <c:v>0.11619832792915062</c:v>
                </c:pt>
                <c:pt idx="12">
                  <c:v>0.12679787527916703</c:v>
                </c:pt>
                <c:pt idx="13">
                  <c:v>0.13740212784030226</c:v>
                </c:pt>
                <c:pt idx="14">
                  <c:v>0.14801095584075152</c:v>
                </c:pt>
                <c:pt idx="15">
                  <c:v>0.15862424574726844</c:v>
                </c:pt>
                <c:pt idx="16">
                  <c:v>0.16924189743512744</c:v>
                </c:pt>
                <c:pt idx="17">
                  <c:v>0.17986382199617248</c:v>
                </c:pt>
                <c:pt idx="18">
                  <c:v>0.1904899400117262</c:v>
                </c:pt>
                <c:pt idx="19">
                  <c:v>0.20112018017128611</c:v>
                </c:pt>
                <c:pt idx="20">
                  <c:v>0.21175447815315657</c:v>
                </c:pt>
                <c:pt idx="21">
                  <c:v>0.22239277570671154</c:v>
                </c:pt>
                <c:pt idx="22">
                  <c:v>0.23303501989209852</c:v>
                </c:pt>
                <c:pt idx="23">
                  <c:v>0.24368116244445814</c:v>
                </c:pt>
                <c:pt idx="24">
                  <c:v>0.25433115923775895</c:v>
                </c:pt>
                <c:pt idx="25">
                  <c:v>0.26498496982916014</c:v>
                </c:pt>
                <c:pt idx="26">
                  <c:v>0.27564255706909191</c:v>
                </c:pt>
                <c:pt idx="27">
                  <c:v>0.28630388676543156</c:v>
                </c:pt>
                <c:pt idx="28">
                  <c:v>0.29696892739256442</c:v>
                </c:pt>
                <c:pt idx="29">
                  <c:v>0.30898417856268073</c:v>
                </c:pt>
                <c:pt idx="30">
                  <c:v>0.31975878679677838</c:v>
                </c:pt>
                <c:pt idx="31">
                  <c:v>0.33054372433297974</c:v>
                </c:pt>
                <c:pt idx="32">
                  <c:v>0.34133906350131932</c:v>
                </c:pt>
                <c:pt idx="33">
                  <c:v>0.35214487673430028</c:v>
                </c:pt>
                <c:pt idx="34">
                  <c:v>0.36296123656689427</c:v>
                </c:pt>
                <c:pt idx="35">
                  <c:v>0.37378821563654135</c:v>
                </c:pt>
                <c:pt idx="36">
                  <c:v>0.38462588668315023</c:v>
                </c:pt>
                <c:pt idx="37">
                  <c:v>0.39547432254909826</c:v>
                </c:pt>
                <c:pt idx="38">
                  <c:v>0.40633359617923115</c:v>
                </c:pt>
                <c:pt idx="39">
                  <c:v>0.41720378062086344</c:v>
                </c:pt>
                <c:pt idx="40">
                  <c:v>0.42808494902377775</c:v>
                </c:pt>
                <c:pt idx="41">
                  <c:v>0.43897717464022573</c:v>
                </c:pt>
                <c:pt idx="42">
                  <c:v>0.44988053082492729</c:v>
                </c:pt>
                <c:pt idx="43">
                  <c:v>0.46079509103507083</c:v>
                </c:pt>
                <c:pt idx="44">
                  <c:v>0.47172092883031341</c:v>
                </c:pt>
                <c:pt idx="45">
                  <c:v>0.48265811787278068</c:v>
                </c:pt>
                <c:pt idx="46">
                  <c:v>0.493606731927067</c:v>
                </c:pt>
                <c:pt idx="47">
                  <c:v>0.50456684486023473</c:v>
                </c:pt>
                <c:pt idx="48">
                  <c:v>0.51553853064181521</c:v>
                </c:pt>
                <c:pt idx="49">
                  <c:v>0.52652186334380813</c:v>
                </c:pt>
                <c:pt idx="50">
                  <c:v>0.53751691714068206</c:v>
                </c:pt>
                <c:pt idx="51">
                  <c:v>0.54852376630937349</c:v>
                </c:pt>
                <c:pt idx="52">
                  <c:v>0.55954248522928818</c:v>
                </c:pt>
                <c:pt idx="53">
                  <c:v>0.57057314838229956</c:v>
                </c:pt>
                <c:pt idx="54">
                  <c:v>0.58161583035275077</c:v>
                </c:pt>
                <c:pt idx="55">
                  <c:v>0.59267060582745223</c:v>
                </c:pt>
                <c:pt idx="56">
                  <c:v>0.60373754959568393</c:v>
                </c:pt>
                <c:pt idx="57">
                  <c:v>0.61481673654919389</c:v>
                </c:pt>
                <c:pt idx="58">
                  <c:v>0.62590824168219861</c:v>
                </c:pt>
                <c:pt idx="59">
                  <c:v>0.63701214009138329</c:v>
                </c:pt>
                <c:pt idx="60">
                  <c:v>0.64812850697590174</c:v>
                </c:pt>
                <c:pt idx="61">
                  <c:v>0.65925741763737622</c:v>
                </c:pt>
                <c:pt idx="62">
                  <c:v>0.6703989474798977</c:v>
                </c:pt>
                <c:pt idx="63">
                  <c:v>0.68155317201002519</c:v>
                </c:pt>
                <c:pt idx="64">
                  <c:v>0.69272016683678683</c:v>
                </c:pt>
                <c:pt idx="65">
                  <c:v>0.70390000767167915</c:v>
                </c:pt>
                <c:pt idx="66">
                  <c:v>0.71509277032866692</c:v>
                </c:pt>
                <c:pt idx="67">
                  <c:v>0.72629853072418393</c:v>
                </c:pt>
                <c:pt idx="68">
                  <c:v>0.73751736487713204</c:v>
                </c:pt>
                <c:pt idx="69">
                  <c:v>0.74874934890888178</c:v>
                </c:pt>
                <c:pt idx="70">
                  <c:v>0.75999455904327262</c:v>
                </c:pt>
                <c:pt idx="71">
                  <c:v>0.77125307160661194</c:v>
                </c:pt>
                <c:pt idx="72">
                  <c:v>0.78252496302767627</c:v>
                </c:pt>
                <c:pt idx="73">
                  <c:v>0.79381030983771017</c:v>
                </c:pt>
                <c:pt idx="74">
                  <c:v>0.80510918867042702</c:v>
                </c:pt>
                <c:pt idx="75">
                  <c:v>0.8164216762620089</c:v>
                </c:pt>
                <c:pt idx="76">
                  <c:v>0.82774784945110591</c:v>
                </c:pt>
                <c:pt idx="77">
                  <c:v>0.83908778517883742</c:v>
                </c:pt>
                <c:pt idx="78">
                  <c:v>0.85044156048879038</c:v>
                </c:pt>
                <c:pt idx="79">
                  <c:v>0.86180925252702134</c:v>
                </c:pt>
                <c:pt idx="80">
                  <c:v>0.87319093854205432</c:v>
                </c:pt>
                <c:pt idx="81">
                  <c:v>0.88458669588488303</c:v>
                </c:pt>
                <c:pt idx="82">
                  <c:v>0.8959966020089688</c:v>
                </c:pt>
                <c:pt idx="83">
                  <c:v>0.90742073447024219</c:v>
                </c:pt>
                <c:pt idx="84">
                  <c:v>0.91885917092710145</c:v>
                </c:pt>
                <c:pt idx="85">
                  <c:v>0.93031198914041424</c:v>
                </c:pt>
                <c:pt idx="86">
                  <c:v>0.9417792669735161</c:v>
                </c:pt>
                <c:pt idx="87">
                  <c:v>0.95326108239221163</c:v>
                </c:pt>
                <c:pt idx="88">
                  <c:v>0.96475751346477367</c:v>
                </c:pt>
                <c:pt idx="89">
                  <c:v>0.97626863836194389</c:v>
                </c:pt>
                <c:pt idx="90">
                  <c:v>0.98779453535693185</c:v>
                </c:pt>
                <c:pt idx="91">
                  <c:v>0.99933528282541684</c:v>
                </c:pt>
                <c:pt idx="92">
                  <c:v>1.0108909592455453</c:v>
                </c:pt>
                <c:pt idx="93">
                  <c:v>1.022461643197933</c:v>
                </c:pt>
                <c:pt idx="94">
                  <c:v>1.0340474133656643</c:v>
                </c:pt>
                <c:pt idx="95">
                  <c:v>1.0456483485342918</c:v>
                </c:pt>
                <c:pt idx="96">
                  <c:v>1.0572645275918364</c:v>
                </c:pt>
                <c:pt idx="97">
                  <c:v>1.0688960295287886</c:v>
                </c:pt>
                <c:pt idx="98">
                  <c:v>1.0805429334381063</c:v>
                </c:pt>
                <c:pt idx="99">
                  <c:v>1.0922053185152165</c:v>
                </c:pt>
                <c:pt idx="100">
                  <c:v>1.103883264058015</c:v>
                </c:pt>
                <c:pt idx="101">
                  <c:v>1.115576849466865</c:v>
                </c:pt>
                <c:pt idx="102">
                  <c:v>1.1272861542445995</c:v>
                </c:pt>
                <c:pt idx="103">
                  <c:v>1.1390112579965197</c:v>
                </c:pt>
                <c:pt idx="104">
                  <c:v>1.1507522404303949</c:v>
                </c:pt>
                <c:pt idx="105">
                  <c:v>1.1625091813564632</c:v>
                </c:pt>
                <c:pt idx="106">
                  <c:v>1.1742821606874312</c:v>
                </c:pt>
                <c:pt idx="107">
                  <c:v>1.1860712584384749</c:v>
                </c:pt>
                <c:pt idx="108">
                  <c:v>1.1978765547272372</c:v>
                </c:pt>
                <c:pt idx="109">
                  <c:v>1.2096981297738312</c:v>
                </c:pt>
                <c:pt idx="110">
                  <c:v>1.2215360639008366</c:v>
                </c:pt>
                <c:pt idx="111">
                  <c:v>1.2333904375333042</c:v>
                </c:pt>
                <c:pt idx="112">
                  <c:v>1.2452613311987504</c:v>
                </c:pt>
                <c:pt idx="113">
                  <c:v>1.2571488255271634</c:v>
                </c:pt>
                <c:pt idx="114">
                  <c:v>1.2690530012509968</c:v>
                </c:pt>
                <c:pt idx="115">
                  <c:v>1.2809739392051753</c:v>
                </c:pt>
                <c:pt idx="116">
                  <c:v>1.2929117203270899</c:v>
                </c:pt>
                <c:pt idx="117">
                  <c:v>1.3048664256566018</c:v>
                </c:pt>
                <c:pt idx="118">
                  <c:v>1.3168381363360402</c:v>
                </c:pt>
                <c:pt idx="119">
                  <c:v>1.3288269336102032</c:v>
                </c:pt>
                <c:pt idx="120">
                  <c:v>1.3408328988263563</c:v>
                </c:pt>
                <c:pt idx="121">
                  <c:v>1.352856113434235</c:v>
                </c:pt>
                <c:pt idx="122">
                  <c:v>1.3648966589860421</c:v>
                </c:pt>
                <c:pt idx="123">
                  <c:v>1.37695461713645</c:v>
                </c:pt>
                <c:pt idx="124">
                  <c:v>1.3890300696425992</c:v>
                </c:pt>
                <c:pt idx="125">
                  <c:v>1.4011230983640981</c:v>
                </c:pt>
                <c:pt idx="126">
                  <c:v>1.4132337852630248</c:v>
                </c:pt>
                <c:pt idx="127">
                  <c:v>1.4253622124039249</c:v>
                </c:pt>
                <c:pt idx="128">
                  <c:v>1.4375084619538134</c:v>
                </c:pt>
                <c:pt idx="129">
                  <c:v>1.4496726161821736</c:v>
                </c:pt>
                <c:pt idx="130">
                  <c:v>1.4618547574609568</c:v>
                </c:pt>
                <c:pt idx="131">
                  <c:v>1.4740549682645836</c:v>
                </c:pt>
                <c:pt idx="132">
                  <c:v>1.4862733311699421</c:v>
                </c:pt>
                <c:pt idx="133">
                  <c:v>1.4985099288563908</c:v>
                </c:pt>
                <c:pt idx="134">
                  <c:v>1.5107648441057544</c:v>
                </c:pt>
                <c:pt idx="135">
                  <c:v>1.5230381598023282</c:v>
                </c:pt>
                <c:pt idx="136">
                  <c:v>1.5353299589328744</c:v>
                </c:pt>
                <c:pt idx="137">
                  <c:v>1.5476403245866248</c:v>
                </c:pt>
                <c:pt idx="138">
                  <c:v>1.5599693399552801</c:v>
                </c:pt>
                <c:pt idx="139">
                  <c:v>1.5723170883330078</c:v>
                </c:pt>
                <c:pt idx="140">
                  <c:v>1.5846836531164463</c:v>
                </c:pt>
                <c:pt idx="141">
                  <c:v>1.5970691178047001</c:v>
                </c:pt>
                <c:pt idx="142">
                  <c:v>1.6094735659993433</c:v>
                </c:pt>
                <c:pt idx="143">
                  <c:v>1.6218970814044202</c:v>
                </c:pt>
                <c:pt idx="144">
                  <c:v>1.6343397478264403</c:v>
                </c:pt>
                <c:pt idx="145">
                  <c:v>1.6468016491743847</c:v>
                </c:pt>
                <c:pt idx="146">
                  <c:v>1.659282869459701</c:v>
                </c:pt>
                <c:pt idx="147">
                  <c:v>1.6717834927963067</c:v>
                </c:pt>
                <c:pt idx="148">
                  <c:v>1.6843036034005869</c:v>
                </c:pt>
                <c:pt idx="149">
                  <c:v>1.6968432855913962</c:v>
                </c:pt>
                <c:pt idx="150">
                  <c:v>1.7094026237900564</c:v>
                </c:pt>
              </c:numCache>
            </c:numRef>
          </c:yVal>
          <c:smooth val="1"/>
          <c:extLst>
            <c:ext xmlns:c16="http://schemas.microsoft.com/office/drawing/2014/chart" uri="{C3380CC4-5D6E-409C-BE32-E72D297353CC}">
              <c16:uniqueId val="{00000001-5398-43C3-8D33-A0111B65B9EF}"/>
            </c:ext>
          </c:extLst>
        </c:ser>
        <c:ser>
          <c:idx val="2"/>
          <c:order val="2"/>
          <c:tx>
            <c:v>Diode</c:v>
          </c:tx>
          <c:marker>
            <c:symbol val="none"/>
          </c:marker>
          <c:xVal>
            <c:numRef>
              <c:f>Eff_vs_IOUT!$AZ$7:$AZ$157</c:f>
              <c:numCache>
                <c:formatCode>General</c:formatCode>
                <c:ptCount val="151"/>
                <c:pt idx="0">
                  <c:v>0</c:v>
                </c:pt>
                <c:pt idx="1">
                  <c:v>2E-3</c:v>
                </c:pt>
                <c:pt idx="2">
                  <c:v>4.0000000000000001E-3</c:v>
                </c:pt>
                <c:pt idx="3">
                  <c:v>6.0000000000000001E-3</c:v>
                </c:pt>
                <c:pt idx="4">
                  <c:v>8.0000000000000002E-3</c:v>
                </c:pt>
                <c:pt idx="5">
                  <c:v>0.01</c:v>
                </c:pt>
                <c:pt idx="6">
                  <c:v>1.2E-2</c:v>
                </c:pt>
                <c:pt idx="7">
                  <c:v>1.4E-2</c:v>
                </c:pt>
                <c:pt idx="8">
                  <c:v>1.6E-2</c:v>
                </c:pt>
                <c:pt idx="9">
                  <c:v>1.8000000000000002E-2</c:v>
                </c:pt>
                <c:pt idx="10">
                  <c:v>0.02</c:v>
                </c:pt>
                <c:pt idx="11">
                  <c:v>2.1999999999999999E-2</c:v>
                </c:pt>
                <c:pt idx="12">
                  <c:v>2.4E-2</c:v>
                </c:pt>
                <c:pt idx="13">
                  <c:v>2.6000000000000002E-2</c:v>
                </c:pt>
                <c:pt idx="14">
                  <c:v>2.8000000000000001E-2</c:v>
                </c:pt>
                <c:pt idx="15">
                  <c:v>0.03</c:v>
                </c:pt>
                <c:pt idx="16">
                  <c:v>3.2000000000000001E-2</c:v>
                </c:pt>
                <c:pt idx="17">
                  <c:v>3.4000000000000002E-2</c:v>
                </c:pt>
                <c:pt idx="18">
                  <c:v>3.6000000000000004E-2</c:v>
                </c:pt>
                <c:pt idx="19">
                  <c:v>3.7999999999999999E-2</c:v>
                </c:pt>
                <c:pt idx="20">
                  <c:v>0.04</c:v>
                </c:pt>
                <c:pt idx="21">
                  <c:v>4.2000000000000003E-2</c:v>
                </c:pt>
                <c:pt idx="22">
                  <c:v>4.3999999999999997E-2</c:v>
                </c:pt>
                <c:pt idx="23">
                  <c:v>4.5999999999999999E-2</c:v>
                </c:pt>
                <c:pt idx="24">
                  <c:v>4.8000000000000001E-2</c:v>
                </c:pt>
                <c:pt idx="25">
                  <c:v>0.05</c:v>
                </c:pt>
                <c:pt idx="26">
                  <c:v>5.2000000000000005E-2</c:v>
                </c:pt>
                <c:pt idx="27">
                  <c:v>5.3999999999999999E-2</c:v>
                </c:pt>
                <c:pt idx="28">
                  <c:v>5.6000000000000001E-2</c:v>
                </c:pt>
                <c:pt idx="29">
                  <c:v>5.8000000000000003E-2</c:v>
                </c:pt>
                <c:pt idx="30">
                  <c:v>0.06</c:v>
                </c:pt>
                <c:pt idx="31">
                  <c:v>6.2E-2</c:v>
                </c:pt>
                <c:pt idx="32">
                  <c:v>6.4000000000000001E-2</c:v>
                </c:pt>
                <c:pt idx="33">
                  <c:v>6.6000000000000003E-2</c:v>
                </c:pt>
                <c:pt idx="34">
                  <c:v>6.8000000000000005E-2</c:v>
                </c:pt>
                <c:pt idx="35">
                  <c:v>7.0000000000000007E-2</c:v>
                </c:pt>
                <c:pt idx="36">
                  <c:v>7.2000000000000008E-2</c:v>
                </c:pt>
                <c:pt idx="37">
                  <c:v>7.3999999999999996E-2</c:v>
                </c:pt>
                <c:pt idx="38">
                  <c:v>7.5999999999999998E-2</c:v>
                </c:pt>
                <c:pt idx="39">
                  <c:v>7.8E-2</c:v>
                </c:pt>
                <c:pt idx="40">
                  <c:v>0.08</c:v>
                </c:pt>
                <c:pt idx="41">
                  <c:v>8.2000000000000003E-2</c:v>
                </c:pt>
                <c:pt idx="42">
                  <c:v>8.4000000000000005E-2</c:v>
                </c:pt>
                <c:pt idx="43">
                  <c:v>8.6000000000000007E-2</c:v>
                </c:pt>
                <c:pt idx="44">
                  <c:v>8.7999999999999995E-2</c:v>
                </c:pt>
                <c:pt idx="45">
                  <c:v>0.09</c:v>
                </c:pt>
                <c:pt idx="46">
                  <c:v>9.1999999999999998E-2</c:v>
                </c:pt>
                <c:pt idx="47">
                  <c:v>9.4E-2</c:v>
                </c:pt>
                <c:pt idx="48">
                  <c:v>9.6000000000000002E-2</c:v>
                </c:pt>
                <c:pt idx="49">
                  <c:v>9.8000000000000004E-2</c:v>
                </c:pt>
                <c:pt idx="50">
                  <c:v>0.1</c:v>
                </c:pt>
                <c:pt idx="51">
                  <c:v>0.10200000000000001</c:v>
                </c:pt>
                <c:pt idx="52">
                  <c:v>0.10400000000000001</c:v>
                </c:pt>
                <c:pt idx="53">
                  <c:v>0.106</c:v>
                </c:pt>
                <c:pt idx="54">
                  <c:v>0.108</c:v>
                </c:pt>
                <c:pt idx="55">
                  <c:v>0.11</c:v>
                </c:pt>
                <c:pt idx="56">
                  <c:v>0.112</c:v>
                </c:pt>
                <c:pt idx="57">
                  <c:v>0.114</c:v>
                </c:pt>
                <c:pt idx="58">
                  <c:v>0.11600000000000001</c:v>
                </c:pt>
                <c:pt idx="59">
                  <c:v>0.11800000000000001</c:v>
                </c:pt>
                <c:pt idx="60">
                  <c:v>0.12</c:v>
                </c:pt>
                <c:pt idx="61">
                  <c:v>0.122</c:v>
                </c:pt>
                <c:pt idx="62">
                  <c:v>0.124</c:v>
                </c:pt>
                <c:pt idx="63">
                  <c:v>0.126</c:v>
                </c:pt>
                <c:pt idx="64">
                  <c:v>0.128</c:v>
                </c:pt>
                <c:pt idx="65">
                  <c:v>0.13</c:v>
                </c:pt>
                <c:pt idx="66">
                  <c:v>0.13200000000000001</c:v>
                </c:pt>
                <c:pt idx="67">
                  <c:v>0.13400000000000001</c:v>
                </c:pt>
                <c:pt idx="68">
                  <c:v>0.13600000000000001</c:v>
                </c:pt>
                <c:pt idx="69">
                  <c:v>0.13800000000000001</c:v>
                </c:pt>
                <c:pt idx="70">
                  <c:v>0.14000000000000001</c:v>
                </c:pt>
                <c:pt idx="71">
                  <c:v>0.14200000000000002</c:v>
                </c:pt>
                <c:pt idx="72">
                  <c:v>0.14400000000000002</c:v>
                </c:pt>
                <c:pt idx="73">
                  <c:v>0.14599999999999999</c:v>
                </c:pt>
                <c:pt idx="74">
                  <c:v>0.14799999999999999</c:v>
                </c:pt>
                <c:pt idx="75">
                  <c:v>0.15</c:v>
                </c:pt>
                <c:pt idx="76">
                  <c:v>0.152</c:v>
                </c:pt>
                <c:pt idx="77">
                  <c:v>0.154</c:v>
                </c:pt>
                <c:pt idx="78">
                  <c:v>0.156</c:v>
                </c:pt>
                <c:pt idx="79">
                  <c:v>0.158</c:v>
                </c:pt>
                <c:pt idx="80">
                  <c:v>0.16</c:v>
                </c:pt>
                <c:pt idx="81">
                  <c:v>0.16200000000000001</c:v>
                </c:pt>
                <c:pt idx="82">
                  <c:v>0.16400000000000001</c:v>
                </c:pt>
                <c:pt idx="83">
                  <c:v>0.16600000000000001</c:v>
                </c:pt>
                <c:pt idx="84">
                  <c:v>0.16800000000000001</c:v>
                </c:pt>
                <c:pt idx="85">
                  <c:v>0.17</c:v>
                </c:pt>
                <c:pt idx="86">
                  <c:v>0.17200000000000001</c:v>
                </c:pt>
                <c:pt idx="87">
                  <c:v>0.17400000000000002</c:v>
                </c:pt>
                <c:pt idx="88">
                  <c:v>0.17599999999999999</c:v>
                </c:pt>
                <c:pt idx="89">
                  <c:v>0.17799999999999999</c:v>
                </c:pt>
                <c:pt idx="90">
                  <c:v>0.18</c:v>
                </c:pt>
                <c:pt idx="91">
                  <c:v>0.182</c:v>
                </c:pt>
                <c:pt idx="92">
                  <c:v>0.184</c:v>
                </c:pt>
                <c:pt idx="93">
                  <c:v>0.186</c:v>
                </c:pt>
                <c:pt idx="94">
                  <c:v>0.188</c:v>
                </c:pt>
                <c:pt idx="95">
                  <c:v>0.19</c:v>
                </c:pt>
                <c:pt idx="96">
                  <c:v>0.192</c:v>
                </c:pt>
                <c:pt idx="97">
                  <c:v>0.19400000000000001</c:v>
                </c:pt>
                <c:pt idx="98">
                  <c:v>0.19600000000000001</c:v>
                </c:pt>
                <c:pt idx="99">
                  <c:v>0.19800000000000001</c:v>
                </c:pt>
                <c:pt idx="100">
                  <c:v>0.2</c:v>
                </c:pt>
                <c:pt idx="101">
                  <c:v>0.20200000000000001</c:v>
                </c:pt>
                <c:pt idx="102">
                  <c:v>0.20400000000000001</c:v>
                </c:pt>
                <c:pt idx="103">
                  <c:v>0.20600000000000002</c:v>
                </c:pt>
                <c:pt idx="104">
                  <c:v>0.20800000000000002</c:v>
                </c:pt>
                <c:pt idx="105">
                  <c:v>0.21</c:v>
                </c:pt>
                <c:pt idx="106">
                  <c:v>0.21199999999999999</c:v>
                </c:pt>
                <c:pt idx="107">
                  <c:v>0.214</c:v>
                </c:pt>
                <c:pt idx="108">
                  <c:v>0.216</c:v>
                </c:pt>
                <c:pt idx="109">
                  <c:v>0.218</c:v>
                </c:pt>
                <c:pt idx="110">
                  <c:v>0.22</c:v>
                </c:pt>
                <c:pt idx="111">
                  <c:v>0.222</c:v>
                </c:pt>
                <c:pt idx="112">
                  <c:v>0.224</c:v>
                </c:pt>
                <c:pt idx="113">
                  <c:v>0.22600000000000001</c:v>
                </c:pt>
                <c:pt idx="114">
                  <c:v>0.22800000000000001</c:v>
                </c:pt>
                <c:pt idx="115">
                  <c:v>0.23</c:v>
                </c:pt>
                <c:pt idx="116">
                  <c:v>0.23200000000000001</c:v>
                </c:pt>
                <c:pt idx="117">
                  <c:v>0.23400000000000001</c:v>
                </c:pt>
                <c:pt idx="118">
                  <c:v>0.23600000000000002</c:v>
                </c:pt>
                <c:pt idx="119">
                  <c:v>0.23800000000000002</c:v>
                </c:pt>
                <c:pt idx="120">
                  <c:v>0.24</c:v>
                </c:pt>
                <c:pt idx="121">
                  <c:v>0.24199999999999999</c:v>
                </c:pt>
                <c:pt idx="122">
                  <c:v>0.24399999999999999</c:v>
                </c:pt>
                <c:pt idx="123">
                  <c:v>0.246</c:v>
                </c:pt>
                <c:pt idx="124">
                  <c:v>0.248</c:v>
                </c:pt>
                <c:pt idx="125">
                  <c:v>0.25</c:v>
                </c:pt>
                <c:pt idx="126">
                  <c:v>0.252</c:v>
                </c:pt>
                <c:pt idx="127">
                  <c:v>0.254</c:v>
                </c:pt>
                <c:pt idx="128">
                  <c:v>0.25600000000000001</c:v>
                </c:pt>
                <c:pt idx="129">
                  <c:v>0.25800000000000001</c:v>
                </c:pt>
                <c:pt idx="130">
                  <c:v>0.26</c:v>
                </c:pt>
                <c:pt idx="131">
                  <c:v>0.26200000000000001</c:v>
                </c:pt>
                <c:pt idx="132">
                  <c:v>0.26400000000000001</c:v>
                </c:pt>
                <c:pt idx="133">
                  <c:v>0.26600000000000001</c:v>
                </c:pt>
                <c:pt idx="134">
                  <c:v>0.26800000000000002</c:v>
                </c:pt>
                <c:pt idx="135">
                  <c:v>0.27</c:v>
                </c:pt>
                <c:pt idx="136">
                  <c:v>0.27200000000000002</c:v>
                </c:pt>
                <c:pt idx="137">
                  <c:v>0.27400000000000002</c:v>
                </c:pt>
                <c:pt idx="138">
                  <c:v>0.27600000000000002</c:v>
                </c:pt>
                <c:pt idx="139">
                  <c:v>0.27800000000000002</c:v>
                </c:pt>
                <c:pt idx="140">
                  <c:v>0.28000000000000003</c:v>
                </c:pt>
                <c:pt idx="141">
                  <c:v>0.28200000000000003</c:v>
                </c:pt>
                <c:pt idx="142">
                  <c:v>0.28400000000000003</c:v>
                </c:pt>
                <c:pt idx="143">
                  <c:v>0.28600000000000003</c:v>
                </c:pt>
                <c:pt idx="144">
                  <c:v>0.28800000000000003</c:v>
                </c:pt>
                <c:pt idx="145">
                  <c:v>0.28999999999999998</c:v>
                </c:pt>
                <c:pt idx="146">
                  <c:v>0.29199999999999998</c:v>
                </c:pt>
                <c:pt idx="147">
                  <c:v>0.29399999999999998</c:v>
                </c:pt>
                <c:pt idx="148">
                  <c:v>0.29599999999999999</c:v>
                </c:pt>
                <c:pt idx="149">
                  <c:v>0.29799999999999999</c:v>
                </c:pt>
                <c:pt idx="150">
                  <c:v>0.3</c:v>
                </c:pt>
              </c:numCache>
            </c:numRef>
          </c:xVal>
          <c:yVal>
            <c:numRef>
              <c:f>Eff_vs_IOUT!$BU$7:$BU$157</c:f>
              <c:numCache>
                <c:formatCode>General</c:formatCode>
                <c:ptCount val="151"/>
                <c:pt idx="0">
                  <c:v>0.75525000000000009</c:v>
                </c:pt>
                <c:pt idx="1">
                  <c:v>0.75609000000000004</c:v>
                </c:pt>
                <c:pt idx="2">
                  <c:v>0.7569300000000001</c:v>
                </c:pt>
                <c:pt idx="3">
                  <c:v>0.75777000000000005</c:v>
                </c:pt>
                <c:pt idx="4">
                  <c:v>0.75861000000000012</c:v>
                </c:pt>
                <c:pt idx="5">
                  <c:v>0.75945000000000007</c:v>
                </c:pt>
                <c:pt idx="6">
                  <c:v>0.76029000000000013</c:v>
                </c:pt>
                <c:pt idx="7">
                  <c:v>0.76113000000000008</c:v>
                </c:pt>
                <c:pt idx="8">
                  <c:v>0.76197000000000004</c:v>
                </c:pt>
                <c:pt idx="9">
                  <c:v>0.7628100000000001</c:v>
                </c:pt>
                <c:pt idx="10">
                  <c:v>0.76365000000000005</c:v>
                </c:pt>
                <c:pt idx="11">
                  <c:v>0.76449000000000011</c:v>
                </c:pt>
                <c:pt idx="12">
                  <c:v>0.76533000000000007</c:v>
                </c:pt>
                <c:pt idx="13">
                  <c:v>0.76617000000000013</c:v>
                </c:pt>
                <c:pt idx="14">
                  <c:v>0.76701000000000008</c:v>
                </c:pt>
                <c:pt idx="15">
                  <c:v>0.76785000000000003</c:v>
                </c:pt>
                <c:pt idx="16">
                  <c:v>0.7686900000000001</c:v>
                </c:pt>
                <c:pt idx="17">
                  <c:v>0.76953000000000005</c:v>
                </c:pt>
                <c:pt idx="18">
                  <c:v>0.77037000000000011</c:v>
                </c:pt>
                <c:pt idx="19">
                  <c:v>0.77121000000000006</c:v>
                </c:pt>
                <c:pt idx="20">
                  <c:v>0.77205000000000013</c:v>
                </c:pt>
                <c:pt idx="21">
                  <c:v>0.77289000000000008</c:v>
                </c:pt>
                <c:pt idx="22">
                  <c:v>0.77373000000000014</c:v>
                </c:pt>
                <c:pt idx="23">
                  <c:v>0.77457000000000009</c:v>
                </c:pt>
                <c:pt idx="24">
                  <c:v>0.77541000000000004</c:v>
                </c:pt>
                <c:pt idx="25">
                  <c:v>0.77625000000000011</c:v>
                </c:pt>
                <c:pt idx="26">
                  <c:v>0.77709000000000006</c:v>
                </c:pt>
                <c:pt idx="27">
                  <c:v>0.77793000000000012</c:v>
                </c:pt>
                <c:pt idx="28">
                  <c:v>0.77877000000000007</c:v>
                </c:pt>
                <c:pt idx="29">
                  <c:v>0.77961000000000014</c:v>
                </c:pt>
                <c:pt idx="30">
                  <c:v>0.78045000000000009</c:v>
                </c:pt>
                <c:pt idx="31">
                  <c:v>0.78129000000000004</c:v>
                </c:pt>
                <c:pt idx="32">
                  <c:v>0.7821300000000001</c:v>
                </c:pt>
                <c:pt idx="33">
                  <c:v>0.78297000000000005</c:v>
                </c:pt>
                <c:pt idx="34">
                  <c:v>0.78381000000000012</c:v>
                </c:pt>
                <c:pt idx="35">
                  <c:v>0.78465000000000007</c:v>
                </c:pt>
                <c:pt idx="36">
                  <c:v>0.78549000000000013</c:v>
                </c:pt>
                <c:pt idx="37">
                  <c:v>0.78633000000000008</c:v>
                </c:pt>
                <c:pt idx="38">
                  <c:v>0.78717000000000004</c:v>
                </c:pt>
                <c:pt idx="39">
                  <c:v>0.7880100000000001</c:v>
                </c:pt>
                <c:pt idx="40">
                  <c:v>0.78885000000000005</c:v>
                </c:pt>
                <c:pt idx="41">
                  <c:v>0.78969000000000011</c:v>
                </c:pt>
                <c:pt idx="42">
                  <c:v>0.79053000000000007</c:v>
                </c:pt>
                <c:pt idx="43">
                  <c:v>0.79137000000000013</c:v>
                </c:pt>
                <c:pt idx="44">
                  <c:v>0.79221000000000008</c:v>
                </c:pt>
                <c:pt idx="45">
                  <c:v>0.79305000000000003</c:v>
                </c:pt>
                <c:pt idx="46">
                  <c:v>0.7938900000000001</c:v>
                </c:pt>
                <c:pt idx="47">
                  <c:v>0.79473000000000005</c:v>
                </c:pt>
                <c:pt idx="48">
                  <c:v>0.79557000000000011</c:v>
                </c:pt>
                <c:pt idx="49">
                  <c:v>0.79641000000000006</c:v>
                </c:pt>
                <c:pt idx="50">
                  <c:v>0.79725000000000013</c:v>
                </c:pt>
                <c:pt idx="51">
                  <c:v>0.79809000000000008</c:v>
                </c:pt>
                <c:pt idx="52">
                  <c:v>0.79893000000000014</c:v>
                </c:pt>
                <c:pt idx="53">
                  <c:v>0.79977000000000009</c:v>
                </c:pt>
                <c:pt idx="54">
                  <c:v>0.80061000000000004</c:v>
                </c:pt>
                <c:pt idx="55">
                  <c:v>0.80145000000000011</c:v>
                </c:pt>
                <c:pt idx="56">
                  <c:v>0.80229000000000006</c:v>
                </c:pt>
                <c:pt idx="57">
                  <c:v>0.80313000000000012</c:v>
                </c:pt>
                <c:pt idx="58">
                  <c:v>0.80397000000000007</c:v>
                </c:pt>
                <c:pt idx="59">
                  <c:v>0.80481000000000014</c:v>
                </c:pt>
                <c:pt idx="60">
                  <c:v>0.80565000000000009</c:v>
                </c:pt>
                <c:pt idx="61">
                  <c:v>0.80649000000000004</c:v>
                </c:pt>
                <c:pt idx="62">
                  <c:v>0.8073300000000001</c:v>
                </c:pt>
                <c:pt idx="63">
                  <c:v>0.80817000000000005</c:v>
                </c:pt>
                <c:pt idx="64">
                  <c:v>0.80901000000000012</c:v>
                </c:pt>
                <c:pt idx="65">
                  <c:v>0.80985000000000007</c:v>
                </c:pt>
                <c:pt idx="66">
                  <c:v>0.81069000000000013</c:v>
                </c:pt>
                <c:pt idx="67">
                  <c:v>0.81153000000000008</c:v>
                </c:pt>
                <c:pt idx="68">
                  <c:v>0.81237000000000004</c:v>
                </c:pt>
                <c:pt idx="69">
                  <c:v>0.8132100000000001</c:v>
                </c:pt>
                <c:pt idx="70">
                  <c:v>0.81405000000000005</c:v>
                </c:pt>
                <c:pt idx="71">
                  <c:v>0.81489000000000011</c:v>
                </c:pt>
                <c:pt idx="72">
                  <c:v>0.81573000000000007</c:v>
                </c:pt>
                <c:pt idx="73">
                  <c:v>0.81657000000000013</c:v>
                </c:pt>
                <c:pt idx="74">
                  <c:v>0.81741000000000008</c:v>
                </c:pt>
                <c:pt idx="75">
                  <c:v>0.81825000000000014</c:v>
                </c:pt>
                <c:pt idx="76">
                  <c:v>0.8190900000000001</c:v>
                </c:pt>
                <c:pt idx="77">
                  <c:v>0.81993000000000005</c:v>
                </c:pt>
                <c:pt idx="78">
                  <c:v>0.82077000000000011</c:v>
                </c:pt>
                <c:pt idx="79">
                  <c:v>0.82161000000000006</c:v>
                </c:pt>
                <c:pt idx="80">
                  <c:v>0.82245000000000013</c:v>
                </c:pt>
                <c:pt idx="81">
                  <c:v>0.82329000000000008</c:v>
                </c:pt>
                <c:pt idx="82">
                  <c:v>0.82413000000000003</c:v>
                </c:pt>
                <c:pt idx="83">
                  <c:v>0.82497000000000009</c:v>
                </c:pt>
                <c:pt idx="84">
                  <c:v>0.82581000000000004</c:v>
                </c:pt>
                <c:pt idx="85">
                  <c:v>0.82665000000000011</c:v>
                </c:pt>
                <c:pt idx="86">
                  <c:v>0.82749000000000006</c:v>
                </c:pt>
                <c:pt idx="87">
                  <c:v>0.82833000000000012</c:v>
                </c:pt>
                <c:pt idx="88">
                  <c:v>0.82917000000000007</c:v>
                </c:pt>
                <c:pt idx="89">
                  <c:v>0.83001000000000014</c:v>
                </c:pt>
                <c:pt idx="90">
                  <c:v>0.83085000000000009</c:v>
                </c:pt>
                <c:pt idx="91">
                  <c:v>0.83169000000000004</c:v>
                </c:pt>
                <c:pt idx="92">
                  <c:v>0.8325300000000001</c:v>
                </c:pt>
                <c:pt idx="93">
                  <c:v>0.83337000000000006</c:v>
                </c:pt>
                <c:pt idx="94">
                  <c:v>0.83421000000000012</c:v>
                </c:pt>
                <c:pt idx="95">
                  <c:v>0.83505000000000007</c:v>
                </c:pt>
                <c:pt idx="96">
                  <c:v>0.83589000000000013</c:v>
                </c:pt>
                <c:pt idx="97">
                  <c:v>0.83673000000000008</c:v>
                </c:pt>
                <c:pt idx="98">
                  <c:v>0.83757000000000015</c:v>
                </c:pt>
                <c:pt idx="99">
                  <c:v>0.8384100000000001</c:v>
                </c:pt>
                <c:pt idx="100">
                  <c:v>0.83925000000000005</c:v>
                </c:pt>
                <c:pt idx="101">
                  <c:v>0.84009000000000011</c:v>
                </c:pt>
                <c:pt idx="102">
                  <c:v>0.84093000000000007</c:v>
                </c:pt>
                <c:pt idx="103">
                  <c:v>0.84177000000000013</c:v>
                </c:pt>
                <c:pt idx="104">
                  <c:v>0.84261000000000008</c:v>
                </c:pt>
                <c:pt idx="105">
                  <c:v>0.84345000000000003</c:v>
                </c:pt>
                <c:pt idx="106">
                  <c:v>0.8442900000000001</c:v>
                </c:pt>
                <c:pt idx="107">
                  <c:v>0.84513000000000005</c:v>
                </c:pt>
                <c:pt idx="108">
                  <c:v>0.84597000000000011</c:v>
                </c:pt>
                <c:pt idx="109">
                  <c:v>0.84681000000000006</c:v>
                </c:pt>
                <c:pt idx="110">
                  <c:v>0.84765000000000013</c:v>
                </c:pt>
                <c:pt idx="111">
                  <c:v>0.84849000000000008</c:v>
                </c:pt>
                <c:pt idx="112">
                  <c:v>0.84933000000000014</c:v>
                </c:pt>
                <c:pt idx="113">
                  <c:v>0.85017000000000009</c:v>
                </c:pt>
                <c:pt idx="114">
                  <c:v>0.85101000000000004</c:v>
                </c:pt>
                <c:pt idx="115">
                  <c:v>0.85185000000000011</c:v>
                </c:pt>
                <c:pt idx="116">
                  <c:v>0.85269000000000006</c:v>
                </c:pt>
                <c:pt idx="117">
                  <c:v>0.85353000000000012</c:v>
                </c:pt>
                <c:pt idx="118">
                  <c:v>0.85437000000000007</c:v>
                </c:pt>
                <c:pt idx="119">
                  <c:v>0.85521000000000014</c:v>
                </c:pt>
                <c:pt idx="120">
                  <c:v>0.85605000000000009</c:v>
                </c:pt>
                <c:pt idx="121">
                  <c:v>0.85689000000000004</c:v>
                </c:pt>
                <c:pt idx="122">
                  <c:v>0.8577300000000001</c:v>
                </c:pt>
                <c:pt idx="123">
                  <c:v>0.85857000000000006</c:v>
                </c:pt>
                <c:pt idx="124">
                  <c:v>0.85941000000000012</c:v>
                </c:pt>
                <c:pt idx="125">
                  <c:v>0.86025000000000007</c:v>
                </c:pt>
                <c:pt idx="126">
                  <c:v>0.86109000000000013</c:v>
                </c:pt>
                <c:pt idx="127">
                  <c:v>0.86193000000000008</c:v>
                </c:pt>
                <c:pt idx="128">
                  <c:v>0.86277000000000004</c:v>
                </c:pt>
                <c:pt idx="129">
                  <c:v>0.8636100000000001</c:v>
                </c:pt>
                <c:pt idx="130">
                  <c:v>0.86445000000000005</c:v>
                </c:pt>
                <c:pt idx="131">
                  <c:v>0.86529000000000011</c:v>
                </c:pt>
                <c:pt idx="132">
                  <c:v>0.86613000000000007</c:v>
                </c:pt>
                <c:pt idx="133">
                  <c:v>0.86697000000000013</c:v>
                </c:pt>
                <c:pt idx="134">
                  <c:v>0.86781000000000008</c:v>
                </c:pt>
                <c:pt idx="135">
                  <c:v>0.86865000000000014</c:v>
                </c:pt>
                <c:pt idx="136">
                  <c:v>0.8694900000000001</c:v>
                </c:pt>
                <c:pt idx="137">
                  <c:v>0.87033000000000005</c:v>
                </c:pt>
                <c:pt idx="138">
                  <c:v>0.87117000000000011</c:v>
                </c:pt>
                <c:pt idx="139">
                  <c:v>0.87201000000000006</c:v>
                </c:pt>
                <c:pt idx="140">
                  <c:v>0.87285000000000013</c:v>
                </c:pt>
                <c:pt idx="141">
                  <c:v>0.87369000000000008</c:v>
                </c:pt>
                <c:pt idx="142">
                  <c:v>0.87453000000000014</c:v>
                </c:pt>
                <c:pt idx="143">
                  <c:v>0.87537000000000009</c:v>
                </c:pt>
                <c:pt idx="144">
                  <c:v>0.87621000000000016</c:v>
                </c:pt>
                <c:pt idx="145">
                  <c:v>0.87705000000000011</c:v>
                </c:pt>
                <c:pt idx="146">
                  <c:v>0.87789000000000006</c:v>
                </c:pt>
                <c:pt idx="147">
                  <c:v>0.87873000000000012</c:v>
                </c:pt>
                <c:pt idx="148">
                  <c:v>0.87957000000000007</c:v>
                </c:pt>
                <c:pt idx="149">
                  <c:v>0.88041000000000014</c:v>
                </c:pt>
                <c:pt idx="150">
                  <c:v>0.88125000000000009</c:v>
                </c:pt>
              </c:numCache>
            </c:numRef>
          </c:yVal>
          <c:smooth val="1"/>
          <c:extLst>
            <c:ext xmlns:c16="http://schemas.microsoft.com/office/drawing/2014/chart" uri="{C3380CC4-5D6E-409C-BE32-E72D297353CC}">
              <c16:uniqueId val="{00000002-5398-43C3-8D33-A0111B65B9EF}"/>
            </c:ext>
          </c:extLst>
        </c:ser>
        <c:ser>
          <c:idx val="3"/>
          <c:order val="3"/>
          <c:tx>
            <c:v>RCS</c:v>
          </c:tx>
          <c:marker>
            <c:symbol val="none"/>
          </c:marker>
          <c:xVal>
            <c:numRef>
              <c:f>Eff_vs_IOUT!$AZ$7:$AZ$157</c:f>
              <c:numCache>
                <c:formatCode>General</c:formatCode>
                <c:ptCount val="151"/>
                <c:pt idx="0">
                  <c:v>0</c:v>
                </c:pt>
                <c:pt idx="1">
                  <c:v>2E-3</c:v>
                </c:pt>
                <c:pt idx="2">
                  <c:v>4.0000000000000001E-3</c:v>
                </c:pt>
                <c:pt idx="3">
                  <c:v>6.0000000000000001E-3</c:v>
                </c:pt>
                <c:pt idx="4">
                  <c:v>8.0000000000000002E-3</c:v>
                </c:pt>
                <c:pt idx="5">
                  <c:v>0.01</c:v>
                </c:pt>
                <c:pt idx="6">
                  <c:v>1.2E-2</c:v>
                </c:pt>
                <c:pt idx="7">
                  <c:v>1.4E-2</c:v>
                </c:pt>
                <c:pt idx="8">
                  <c:v>1.6E-2</c:v>
                </c:pt>
                <c:pt idx="9">
                  <c:v>1.8000000000000002E-2</c:v>
                </c:pt>
                <c:pt idx="10">
                  <c:v>0.02</c:v>
                </c:pt>
                <c:pt idx="11">
                  <c:v>2.1999999999999999E-2</c:v>
                </c:pt>
                <c:pt idx="12">
                  <c:v>2.4E-2</c:v>
                </c:pt>
                <c:pt idx="13">
                  <c:v>2.6000000000000002E-2</c:v>
                </c:pt>
                <c:pt idx="14">
                  <c:v>2.8000000000000001E-2</c:v>
                </c:pt>
                <c:pt idx="15">
                  <c:v>0.03</c:v>
                </c:pt>
                <c:pt idx="16">
                  <c:v>3.2000000000000001E-2</c:v>
                </c:pt>
                <c:pt idx="17">
                  <c:v>3.4000000000000002E-2</c:v>
                </c:pt>
                <c:pt idx="18">
                  <c:v>3.6000000000000004E-2</c:v>
                </c:pt>
                <c:pt idx="19">
                  <c:v>3.7999999999999999E-2</c:v>
                </c:pt>
                <c:pt idx="20">
                  <c:v>0.04</c:v>
                </c:pt>
                <c:pt idx="21">
                  <c:v>4.2000000000000003E-2</c:v>
                </c:pt>
                <c:pt idx="22">
                  <c:v>4.3999999999999997E-2</c:v>
                </c:pt>
                <c:pt idx="23">
                  <c:v>4.5999999999999999E-2</c:v>
                </c:pt>
                <c:pt idx="24">
                  <c:v>4.8000000000000001E-2</c:v>
                </c:pt>
                <c:pt idx="25">
                  <c:v>0.05</c:v>
                </c:pt>
                <c:pt idx="26">
                  <c:v>5.2000000000000005E-2</c:v>
                </c:pt>
                <c:pt idx="27">
                  <c:v>5.3999999999999999E-2</c:v>
                </c:pt>
                <c:pt idx="28">
                  <c:v>5.6000000000000001E-2</c:v>
                </c:pt>
                <c:pt idx="29">
                  <c:v>5.8000000000000003E-2</c:v>
                </c:pt>
                <c:pt idx="30">
                  <c:v>0.06</c:v>
                </c:pt>
                <c:pt idx="31">
                  <c:v>6.2E-2</c:v>
                </c:pt>
                <c:pt idx="32">
                  <c:v>6.4000000000000001E-2</c:v>
                </c:pt>
                <c:pt idx="33">
                  <c:v>6.6000000000000003E-2</c:v>
                </c:pt>
                <c:pt idx="34">
                  <c:v>6.8000000000000005E-2</c:v>
                </c:pt>
                <c:pt idx="35">
                  <c:v>7.0000000000000007E-2</c:v>
                </c:pt>
                <c:pt idx="36">
                  <c:v>7.2000000000000008E-2</c:v>
                </c:pt>
                <c:pt idx="37">
                  <c:v>7.3999999999999996E-2</c:v>
                </c:pt>
                <c:pt idx="38">
                  <c:v>7.5999999999999998E-2</c:v>
                </c:pt>
                <c:pt idx="39">
                  <c:v>7.8E-2</c:v>
                </c:pt>
                <c:pt idx="40">
                  <c:v>0.08</c:v>
                </c:pt>
                <c:pt idx="41">
                  <c:v>8.2000000000000003E-2</c:v>
                </c:pt>
                <c:pt idx="42">
                  <c:v>8.4000000000000005E-2</c:v>
                </c:pt>
                <c:pt idx="43">
                  <c:v>8.6000000000000007E-2</c:v>
                </c:pt>
                <c:pt idx="44">
                  <c:v>8.7999999999999995E-2</c:v>
                </c:pt>
                <c:pt idx="45">
                  <c:v>0.09</c:v>
                </c:pt>
                <c:pt idx="46">
                  <c:v>9.1999999999999998E-2</c:v>
                </c:pt>
                <c:pt idx="47">
                  <c:v>9.4E-2</c:v>
                </c:pt>
                <c:pt idx="48">
                  <c:v>9.6000000000000002E-2</c:v>
                </c:pt>
                <c:pt idx="49">
                  <c:v>9.8000000000000004E-2</c:v>
                </c:pt>
                <c:pt idx="50">
                  <c:v>0.1</c:v>
                </c:pt>
                <c:pt idx="51">
                  <c:v>0.10200000000000001</c:v>
                </c:pt>
                <c:pt idx="52">
                  <c:v>0.10400000000000001</c:v>
                </c:pt>
                <c:pt idx="53">
                  <c:v>0.106</c:v>
                </c:pt>
                <c:pt idx="54">
                  <c:v>0.108</c:v>
                </c:pt>
                <c:pt idx="55">
                  <c:v>0.11</c:v>
                </c:pt>
                <c:pt idx="56">
                  <c:v>0.112</c:v>
                </c:pt>
                <c:pt idx="57">
                  <c:v>0.114</c:v>
                </c:pt>
                <c:pt idx="58">
                  <c:v>0.11600000000000001</c:v>
                </c:pt>
                <c:pt idx="59">
                  <c:v>0.11800000000000001</c:v>
                </c:pt>
                <c:pt idx="60">
                  <c:v>0.12</c:v>
                </c:pt>
                <c:pt idx="61">
                  <c:v>0.122</c:v>
                </c:pt>
                <c:pt idx="62">
                  <c:v>0.124</c:v>
                </c:pt>
                <c:pt idx="63">
                  <c:v>0.126</c:v>
                </c:pt>
                <c:pt idx="64">
                  <c:v>0.128</c:v>
                </c:pt>
                <c:pt idx="65">
                  <c:v>0.13</c:v>
                </c:pt>
                <c:pt idx="66">
                  <c:v>0.13200000000000001</c:v>
                </c:pt>
                <c:pt idx="67">
                  <c:v>0.13400000000000001</c:v>
                </c:pt>
                <c:pt idx="68">
                  <c:v>0.13600000000000001</c:v>
                </c:pt>
                <c:pt idx="69">
                  <c:v>0.13800000000000001</c:v>
                </c:pt>
                <c:pt idx="70">
                  <c:v>0.14000000000000001</c:v>
                </c:pt>
                <c:pt idx="71">
                  <c:v>0.14200000000000002</c:v>
                </c:pt>
                <c:pt idx="72">
                  <c:v>0.14400000000000002</c:v>
                </c:pt>
                <c:pt idx="73">
                  <c:v>0.14599999999999999</c:v>
                </c:pt>
                <c:pt idx="74">
                  <c:v>0.14799999999999999</c:v>
                </c:pt>
                <c:pt idx="75">
                  <c:v>0.15</c:v>
                </c:pt>
                <c:pt idx="76">
                  <c:v>0.152</c:v>
                </c:pt>
                <c:pt idx="77">
                  <c:v>0.154</c:v>
                </c:pt>
                <c:pt idx="78">
                  <c:v>0.156</c:v>
                </c:pt>
                <c:pt idx="79">
                  <c:v>0.158</c:v>
                </c:pt>
                <c:pt idx="80">
                  <c:v>0.16</c:v>
                </c:pt>
                <c:pt idx="81">
                  <c:v>0.16200000000000001</c:v>
                </c:pt>
                <c:pt idx="82">
                  <c:v>0.16400000000000001</c:v>
                </c:pt>
                <c:pt idx="83">
                  <c:v>0.16600000000000001</c:v>
                </c:pt>
                <c:pt idx="84">
                  <c:v>0.16800000000000001</c:v>
                </c:pt>
                <c:pt idx="85">
                  <c:v>0.17</c:v>
                </c:pt>
                <c:pt idx="86">
                  <c:v>0.17200000000000001</c:v>
                </c:pt>
                <c:pt idx="87">
                  <c:v>0.17400000000000002</c:v>
                </c:pt>
                <c:pt idx="88">
                  <c:v>0.17599999999999999</c:v>
                </c:pt>
                <c:pt idx="89">
                  <c:v>0.17799999999999999</c:v>
                </c:pt>
                <c:pt idx="90">
                  <c:v>0.18</c:v>
                </c:pt>
                <c:pt idx="91">
                  <c:v>0.182</c:v>
                </c:pt>
                <c:pt idx="92">
                  <c:v>0.184</c:v>
                </c:pt>
                <c:pt idx="93">
                  <c:v>0.186</c:v>
                </c:pt>
                <c:pt idx="94">
                  <c:v>0.188</c:v>
                </c:pt>
                <c:pt idx="95">
                  <c:v>0.19</c:v>
                </c:pt>
                <c:pt idx="96">
                  <c:v>0.192</c:v>
                </c:pt>
                <c:pt idx="97">
                  <c:v>0.19400000000000001</c:v>
                </c:pt>
                <c:pt idx="98">
                  <c:v>0.19600000000000001</c:v>
                </c:pt>
                <c:pt idx="99">
                  <c:v>0.19800000000000001</c:v>
                </c:pt>
                <c:pt idx="100">
                  <c:v>0.2</c:v>
                </c:pt>
                <c:pt idx="101">
                  <c:v>0.20200000000000001</c:v>
                </c:pt>
                <c:pt idx="102">
                  <c:v>0.20400000000000001</c:v>
                </c:pt>
                <c:pt idx="103">
                  <c:v>0.20600000000000002</c:v>
                </c:pt>
                <c:pt idx="104">
                  <c:v>0.20800000000000002</c:v>
                </c:pt>
                <c:pt idx="105">
                  <c:v>0.21</c:v>
                </c:pt>
                <c:pt idx="106">
                  <c:v>0.21199999999999999</c:v>
                </c:pt>
                <c:pt idx="107">
                  <c:v>0.214</c:v>
                </c:pt>
                <c:pt idx="108">
                  <c:v>0.216</c:v>
                </c:pt>
                <c:pt idx="109">
                  <c:v>0.218</c:v>
                </c:pt>
                <c:pt idx="110">
                  <c:v>0.22</c:v>
                </c:pt>
                <c:pt idx="111">
                  <c:v>0.222</c:v>
                </c:pt>
                <c:pt idx="112">
                  <c:v>0.224</c:v>
                </c:pt>
                <c:pt idx="113">
                  <c:v>0.22600000000000001</c:v>
                </c:pt>
                <c:pt idx="114">
                  <c:v>0.22800000000000001</c:v>
                </c:pt>
                <c:pt idx="115">
                  <c:v>0.23</c:v>
                </c:pt>
                <c:pt idx="116">
                  <c:v>0.23200000000000001</c:v>
                </c:pt>
                <c:pt idx="117">
                  <c:v>0.23400000000000001</c:v>
                </c:pt>
                <c:pt idx="118">
                  <c:v>0.23600000000000002</c:v>
                </c:pt>
                <c:pt idx="119">
                  <c:v>0.23800000000000002</c:v>
                </c:pt>
                <c:pt idx="120">
                  <c:v>0.24</c:v>
                </c:pt>
                <c:pt idx="121">
                  <c:v>0.24199999999999999</c:v>
                </c:pt>
                <c:pt idx="122">
                  <c:v>0.24399999999999999</c:v>
                </c:pt>
                <c:pt idx="123">
                  <c:v>0.246</c:v>
                </c:pt>
                <c:pt idx="124">
                  <c:v>0.248</c:v>
                </c:pt>
                <c:pt idx="125">
                  <c:v>0.25</c:v>
                </c:pt>
                <c:pt idx="126">
                  <c:v>0.252</c:v>
                </c:pt>
                <c:pt idx="127">
                  <c:v>0.254</c:v>
                </c:pt>
                <c:pt idx="128">
                  <c:v>0.25600000000000001</c:v>
                </c:pt>
                <c:pt idx="129">
                  <c:v>0.25800000000000001</c:v>
                </c:pt>
                <c:pt idx="130">
                  <c:v>0.26</c:v>
                </c:pt>
                <c:pt idx="131">
                  <c:v>0.26200000000000001</c:v>
                </c:pt>
                <c:pt idx="132">
                  <c:v>0.26400000000000001</c:v>
                </c:pt>
                <c:pt idx="133">
                  <c:v>0.26600000000000001</c:v>
                </c:pt>
                <c:pt idx="134">
                  <c:v>0.26800000000000002</c:v>
                </c:pt>
                <c:pt idx="135">
                  <c:v>0.27</c:v>
                </c:pt>
                <c:pt idx="136">
                  <c:v>0.27200000000000002</c:v>
                </c:pt>
                <c:pt idx="137">
                  <c:v>0.27400000000000002</c:v>
                </c:pt>
                <c:pt idx="138">
                  <c:v>0.27600000000000002</c:v>
                </c:pt>
                <c:pt idx="139">
                  <c:v>0.27800000000000002</c:v>
                </c:pt>
                <c:pt idx="140">
                  <c:v>0.28000000000000003</c:v>
                </c:pt>
                <c:pt idx="141">
                  <c:v>0.28200000000000003</c:v>
                </c:pt>
                <c:pt idx="142">
                  <c:v>0.28400000000000003</c:v>
                </c:pt>
                <c:pt idx="143">
                  <c:v>0.28600000000000003</c:v>
                </c:pt>
                <c:pt idx="144">
                  <c:v>0.28800000000000003</c:v>
                </c:pt>
                <c:pt idx="145">
                  <c:v>0.28999999999999998</c:v>
                </c:pt>
                <c:pt idx="146">
                  <c:v>0.29199999999999998</c:v>
                </c:pt>
                <c:pt idx="147">
                  <c:v>0.29399999999999998</c:v>
                </c:pt>
                <c:pt idx="148">
                  <c:v>0.29599999999999999</c:v>
                </c:pt>
                <c:pt idx="149">
                  <c:v>0.29799999999999999</c:v>
                </c:pt>
                <c:pt idx="150">
                  <c:v>0.3</c:v>
                </c:pt>
              </c:numCache>
            </c:numRef>
          </c:xVal>
          <c:yVal>
            <c:numRef>
              <c:f>Eff_vs_IOUT!$BV$7:$BV$157</c:f>
              <c:numCache>
                <c:formatCode>General</c:formatCode>
                <c:ptCount val="1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numCache>
            </c:numRef>
          </c:yVal>
          <c:smooth val="1"/>
          <c:extLst>
            <c:ext xmlns:c16="http://schemas.microsoft.com/office/drawing/2014/chart" uri="{C3380CC4-5D6E-409C-BE32-E72D297353CC}">
              <c16:uniqueId val="{00000003-5398-43C3-8D33-A0111B65B9EF}"/>
            </c:ext>
          </c:extLst>
        </c:ser>
        <c:dLbls>
          <c:showLegendKey val="0"/>
          <c:showVal val="0"/>
          <c:showCatName val="0"/>
          <c:showSerName val="0"/>
          <c:showPercent val="0"/>
          <c:showBubbleSize val="0"/>
        </c:dLbls>
        <c:axId val="74567680"/>
        <c:axId val="74557696"/>
      </c:scatterChart>
      <c:valAx>
        <c:axId val="74549888"/>
        <c:scaling>
          <c:orientation val="minMax"/>
          <c:max val="6"/>
        </c:scaling>
        <c:delete val="0"/>
        <c:axPos val="b"/>
        <c:majorGridlines/>
        <c:numFmt formatCode="General" sourceLinked="1"/>
        <c:majorTickMark val="out"/>
        <c:minorTickMark val="none"/>
        <c:tickLblPos val="nextTo"/>
        <c:crossAx val="74555776"/>
        <c:crosses val="autoZero"/>
        <c:crossBetween val="midCat"/>
      </c:valAx>
      <c:valAx>
        <c:axId val="74555776"/>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74549888"/>
        <c:crosses val="autoZero"/>
        <c:crossBetween val="midCat"/>
      </c:valAx>
      <c:valAx>
        <c:axId val="74557696"/>
        <c:scaling>
          <c:orientation val="minMax"/>
        </c:scaling>
        <c:delete val="0"/>
        <c:axPos val="r"/>
        <c:numFmt formatCode="General" sourceLinked="1"/>
        <c:majorTickMark val="out"/>
        <c:minorTickMark val="none"/>
        <c:tickLblPos val="nextTo"/>
        <c:crossAx val="74567680"/>
        <c:crosses val="max"/>
        <c:crossBetween val="midCat"/>
      </c:valAx>
      <c:valAx>
        <c:axId val="74567680"/>
        <c:scaling>
          <c:orientation val="minMax"/>
        </c:scaling>
        <c:delete val="1"/>
        <c:axPos val="b"/>
        <c:numFmt formatCode="General" sourceLinked="1"/>
        <c:majorTickMark val="out"/>
        <c:minorTickMark val="none"/>
        <c:tickLblPos val="nextTo"/>
        <c:crossAx val="74557696"/>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scatterChart>
        <c:scatterStyle val="lineMarker"/>
        <c:varyColors val="0"/>
        <c:ser>
          <c:idx val="0"/>
          <c:order val="0"/>
          <c:tx>
            <c:strRef>
              <c:f>Eff_vs_IOUT!$E$19</c:f>
              <c:strCache>
                <c:ptCount val="1"/>
                <c:pt idx="0">
                  <c:v>Rdson</c:v>
                </c:pt>
              </c:strCache>
            </c:strRef>
          </c:tx>
          <c:marker>
            <c:symbol val="none"/>
          </c:marker>
          <c:trendline>
            <c:trendlineType val="linear"/>
            <c:dispRSqr val="0"/>
            <c:dispEq val="0"/>
          </c:trendline>
          <c:trendline>
            <c:trendlineType val="linear"/>
            <c:dispRSqr val="0"/>
            <c:dispEq val="1"/>
            <c:trendlineLbl>
              <c:numFmt formatCode="General" sourceLinked="0"/>
            </c:trendlineLbl>
          </c:trendline>
          <c:xVal>
            <c:numRef>
              <c:f>Eff_vs_IOUT!$D$20:$D$22</c:f>
              <c:numCache>
                <c:formatCode>General</c:formatCode>
                <c:ptCount val="3"/>
                <c:pt idx="0">
                  <c:v>-40</c:v>
                </c:pt>
                <c:pt idx="1">
                  <c:v>27</c:v>
                </c:pt>
                <c:pt idx="2">
                  <c:v>125</c:v>
                </c:pt>
              </c:numCache>
            </c:numRef>
          </c:xVal>
          <c:yVal>
            <c:numRef>
              <c:f>Eff_vs_IOUT!$E$20:$E$22</c:f>
              <c:numCache>
                <c:formatCode>General</c:formatCode>
                <c:ptCount val="3"/>
                <c:pt idx="0">
                  <c:v>38.200000000000003</c:v>
                </c:pt>
                <c:pt idx="1">
                  <c:v>52.3</c:v>
                </c:pt>
                <c:pt idx="2">
                  <c:v>78.2</c:v>
                </c:pt>
              </c:numCache>
            </c:numRef>
          </c:yVal>
          <c:smooth val="0"/>
          <c:extLst>
            <c:ext xmlns:c16="http://schemas.microsoft.com/office/drawing/2014/chart" uri="{C3380CC4-5D6E-409C-BE32-E72D297353CC}">
              <c16:uniqueId val="{00000002-DBC2-47D4-B96A-56D37B1C9361}"/>
            </c:ext>
          </c:extLst>
        </c:ser>
        <c:dLbls>
          <c:showLegendKey val="0"/>
          <c:showVal val="0"/>
          <c:showCatName val="0"/>
          <c:showSerName val="0"/>
          <c:showPercent val="0"/>
          <c:showBubbleSize val="0"/>
        </c:dLbls>
        <c:axId val="74590080"/>
        <c:axId val="74591616"/>
      </c:scatterChart>
      <c:valAx>
        <c:axId val="74590080"/>
        <c:scaling>
          <c:orientation val="minMax"/>
        </c:scaling>
        <c:delete val="0"/>
        <c:axPos val="b"/>
        <c:numFmt formatCode="General" sourceLinked="1"/>
        <c:majorTickMark val="out"/>
        <c:minorTickMark val="none"/>
        <c:tickLblPos val="nextTo"/>
        <c:crossAx val="74591616"/>
        <c:crosses val="autoZero"/>
        <c:crossBetween val="midCat"/>
      </c:valAx>
      <c:valAx>
        <c:axId val="74591616"/>
        <c:scaling>
          <c:orientation val="minMax"/>
        </c:scaling>
        <c:delete val="0"/>
        <c:axPos val="l"/>
        <c:majorGridlines/>
        <c:numFmt formatCode="General" sourceLinked="1"/>
        <c:majorTickMark val="out"/>
        <c:minorTickMark val="none"/>
        <c:tickLblPos val="nextTo"/>
        <c:crossAx val="745900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42.343519966834052</c:v>
                </c:pt>
                <c:pt idx="1">
                  <c:v>42.341634167819741</c:v>
                </c:pt>
                <c:pt idx="2">
                  <c:v>42.339660371094084</c:v>
                </c:pt>
                <c:pt idx="3">
                  <c:v>42.337594513214384</c:v>
                </c:pt>
                <c:pt idx="4">
                  <c:v>42.335432347186909</c:v>
                </c:pt>
                <c:pt idx="5">
                  <c:v>42.333169434564901</c:v>
                </c:pt>
                <c:pt idx="6">
                  <c:v>42.330801137243682</c:v>
                </c:pt>
                <c:pt idx="7">
                  <c:v>42.328322608944916</c:v>
                </c:pt>
                <c:pt idx="8">
                  <c:v>42.325728786382811</c:v>
                </c:pt>
                <c:pt idx="9">
                  <c:v>42.323014380102713</c:v>
                </c:pt>
                <c:pt idx="10">
                  <c:v>42.320173864988142</c:v>
                </c:pt>
                <c:pt idx="11">
                  <c:v>42.31720147042553</c:v>
                </c:pt>
                <c:pt idx="12">
                  <c:v>42.314091170123945</c:v>
                </c:pt>
                <c:pt idx="13">
                  <c:v>42.310836671580631</c:v>
                </c:pt>
                <c:pt idx="14">
                  <c:v>42.307431405189206</c:v>
                </c:pt>
                <c:pt idx="15">
                  <c:v>42.303868512984657</c:v>
                </c:pt>
                <c:pt idx="16">
                  <c:v>42.300140837022042</c:v>
                </c:pt>
                <c:pt idx="17">
                  <c:v>42.296240907385325</c:v>
                </c:pt>
                <c:pt idx="18">
                  <c:v>42.292160929824661</c:v>
                </c:pt>
                <c:pt idx="19">
                  <c:v>42.287892773021696</c:v>
                </c:pt>
                <c:pt idx="20">
                  <c:v>42.283427955482942</c:v>
                </c:pt>
                <c:pt idx="21">
                  <c:v>42.278757632063773</c:v>
                </c:pt>
                <c:pt idx="22">
                  <c:v>42.273872580126444</c:v>
                </c:pt>
                <c:pt idx="23">
                  <c:v>42.268763185337626</c:v>
                </c:pt>
                <c:pt idx="24">
                  <c:v>42.26341942711376</c:v>
                </c:pt>
                <c:pt idx="25">
                  <c:v>42.257830863722376</c:v>
                </c:pt>
                <c:pt idx="26">
                  <c:v>42.251986617054314</c:v>
                </c:pt>
                <c:pt idx="27">
                  <c:v>42.245875357078276</c:v>
                </c:pt>
                <c:pt idx="28">
                  <c:v>42.239485285999201</c:v>
                </c:pt>
                <c:pt idx="29">
                  <c:v>42.232804122138816</c:v>
                </c:pt>
                <c:pt idx="30">
                  <c:v>42.225819083564588</c:v>
                </c:pt>
                <c:pt idx="31">
                  <c:v>42.218516871493996</c:v>
                </c:pt>
                <c:pt idx="32">
                  <c:v>42.210883653508191</c:v>
                </c:pt>
                <c:pt idx="33">
                  <c:v>42.202905046610482</c:v>
                </c:pt>
                <c:pt idx="34">
                  <c:v>42.194566100171286</c:v>
                </c:pt>
                <c:pt idx="35">
                  <c:v>42.185851278807093</c:v>
                </c:pt>
                <c:pt idx="36">
                  <c:v>42.176744445243422</c:v>
                </c:pt>
                <c:pt idx="37">
                  <c:v>42.16722884322153</c:v>
                </c:pt>
                <c:pt idx="38">
                  <c:v>42.157287080510699</c:v>
                </c:pt>
                <c:pt idx="39">
                  <c:v>42.146901112096778</c:v>
                </c:pt>
                <c:pt idx="40">
                  <c:v>42.136052223624134</c:v>
                </c:pt>
                <c:pt idx="41">
                  <c:v>42.124721015173961</c:v>
                </c:pt>
                <c:pt idx="42">
                  <c:v>42.112887385470415</c:v>
                </c:pt>
                <c:pt idx="43">
                  <c:v>42.10053051661319</c:v>
                </c:pt>
                <c:pt idx="44">
                  <c:v>42.087628859443534</c:v>
                </c:pt>
                <c:pt idx="45">
                  <c:v>42.074160119657648</c:v>
                </c:pt>
                <c:pt idx="46">
                  <c:v>42.060101244791063</c:v>
                </c:pt>
                <c:pt idx="47">
                  <c:v>42.045428412204529</c:v>
                </c:pt>
                <c:pt idx="48">
                  <c:v>42.030117018212678</c:v>
                </c:pt>
                <c:pt idx="49">
                  <c:v>42.014141668502234</c:v>
                </c:pt>
                <c:pt idx="50">
                  <c:v>41.997476169995991</c:v>
                </c:pt>
                <c:pt idx="51">
                  <c:v>41.980093524329682</c:v>
                </c:pt>
                <c:pt idx="52">
                  <c:v>41.961965923111137</c:v>
                </c:pt>
                <c:pt idx="53">
                  <c:v>41.943064745143488</c:v>
                </c:pt>
                <c:pt idx="54">
                  <c:v>41.923360555798837</c:v>
                </c:pt>
                <c:pt idx="55">
                  <c:v>41.902823108734466</c:v>
                </c:pt>
                <c:pt idx="56">
                  <c:v>41.881421350150525</c:v>
                </c:pt>
                <c:pt idx="57">
                  <c:v>41.859123425790941</c:v>
                </c:pt>
                <c:pt idx="58">
                  <c:v>41.835896690892525</c:v>
                </c:pt>
                <c:pt idx="59">
                  <c:v>41.811707723289928</c:v>
                </c:pt>
                <c:pt idx="60">
                  <c:v>41.786522339881593</c:v>
                </c:pt>
                <c:pt idx="61">
                  <c:v>41.760305616663338</c:v>
                </c:pt>
                <c:pt idx="62">
                  <c:v>41.733021912528734</c:v>
                </c:pt>
                <c:pt idx="63">
                  <c:v>41.704634897030814</c:v>
                </c:pt>
                <c:pt idx="64">
                  <c:v>41.675107582292554</c:v>
                </c:pt>
                <c:pt idx="65">
                  <c:v>41.644402359238768</c:v>
                </c:pt>
                <c:pt idx="66">
                  <c:v>41.612481038309717</c:v>
                </c:pt>
                <c:pt idx="67">
                  <c:v>41.579304894800771</c:v>
                </c:pt>
                <c:pt idx="68">
                  <c:v>41.544834718948323</c:v>
                </c:pt>
                <c:pt idx="69">
                  <c:v>41.509030870861928</c:v>
                </c:pt>
                <c:pt idx="70">
                  <c:v>41.471853340373741</c:v>
                </c:pt>
                <c:pt idx="71">
                  <c:v>41.433261811845519</c:v>
                </c:pt>
                <c:pt idx="72">
                  <c:v>41.393215733939712</c:v>
                </c:pt>
                <c:pt idx="73">
                  <c:v>41.351674394325073</c:v>
                </c:pt>
                <c:pt idx="74">
                  <c:v>41.308596999243726</c:v>
                </c:pt>
                <c:pt idx="75">
                  <c:v>41.263942757826015</c:v>
                </c:pt>
                <c:pt idx="76">
                  <c:v>41.217670970991172</c:v>
                </c:pt>
                <c:pt idx="77">
                  <c:v>41.169741124724446</c:v>
                </c:pt>
                <c:pt idx="78">
                  <c:v>41.120112987468787</c:v>
                </c:pt>
                <c:pt idx="79">
                  <c:v>41.068746711319704</c:v>
                </c:pt>
                <c:pt idx="80">
                  <c:v>41.015602936656883</c:v>
                </c:pt>
                <c:pt idx="81">
                  <c:v>40.960642899793946</c:v>
                </c:pt>
                <c:pt idx="82">
                  <c:v>40.9038285431755</c:v>
                </c:pt>
                <c:pt idx="83">
                  <c:v>40.84512262759911</c:v>
                </c:pt>
                <c:pt idx="84">
                  <c:v>40.784488845891183</c:v>
                </c:pt>
                <c:pt idx="85">
                  <c:v>40.72189193742016</c:v>
                </c:pt>
                <c:pt idx="86">
                  <c:v>40.657297802789145</c:v>
                </c:pt>
                <c:pt idx="87">
                  <c:v>40.590673618012161</c:v>
                </c:pt>
                <c:pt idx="88">
                  <c:v>40.521987947449276</c:v>
                </c:pt>
                <c:pt idx="89">
                  <c:v>40.451210854749718</c:v>
                </c:pt>
                <c:pt idx="90">
                  <c:v>40.378314011036672</c:v>
                </c:pt>
                <c:pt idx="91">
                  <c:v>40.303270799558945</c:v>
                </c:pt>
                <c:pt idx="92">
                  <c:v>40.226056416033416</c:v>
                </c:pt>
                <c:pt idx="93">
                  <c:v>40.146647963913225</c:v>
                </c:pt>
                <c:pt idx="94">
                  <c:v>40.065024543834006</c:v>
                </c:pt>
                <c:pt idx="95">
                  <c:v>39.981167336519889</c:v>
                </c:pt>
                <c:pt idx="96">
                  <c:v>39.895059678468655</c:v>
                </c:pt>
                <c:pt idx="97">
                  <c:v>39.806687129781309</c:v>
                </c:pt>
                <c:pt idx="98">
                  <c:v>39.71603753356019</c:v>
                </c:pt>
                <c:pt idx="99">
                  <c:v>39.623101066361521</c:v>
                </c:pt>
                <c:pt idx="100">
                  <c:v>39.52787027926118</c:v>
                </c:pt>
                <c:pt idx="101">
                  <c:v>39.430340129172251</c:v>
                </c:pt>
                <c:pt idx="102">
                  <c:v>39.330508000134358</c:v>
                </c:pt>
                <c:pt idx="103">
                  <c:v>39.228373714384624</c:v>
                </c:pt>
                <c:pt idx="104">
                  <c:v>39.123939533111724</c:v>
                </c:pt>
                <c:pt idx="105">
                  <c:v>39.01721014688475</c:v>
                </c:pt>
                <c:pt idx="106">
                  <c:v>38.908192655844289</c:v>
                </c:pt>
                <c:pt idx="107">
                  <c:v>38.796896539832076</c:v>
                </c:pt>
                <c:pt idx="108">
                  <c:v>38.683333618726216</c:v>
                </c:pt>
                <c:pt idx="109">
                  <c:v>38.56751800333123</c:v>
                </c:pt>
                <c:pt idx="110">
                  <c:v>38.44946603725473</c:v>
                </c:pt>
                <c:pt idx="111">
                  <c:v>38.32919623027243</c:v>
                </c:pt>
                <c:pt idx="112">
                  <c:v>38.206729183750724</c:v>
                </c:pt>
                <c:pt idx="113">
                  <c:v>38.082087508752132</c:v>
                </c:pt>
                <c:pt idx="114">
                  <c:v>37.955295737499384</c:v>
                </c:pt>
                <c:pt idx="115">
                  <c:v>37.826380228910203</c:v>
                </c:pt>
                <c:pt idx="116">
                  <c:v>37.695369068947613</c:v>
                </c:pt>
                <c:pt idx="117">
                  <c:v>37.562291966549054</c:v>
                </c:pt>
                <c:pt idx="118">
                  <c:v>37.427180145909126</c:v>
                </c:pt>
                <c:pt idx="119">
                  <c:v>37.290066235890237</c:v>
                </c:pt>
                <c:pt idx="120">
                  <c:v>37.15098415733199</c:v>
                </c:pt>
                <c:pt idx="121">
                  <c:v>37.009969009010177</c:v>
                </c:pt>
                <c:pt idx="122">
                  <c:v>36.867056952976263</c:v>
                </c:pt>
                <c:pt idx="123">
                  <c:v>36.722285099976588</c:v>
                </c:pt>
                <c:pt idx="124">
                  <c:v>36.575691395615692</c:v>
                </c:pt>
                <c:pt idx="125">
                  <c:v>36.427314507886365</c:v>
                </c:pt>
                <c:pt idx="126">
                  <c:v>36.277193716644156</c:v>
                </c:pt>
                <c:pt idx="127">
                  <c:v>36.125368805557002</c:v>
                </c:pt>
                <c:pt idx="128">
                  <c:v>35.971879957006749</c:v>
                </c:pt>
                <c:pt idx="129">
                  <c:v>35.816767650369876</c:v>
                </c:pt>
                <c:pt idx="130">
                  <c:v>35.660072564051802</c:v>
                </c:pt>
                <c:pt idx="131">
                  <c:v>35.501835481592941</c:v>
                </c:pt>
                <c:pt idx="132">
                  <c:v>35.342097202117216</c:v>
                </c:pt>
                <c:pt idx="133">
                  <c:v>35.180898455338138</c:v>
                </c:pt>
                <c:pt idx="134">
                  <c:v>35.018279821292047</c:v>
                </c:pt>
                <c:pt idx="135">
                  <c:v>34.854281654919994</c:v>
                </c:pt>
                <c:pt idx="136">
                  <c:v>34.688944015575018</c:v>
                </c:pt>
                <c:pt idx="137">
                  <c:v>34.522306601492133</c:v>
                </c:pt>
                <c:pt idx="138">
                  <c:v>34.354408689219483</c:v>
                </c:pt>
                <c:pt idx="139">
                  <c:v>34.185289077973955</c:v>
                </c:pt>
                <c:pt idx="140">
                  <c:v>34.014986038855561</c:v>
                </c:pt>
                <c:pt idx="141">
                  <c:v>33.843537268824186</c:v>
                </c:pt>
                <c:pt idx="142">
                  <c:v>33.67097984932186</c:v>
                </c:pt>
                <c:pt idx="143">
                  <c:v>33.497350209397723</c:v>
                </c:pt>
                <c:pt idx="144">
                  <c:v>33.32268409318015</c:v>
                </c:pt>
                <c:pt idx="145">
                  <c:v>33.147016531523285</c:v>
                </c:pt>
                <c:pt idx="146">
                  <c:v>32.970381817641801</c:v>
                </c:pt>
                <c:pt idx="147">
                  <c:v>32.792813486543075</c:v>
                </c:pt>
                <c:pt idx="148">
                  <c:v>32.614344298055236</c:v>
                </c:pt>
                <c:pt idx="149">
                  <c:v>32.435006223247072</c:v>
                </c:pt>
                <c:pt idx="150">
                  <c:v>32.254830434033188</c:v>
                </c:pt>
                <c:pt idx="151">
                  <c:v>32.073847295758604</c:v>
                </c:pt>
                <c:pt idx="152">
                  <c:v>31.892086362556029</c:v>
                </c:pt>
                <c:pt idx="153">
                  <c:v>31.709576375272903</c:v>
                </c:pt>
                <c:pt idx="154">
                  <c:v>31.526345261771581</c:v>
                </c:pt>
                <c:pt idx="155">
                  <c:v>31.342420139406407</c:v>
                </c:pt>
                <c:pt idx="156">
                  <c:v>31.157827319491641</c:v>
                </c:pt>
                <c:pt idx="157">
                  <c:v>30.972592313579142</c:v>
                </c:pt>
                <c:pt idx="158">
                  <c:v>30.786739841371812</c:v>
                </c:pt>
                <c:pt idx="159">
                  <c:v>30.600293840107277</c:v>
                </c:pt>
                <c:pt idx="160">
                  <c:v>30.413277475254166</c:v>
                </c:pt>
                <c:pt idx="161">
                  <c:v>30.225713152371085</c:v>
                </c:pt>
                <c:pt idx="162">
                  <c:v>30.037622529988344</c:v>
                </c:pt>
                <c:pt idx="163">
                  <c:v>29.849026533378222</c:v>
                </c:pt>
                <c:pt idx="164">
                  <c:v>29.659945369091524</c:v>
                </c:pt>
                <c:pt idx="165">
                  <c:v>29.470398540142682</c:v>
                </c:pt>
                <c:pt idx="166">
                  <c:v>29.280404861737491</c:v>
                </c:pt>
                <c:pt idx="167">
                  <c:v>29.089982477441811</c:v>
                </c:pt>
                <c:pt idx="168">
                  <c:v>28.899148875700888</c:v>
                </c:pt>
                <c:pt idx="169">
                  <c:v>28.707920906622689</c:v>
                </c:pt>
                <c:pt idx="170">
                  <c:v>28.516314798949509</c:v>
                </c:pt>
                <c:pt idx="171">
                  <c:v>28.324346177144438</c:v>
                </c:pt>
                <c:pt idx="172">
                  <c:v>28.13203007853129</c:v>
                </c:pt>
                <c:pt idx="173">
                  <c:v>27.939380970426303</c:v>
                </c:pt>
                <c:pt idx="174">
                  <c:v>27.746412767211694</c:v>
                </c:pt>
                <c:pt idx="175">
                  <c:v>27.553138847302037</c:v>
                </c:pt>
                <c:pt idx="176">
                  <c:v>27.359572069962063</c:v>
                </c:pt>
                <c:pt idx="177">
                  <c:v>27.165724791938427</c:v>
                </c:pt>
                <c:pt idx="178">
                  <c:v>26.97160888387215</c:v>
                </c:pt>
                <c:pt idx="179">
                  <c:v>26.777235746463475</c:v>
                </c:pt>
                <c:pt idx="180">
                  <c:v>26.58261632636275</c:v>
                </c:pt>
                <c:pt idx="181">
                  <c:v>26.387761131767803</c:v>
                </c:pt>
                <c:pt idx="182">
                  <c:v>26.192680247707294</c:v>
                </c:pt>
                <c:pt idx="183">
                  <c:v>25.997383350996603</c:v>
                </c:pt>
                <c:pt idx="184">
                  <c:v>25.801879724852093</c:v>
                </c:pt>
                <c:pt idx="185">
                  <c:v>25.606178273154704</c:v>
                </c:pt>
                <c:pt idx="186">
                  <c:v>25.410287534354651</c:v>
                </c:pt>
                <c:pt idx="187">
                  <c:v>25.214215695011223</c:v>
                </c:pt>
                <c:pt idx="188">
                  <c:v>25.017970602963736</c:v>
                </c:pt>
                <c:pt idx="189">
                  <c:v>24.821559780132532</c:v>
                </c:pt>
                <c:pt idx="190">
                  <c:v>24.624990434946355</c:v>
                </c:pt>
                <c:pt idx="191">
                  <c:v>24.428269474400786</c:v>
                </c:pt>
                <c:pt idx="192">
                  <c:v>24.231403515745825</c:v>
                </c:pt>
                <c:pt idx="193">
                  <c:v>24.034398897807151</c:v>
                </c:pt>
                <c:pt idx="194">
                  <c:v>23.83726169194501</c:v>
                </c:pt>
                <c:pt idx="195">
                  <c:v>23.639997712655017</c:v>
                </c:pt>
                <c:pt idx="196">
                  <c:v>23.442612527815008</c:v>
                </c:pt>
                <c:pt idx="197">
                  <c:v>23.245111468586192</c:v>
                </c:pt>
                <c:pt idx="198">
                  <c:v>23.0474996389732</c:v>
                </c:pt>
                <c:pt idx="199">
                  <c:v>22.849781925049825</c:v>
                </c:pt>
                <c:pt idx="200">
                  <c:v>22.651963003859539</c:v>
                </c:pt>
                <c:pt idx="201">
                  <c:v>22.454047351996159</c:v>
                </c:pt>
                <c:pt idx="202">
                  <c:v>22.256039253873979</c:v>
                </c:pt>
                <c:pt idx="203">
                  <c:v>22.057942809694158</c:v>
                </c:pt>
                <c:pt idx="204">
                  <c:v>21.859761943117199</c:v>
                </c:pt>
                <c:pt idx="205">
                  <c:v>21.661500408647075</c:v>
                </c:pt>
                <c:pt idx="206">
                  <c:v>21.463161798738728</c:v>
                </c:pt>
                <c:pt idx="207">
                  <c:v>21.264749550633489</c:v>
                </c:pt>
                <c:pt idx="208">
                  <c:v>21.06626695293372</c:v>
                </c:pt>
                <c:pt idx="209">
                  <c:v>20.867717151923809</c:v>
                </c:pt>
                <c:pt idx="210">
                  <c:v>20.669103157644535</c:v>
                </c:pt>
                <c:pt idx="211">
                  <c:v>20.470427849731351</c:v>
                </c:pt>
                <c:pt idx="212">
                  <c:v>20.271693983022434</c:v>
                </c:pt>
                <c:pt idx="213">
                  <c:v>20.07290419294479</c:v>
                </c:pt>
                <c:pt idx="214">
                  <c:v>19.874061000687711</c:v>
                </c:pt>
                <c:pt idx="215">
                  <c:v>19.675166818168922</c:v>
                </c:pt>
                <c:pt idx="216">
                  <c:v>19.476223952802492</c:v>
                </c:pt>
                <c:pt idx="217">
                  <c:v>19.277234612074675</c:v>
                </c:pt>
                <c:pt idx="218">
                  <c:v>19.078200907936186</c:v>
                </c:pt>
                <c:pt idx="219">
                  <c:v>18.87912486101612</c:v>
                </c:pt>
                <c:pt idx="220">
                  <c:v>18.68000840466587</c:v>
                </c:pt>
                <c:pt idx="221">
                  <c:v>18.480853388838415</c:v>
                </c:pt>
                <c:pt idx="222">
                  <c:v>18.281661583810475</c:v>
                </c:pt>
                <c:pt idx="223">
                  <c:v>18.082434683752805</c:v>
                </c:pt>
                <c:pt idx="224">
                  <c:v>17.88317431015497</c:v>
                </c:pt>
                <c:pt idx="225">
                  <c:v>17.683882015111664</c:v>
                </c:pt>
                <c:pt idx="226">
                  <c:v>17.484559284473292</c:v>
                </c:pt>
                <c:pt idx="227">
                  <c:v>17.285207540870097</c:v>
                </c:pt>
                <c:pt idx="228">
                  <c:v>17.085828146612897</c:v>
                </c:pt>
                <c:pt idx="229">
                  <c:v>16.886422406475049</c:v>
                </c:pt>
                <c:pt idx="230">
                  <c:v>16.686991570363048</c:v>
                </c:pt>
                <c:pt idx="231">
                  <c:v>16.487536835878153</c:v>
                </c:pt>
                <c:pt idx="232">
                  <c:v>16.288059350775917</c:v>
                </c:pt>
                <c:pt idx="233">
                  <c:v>16.088560215325938</c:v>
                </c:pt>
                <c:pt idx="234">
                  <c:v>15.889040484578121</c:v>
                </c:pt>
                <c:pt idx="235">
                  <c:v>15.689501170538701</c:v>
                </c:pt>
                <c:pt idx="236">
                  <c:v>15.489943244260047</c:v>
                </c:pt>
                <c:pt idx="237">
                  <c:v>15.290367637849238</c:v>
                </c:pt>
                <c:pt idx="238">
                  <c:v>15.090775246397625</c:v>
                </c:pt>
                <c:pt idx="239">
                  <c:v>14.89116692983651</c:v>
                </c:pt>
                <c:pt idx="240">
                  <c:v>14.691543514722323</c:v>
                </c:pt>
                <c:pt idx="241">
                  <c:v>14.491905795953073</c:v>
                </c:pt>
                <c:pt idx="242">
                  <c:v>14.29225453842227</c:v>
                </c:pt>
                <c:pt idx="243">
                  <c:v>14.092590478611237</c:v>
                </c:pt>
                <c:pt idx="244">
                  <c:v>13.892914326123837</c:v>
                </c:pt>
                <c:pt idx="245">
                  <c:v>13.693226765166305</c:v>
                </c:pt>
                <c:pt idx="246">
                  <c:v>13.493528455976001</c:v>
                </c:pt>
                <c:pt idx="247">
                  <c:v>13.293820036200358</c:v>
                </c:pt>
                <c:pt idx="248">
                  <c:v>13.094102122230741</c:v>
                </c:pt>
                <c:pt idx="249">
                  <c:v>12.894375310491704</c:v>
                </c:pt>
                <c:pt idx="250">
                  <c:v>12.694640178690111</c:v>
                </c:pt>
                <c:pt idx="251">
                  <c:v>12.494897287025466</c:v>
                </c:pt>
                <c:pt idx="252">
                  <c:v>12.295147179364871</c:v>
                </c:pt>
                <c:pt idx="253">
                  <c:v>12.095390384383531</c:v>
                </c:pt>
                <c:pt idx="254">
                  <c:v>11.895627416674643</c:v>
                </c:pt>
                <c:pt idx="255">
                  <c:v>11.695858777830077</c:v>
                </c:pt>
                <c:pt idx="256">
                  <c:v>11.496084957494295</c:v>
                </c:pt>
                <c:pt idx="257">
                  <c:v>11.296306434393896</c:v>
                </c:pt>
                <c:pt idx="258">
                  <c:v>11.096523677343752</c:v>
                </c:pt>
                <c:pt idx="259">
                  <c:v>10.89673714623375</c:v>
                </c:pt>
                <c:pt idx="260">
                  <c:v>10.696947292996144</c:v>
                </c:pt>
                <c:pt idx="261">
                  <c:v>10.497154562557311</c:v>
                </c:pt>
                <c:pt idx="262">
                  <c:v>10.297359393774105</c:v>
                </c:pt>
                <c:pt idx="263">
                  <c:v>10.097562220358274</c:v>
                </c:pt>
                <c:pt idx="264">
                  <c:v>9.8977634717899825</c:v>
                </c:pt>
                <c:pt idx="265">
                  <c:v>9.6979635742221877</c:v>
                </c:pt>
                <c:pt idx="266">
                  <c:v>9.4981629513789176</c:v>
                </c:pt>
                <c:pt idx="267">
                  <c:v>9.2983620254474779</c:v>
                </c:pt>
                <c:pt idx="268">
                  <c:v>9.0985612179681201</c:v>
                </c:pt>
                <c:pt idx="269">
                  <c:v>8.8987609507219609</c:v>
                </c:pt>
                <c:pt idx="270">
                  <c:v>8.6989616466195248</c:v>
                </c:pt>
                <c:pt idx="271">
                  <c:v>8.499163730591361</c:v>
                </c:pt>
                <c:pt idx="272">
                  <c:v>8.2993676304828572</c:v>
                </c:pt>
                <c:pt idx="273">
                  <c:v>8.0995737779550332</c:v>
                </c:pt>
                <c:pt idx="274">
                  <c:v>7.8997826093928625</c:v>
                </c:pt>
                <c:pt idx="275">
                  <c:v>7.6999945668236247</c:v>
                </c:pt>
                <c:pt idx="276">
                  <c:v>7.5002100988465612</c:v>
                </c:pt>
                <c:pt idx="277">
                  <c:v>7.3004296615760742</c:v>
                </c:pt>
                <c:pt idx="278">
                  <c:v>7.1006537196000892</c:v>
                </c:pt>
                <c:pt idx="279">
                  <c:v>6.9008827469559675</c:v>
                </c:pt>
                <c:pt idx="280">
                  <c:v>6.701117228125927</c:v>
                </c:pt>
                <c:pt idx="281">
                  <c:v>6.5013576590531468</c:v>
                </c:pt>
                <c:pt idx="282">
                  <c:v>6.3016045481819916</c:v>
                </c:pt>
                <c:pt idx="283">
                  <c:v>6.1018584175232942</c:v>
                </c:pt>
                <c:pt idx="284">
                  <c:v>5.9021198037474818</c:v>
                </c:pt>
                <c:pt idx="285">
                  <c:v>5.7023892593077594</c:v>
                </c:pt>
                <c:pt idx="286">
                  <c:v>5.5026673535947452</c:v>
                </c:pt>
                <c:pt idx="287">
                  <c:v>5.3029546741263207</c:v>
                </c:pt>
                <c:pt idx="288">
                  <c:v>5.1032518277737342</c:v>
                </c:pt>
                <c:pt idx="289">
                  <c:v>4.9035594420272659</c:v>
                </c:pt>
                <c:pt idx="290">
                  <c:v>4.7038781663031113</c:v>
                </c:pt>
                <c:pt idx="291">
                  <c:v>4.5042086732954836</c:v>
                </c:pt>
                <c:pt idx="292">
                  <c:v>4.3045516603745035</c:v>
                </c:pt>
                <c:pt idx="293">
                  <c:v>4.1049078510347066</c:v>
                </c:pt>
                <c:pt idx="294">
                  <c:v>3.9052779963957605</c:v>
                </c:pt>
                <c:pt idx="295">
                  <c:v>3.7056628767581925</c:v>
                </c:pt>
                <c:pt idx="296">
                  <c:v>3.5060633032179602</c:v>
                </c:pt>
                <c:pt idx="297">
                  <c:v>3.306480119342265</c:v>
                </c:pt>
                <c:pt idx="298">
                  <c:v>3.1069142029104291</c:v>
                </c:pt>
                <c:pt idx="299">
                  <c:v>2.907366467721737</c:v>
                </c:pt>
                <c:pt idx="300">
                  <c:v>2.7078378654755082</c:v>
                </c:pt>
                <c:pt idx="301">
                  <c:v>2.5083293877258965</c:v>
                </c:pt>
                <c:pt idx="302">
                  <c:v>2.3088420679144623</c:v>
                </c:pt>
                <c:pt idx="303">
                  <c:v>2.109376983485526</c:v>
                </c:pt>
                <c:pt idx="304">
                  <c:v>1.9099352580875011</c:v>
                </c:pt>
                <c:pt idx="305">
                  <c:v>1.7105180638634843</c:v>
                </c:pt>
                <c:pt idx="306">
                  <c:v>1.5111266238375931</c:v>
                </c:pt>
                <c:pt idx="307">
                  <c:v>1.3117622143966978</c:v>
                </c:pt>
                <c:pt idx="308">
                  <c:v>1.1124261678783349</c:v>
                </c:pt>
                <c:pt idx="309">
                  <c:v>0.91311987526298088</c:v>
                </c:pt>
                <c:pt idx="310">
                  <c:v>0.71384478897896098</c:v>
                </c:pt>
                <c:pt idx="311">
                  <c:v>0.51460242582458038</c:v>
                </c:pt>
                <c:pt idx="312">
                  <c:v>0.3153943700104832</c:v>
                </c:pt>
                <c:pt idx="313">
                  <c:v>0.11622227632891154</c:v>
                </c:pt>
                <c:pt idx="314">
                  <c:v>-8.2912126545386308E-2</c:v>
                </c:pt>
                <c:pt idx="315">
                  <c:v>-0.28200703261746368</c:v>
                </c:pt>
                <c:pt idx="316">
                  <c:v>-0.48106055499241607</c:v>
                </c:pt>
                <c:pt idx="317">
                  <c:v>-0.68007072214811493</c:v>
                </c:pt>
                <c:pt idx="318">
                  <c:v>-0.87903547405297844</c:v>
                </c:pt>
                <c:pt idx="319">
                  <c:v>-1.0779526581270513</c:v>
                </c:pt>
                <c:pt idx="320">
                  <c:v>-1.2768200250356463</c:v>
                </c:pt>
                <c:pt idx="321">
                  <c:v>-1.4756352243128921</c:v>
                </c:pt>
                <c:pt idx="322">
                  <c:v>-1.6743957998081234</c:v>
                </c:pt>
                <c:pt idx="323">
                  <c:v>-1.8730991849483511</c:v>
                </c:pt>
                <c:pt idx="324">
                  <c:v>-2.0717426978117546</c:v>
                </c:pt>
                <c:pt idx="325">
                  <c:v>-2.2703235360048826</c:v>
                </c:pt>
                <c:pt idx="326">
                  <c:v>-2.4688387713373707</c:v>
                </c:pt>
                <c:pt idx="327">
                  <c:v>-2.6672853442884104</c:v>
                </c:pt>
                <c:pt idx="328">
                  <c:v>-2.8656600582580132</c:v>
                </c:pt>
                <c:pt idx="329">
                  <c:v>-3.063959573597868</c:v>
                </c:pt>
                <c:pt idx="330">
                  <c:v>-3.2621804014131053</c:v>
                </c:pt>
                <c:pt idx="331">
                  <c:v>-3.4603188971318715</c:v>
                </c:pt>
                <c:pt idx="332">
                  <c:v>-3.658371253834388</c:v>
                </c:pt>
                <c:pt idx="333">
                  <c:v>-3.8563334953369348</c:v>
                </c:pt>
                <c:pt idx="334">
                  <c:v>-4.0542014690247345</c:v>
                </c:pt>
                <c:pt idx="335">
                  <c:v>-4.2519708384279218</c:v>
                </c:pt>
                <c:pt idx="336">
                  <c:v>-4.4496370755362751</c:v>
                </c:pt>
                <c:pt idx="337">
                  <c:v>-4.647195452847674</c:v>
                </c:pt>
                <c:pt idx="338">
                  <c:v>-4.844641035146819</c:v>
                </c:pt>
                <c:pt idx="339">
                  <c:v>-5.0419686710087959</c:v>
                </c:pt>
                <c:pt idx="340">
                  <c:v>-5.2391729840265508</c:v>
                </c:pt>
                <c:pt idx="341">
                  <c:v>-5.4362483637585823</c:v>
                </c:pt>
                <c:pt idx="342">
                  <c:v>-5.633188956395915</c:v>
                </c:pt>
                <c:pt idx="343">
                  <c:v>-5.8299886551471491</c:v>
                </c:pt>
                <c:pt idx="344">
                  <c:v>-6.0266410903428644</c:v>
                </c:pt>
                <c:pt idx="345">
                  <c:v>-6.2231396192597579</c:v>
                </c:pt>
                <c:pt idx="346">
                  <c:v>-6.419477315669031</c:v>
                </c:pt>
                <c:pt idx="347">
                  <c:v>-6.6156469591107303</c:v>
                </c:pt>
                <c:pt idx="348">
                  <c:v>-6.8116410239028555</c:v>
                </c:pt>
                <c:pt idx="349">
                  <c:v>-7.0074516678905185</c:v>
                </c:pt>
                <c:pt idx="350">
                  <c:v>-7.2030707209461875</c:v>
                </c:pt>
                <c:pt idx="351">
                  <c:v>-7.3984896732314231</c:v>
                </c:pt>
                <c:pt idx="352">
                  <c:v>-7.5936996632356211</c:v>
                </c:pt>
                <c:pt idx="353">
                  <c:v>-7.7886914656067479</c:v>
                </c:pt>
                <c:pt idx="354">
                  <c:v>-7.9834554787954817</c:v>
                </c:pt>
                <c:pt idx="355">
                  <c:v>-8.1779817125326364</c:v>
                </c:pt>
                <c:pt idx="356">
                  <c:v>-8.3722597751686472</c:v>
                </c:pt>
                <c:pt idx="357">
                  <c:v>-8.5662788609016829</c:v>
                </c:pt>
                <c:pt idx="358">
                  <c:v>-8.7600277369295778</c:v>
                </c:pt>
                <c:pt idx="359">
                  <c:v>-8.9534947305620953</c:v>
                </c:pt>
                <c:pt idx="360">
                  <c:v>-9.1466677163356227</c:v>
                </c:pt>
                <c:pt idx="361">
                  <c:v>-9.339534103177181</c:v>
                </c:pt>
                <c:pt idx="362">
                  <c:v>-9.5320808216691368</c:v>
                </c:pt>
                <c:pt idx="363">
                  <c:v>-9.7242943114725637</c:v>
                </c:pt>
                <c:pt idx="364">
                  <c:v>-9.9161605089714904</c:v>
                </c:pt>
                <c:pt idx="365">
                  <c:v>-10.107664835208359</c:v>
                </c:pt>
                <c:pt idx="366">
                  <c:v>-10.298792184185285</c:v>
                </c:pt>
                <c:pt idx="367">
                  <c:v>-10.489526911614265</c:v>
                </c:pt>
                <c:pt idx="368">
                  <c:v>-10.679852824206279</c:v>
                </c:pt>
                <c:pt idx="369">
                  <c:v>-10.869753169595169</c:v>
                </c:pt>
                <c:pt idx="370">
                  <c:v>-11.059210627002162</c:v>
                </c:pt>
                <c:pt idx="371">
                  <c:v>-11.248207298753687</c:v>
                </c:pt>
                <c:pt idx="372">
                  <c:v>-11.436724702772196</c:v>
                </c:pt>
                <c:pt idx="373">
                  <c:v>-11.62474376617064</c:v>
                </c:pt>
                <c:pt idx="374">
                  <c:v>-11.812244820087358</c:v>
                </c:pt>
                <c:pt idx="375">
                  <c:v>-11.999207595907851</c:v>
                </c:pt>
                <c:pt idx="376">
                  <c:v>-12.185611223028065</c:v>
                </c:pt>
                <c:pt idx="377">
                  <c:v>-12.371434228321457</c:v>
                </c:pt>
                <c:pt idx="378">
                  <c:v>-12.556654537482995</c:v>
                </c:pt>
                <c:pt idx="379">
                  <c:v>-12.74124947842636</c:v>
                </c:pt>
                <c:pt idx="380">
                  <c:v>-12.925195786923638</c:v>
                </c:pt>
                <c:pt idx="381">
                  <c:v>-13.108469614678242</c:v>
                </c:pt>
                <c:pt idx="382">
                  <c:v>-13.291046540032848</c:v>
                </c:pt>
                <c:pt idx="383">
                  <c:v>-13.472901581515233</c:v>
                </c:pt>
                <c:pt idx="384">
                  <c:v>-13.654009214432216</c:v>
                </c:pt>
                <c:pt idx="385">
                  <c:v>-13.834343390722781</c:v>
                </c:pt>
                <c:pt idx="386">
                  <c:v>-14.013877562283914</c:v>
                </c:pt>
                <c:pt idx="387">
                  <c:v>-14.192584707982942</c:v>
                </c:pt>
                <c:pt idx="388">
                  <c:v>-14.370437364566747</c:v>
                </c:pt>
                <c:pt idx="389">
                  <c:v>-14.547407661675605</c:v>
                </c:pt>
                <c:pt idx="390">
                  <c:v>-14.723467361161537</c:v>
                </c:pt>
                <c:pt idx="391">
                  <c:v>-14.898587900904401</c:v>
                </c:pt>
                <c:pt idx="392">
                  <c:v>-15.072740443303337</c:v>
                </c:pt>
                <c:pt idx="393">
                  <c:v>-15.245895928611702</c:v>
                </c:pt>
                <c:pt idx="394">
                  <c:v>-15.418025133260144</c:v>
                </c:pt>
                <c:pt idx="395">
                  <c:v>-15.589098733296659</c:v>
                </c:pt>
                <c:pt idx="396">
                  <c:v>-15.759087373043402</c:v>
                </c:pt>
                <c:pt idx="397">
                  <c:v>-15.927961739045317</c:v>
                </c:pt>
                <c:pt idx="398">
                  <c:v>-16.095692639350755</c:v>
                </c:pt>
                <c:pt idx="399">
                  <c:v>-16.262251088132381</c:v>
                </c:pt>
                <c:pt idx="400">
                  <c:v>-16.427608395613358</c:v>
                </c:pt>
                <c:pt idx="401">
                  <c:v>-16.591736263225648</c:v>
                </c:pt>
                <c:pt idx="402">
                  <c:v>-16.754606883877191</c:v>
                </c:pt>
                <c:pt idx="403">
                  <c:v>-16.916193047159648</c:v>
                </c:pt>
                <c:pt idx="404">
                  <c:v>-17.076468249272601</c:v>
                </c:pt>
                <c:pt idx="405">
                  <c:v>-17.235406807390461</c:v>
                </c:pt>
                <c:pt idx="406">
                  <c:v>-17.392983978137043</c:v>
                </c:pt>
                <c:pt idx="407">
                  <c:v>-17.549176079781155</c:v>
                </c:pt>
                <c:pt idx="408">
                  <c:v>-17.703960617702585</c:v>
                </c:pt>
                <c:pt idx="409">
                  <c:v>-17.857316412625586</c:v>
                </c:pt>
                <c:pt idx="410">
                  <c:v>-18.009223731054565</c:v>
                </c:pt>
                <c:pt idx="411">
                  <c:v>-18.159664417294888</c:v>
                </c:pt>
                <c:pt idx="412">
                  <c:v>-18.308622026387237</c:v>
                </c:pt>
                <c:pt idx="413">
                  <c:v>-18.456081957233039</c:v>
                </c:pt>
                <c:pt idx="414">
                  <c:v>-18.602031585146701</c:v>
                </c:pt>
                <c:pt idx="415">
                  <c:v>-18.746460393026183</c:v>
                </c:pt>
                <c:pt idx="416">
                  <c:v>-18.889360100304199</c:v>
                </c:pt>
                <c:pt idx="417">
                  <c:v>-19.030724788810353</c:v>
                </c:pt>
                <c:pt idx="418">
                  <c:v>-19.170551024659996</c:v>
                </c:pt>
                <c:pt idx="419">
                  <c:v>-19.308837975273377</c:v>
                </c:pt>
                <c:pt idx="420">
                  <c:v>-19.445587520625502</c:v>
                </c:pt>
                <c:pt idx="421">
                  <c:v>-19.580804357835802</c:v>
                </c:pt>
                <c:pt idx="422">
                  <c:v>-19.714496098225844</c:v>
                </c:pt>
                <c:pt idx="423">
                  <c:v>-19.846673355996124</c:v>
                </c:pt>
                <c:pt idx="424">
                  <c:v>-19.977349827713532</c:v>
                </c:pt>
                <c:pt idx="425">
                  <c:v>-20.106542361845055</c:v>
                </c:pt>
                <c:pt idx="426">
                  <c:v>-20.23427101762794</c:v>
                </c:pt>
                <c:pt idx="427">
                  <c:v>-20.360559112631023</c:v>
                </c:pt>
                <c:pt idx="428">
                  <c:v>-20.485433258432138</c:v>
                </c:pt>
                <c:pt idx="429">
                  <c:v>-20.608923383914714</c:v>
                </c:pt>
                <c:pt idx="430">
                  <c:v>-20.731062745767996</c:v>
                </c:pt>
                <c:pt idx="431">
                  <c:v>-20.851887925866592</c:v>
                </c:pt>
                <c:pt idx="432">
                  <c:v>-20.971438815293201</c:v>
                </c:pt>
                <c:pt idx="433">
                  <c:v>-21.089758584864228</c:v>
                </c:pt>
                <c:pt idx="434">
                  <c:v>-21.206893642110572</c:v>
                </c:pt>
                <c:pt idx="435">
                  <c:v>-21.32289357476191</c:v>
                </c:pt>
                <c:pt idx="436">
                  <c:v>-21.437811080875125</c:v>
                </c:pt>
                <c:pt idx="437">
                  <c:v>-21.551701885836984</c:v>
                </c:pt>
                <c:pt idx="438">
                  <c:v>-21.66462464656075</c:v>
                </c:pt>
                <c:pt idx="439">
                  <c:v>-21.776640843277171</c:v>
                </c:pt>
                <c:pt idx="440">
                  <c:v>-21.887814659399368</c:v>
                </c:pt>
                <c:pt idx="441">
                  <c:v>-21.998212850014237</c:v>
                </c:pt>
                <c:pt idx="442">
                  <c:v>-22.107904599617964</c:v>
                </c:pt>
                <c:pt idx="443">
                  <c:v>-22.216961369777035</c:v>
                </c:pt>
                <c:pt idx="444">
                  <c:v>-22.325456737447201</c:v>
                </c:pt>
                <c:pt idx="445">
                  <c:v>-22.433466224733909</c:v>
                </c:pt>
                <c:pt idx="446">
                  <c:v>-22.541067120918377</c:v>
                </c:pt>
                <c:pt idx="447">
                  <c:v>-22.648338297611275</c:v>
                </c:pt>
                <c:pt idx="448">
                  <c:v>-22.755360017925661</c:v>
                </c:pt>
                <c:pt idx="449">
                  <c:v>-22.862213740587819</c:v>
                </c:pt>
                <c:pt idx="450">
                  <c:v>-22.968981919925163</c:v>
                </c:pt>
                <c:pt idx="451">
                  <c:v>-23.075747802686891</c:v>
                </c:pt>
                <c:pt idx="452">
                  <c:v>-23.182595222665956</c:v>
                </c:pt>
                <c:pt idx="453">
                  <c:v>-23.289608394098941</c:v>
                </c:pt>
                <c:pt idx="454">
                  <c:v>-23.396871704825916</c:v>
                </c:pt>
                <c:pt idx="455">
                  <c:v>-23.504469510193928</c:v>
                </c:pt>
                <c:pt idx="456">
                  <c:v>-23.61248592868446</c:v>
                </c:pt>
                <c:pt idx="457">
                  <c:v>-23.721004640242253</c:v>
                </c:pt>
                <c:pt idx="458">
                  <c:v>-23.830108688270883</c:v>
                </c:pt>
                <c:pt idx="459">
                  <c:v>-23.939880286249505</c:v>
                </c:pt>
                <c:pt idx="460">
                  <c:v>-24.050400629907237</c:v>
                </c:pt>
                <c:pt idx="461">
                  <c:v>-24.161749715869831</c:v>
                </c:pt>
                <c:pt idx="462">
                  <c:v>-24.274006167668194</c:v>
                </c:pt>
                <c:pt idx="463">
                  <c:v>-24.387247069964566</c:v>
                </c:pt>
                <c:pt idx="464">
                  <c:v>-24.501547811816735</c:v>
                </c:pt>
                <c:pt idx="465">
                  <c:v>-24.616981939757</c:v>
                </c:pt>
                <c:pt idx="466">
                  <c:v>-24.73362102141315</c:v>
                </c:pt>
                <c:pt idx="467">
                  <c:v>-24.851534520342863</c:v>
                </c:pt>
                <c:pt idx="468">
                  <c:v>-24.970789682692196</c:v>
                </c:pt>
                <c:pt idx="469">
                  <c:v>-25.091451436218382</c:v>
                </c:pt>
                <c:pt idx="470">
                  <c:v>-25.213582302145493</c:v>
                </c:pt>
                <c:pt idx="471">
                  <c:v>-25.33724232023792</c:v>
                </c:pt>
                <c:pt idx="472">
                  <c:v>-25.462488987394298</c:v>
                </c:pt>
                <c:pt idx="473">
                  <c:v>-25.58937720997158</c:v>
                </c:pt>
                <c:pt idx="474">
                  <c:v>-25.717959269957667</c:v>
                </c:pt>
                <c:pt idx="475">
                  <c:v>-25.848284805010522</c:v>
                </c:pt>
                <c:pt idx="476">
                  <c:v>-25.980400802286926</c:v>
                </c:pt>
                <c:pt idx="477">
                  <c:v>-26.114351605880856</c:v>
                </c:pt>
                <c:pt idx="478">
                  <c:v>-26.250178937594349</c:v>
                </c:pt>
                <c:pt idx="479">
                  <c:v>-26.387921930665684</c:v>
                </c:pt>
                <c:pt idx="480">
                  <c:v>-26.527617175983682</c:v>
                </c:pt>
                <c:pt idx="481">
                  <c:v>-26.669298780229095</c:v>
                </c:pt>
                <c:pt idx="482">
                  <c:v>-26.812998435294745</c:v>
                </c:pt>
                <c:pt idx="483">
                  <c:v>-26.958745498260114</c:v>
                </c:pt>
                <c:pt idx="484">
                  <c:v>-27.106567081121355</c:v>
                </c:pt>
                <c:pt idx="485">
                  <c:v>-27.256488149415439</c:v>
                </c:pt>
                <c:pt idx="486">
                  <c:v>-27.408531628818999</c:v>
                </c:pt>
                <c:pt idx="487">
                  <c:v>-27.562718518760022</c:v>
                </c:pt>
                <c:pt idx="488">
                  <c:v>-27.719068012037525</c:v>
                </c:pt>
                <c:pt idx="489">
                  <c:v>-27.877597619422751</c:v>
                </c:pt>
                <c:pt idx="490">
                  <c:v>-28.038323298194094</c:v>
                </c:pt>
                <c:pt idx="491">
                  <c:v>-28.201259583550421</c:v>
                </c:pt>
                <c:pt idx="492">
                  <c:v>-28.366419721848331</c:v>
                </c:pt>
                <c:pt idx="493">
                  <c:v>-28.53381580461857</c:v>
                </c:pt>
                <c:pt idx="494">
                  <c:v>-28.703458902334702</c:v>
                </c:pt>
                <c:pt idx="495">
                  <c:v>-28.875359196932195</c:v>
                </c:pt>
                <c:pt idx="496">
                  <c:v>-29.049526112108861</c:v>
                </c:pt>
                <c:pt idx="497">
                  <c:v>-29.225968440476102</c:v>
                </c:pt>
                <c:pt idx="498">
                  <c:v>-29.40469446667484</c:v>
                </c:pt>
                <c:pt idx="499">
                  <c:v>-29.585712085618361</c:v>
                </c:pt>
                <c:pt idx="500">
                  <c:v>-29.769028915078088</c:v>
                </c:pt>
                <c:pt idx="501">
                  <c:v>-29.954652401883692</c:v>
                </c:pt>
                <c:pt idx="502">
                  <c:v>-30.142589921069227</c:v>
                </c:pt>
                <c:pt idx="503">
                  <c:v>-30.332848867356752</c:v>
                </c:pt>
                <c:pt idx="504">
                  <c:v>-30.525436738431843</c:v>
                </c:pt>
                <c:pt idx="505">
                  <c:v>-30.720361209532335</c:v>
                </c:pt>
                <c:pt idx="506">
                  <c:v>-30.917630198929885</c:v>
                </c:pt>
                <c:pt idx="507">
                  <c:v>-31.117251923957102</c:v>
                </c:pt>
                <c:pt idx="508">
                  <c:v>-31.319234947291449</c:v>
                </c:pt>
                <c:pt idx="509">
                  <c:v>-31.52358821327795</c:v>
                </c:pt>
                <c:pt idx="510">
                  <c:v>-31.730321074134675</c:v>
                </c:pt>
                <c:pt idx="511">
                  <c:v>-31.939443305952242</c:v>
                </c:pt>
                <c:pt idx="512">
                  <c:v>-32.150965114463311</c:v>
                </c:pt>
                <c:pt idx="513">
                  <c:v>-32.3648971306229</c:v>
                </c:pt>
                <c:pt idx="514">
                  <c:v>-32.581250396105162</c:v>
                </c:pt>
                <c:pt idx="515">
                  <c:v>-32.800036338886677</c:v>
                </c:pt>
                <c:pt idx="516">
                  <c:v>-33.021266739150214</c:v>
                </c:pt>
                <c:pt idx="517">
                  <c:v>-33.24495368580763</c:v>
                </c:pt>
                <c:pt idx="518">
                  <c:v>-33.471109524000269</c:v>
                </c:pt>
                <c:pt idx="519">
                  <c:v>-33.699746794002664</c:v>
                </c:pt>
                <c:pt idx="520">
                  <c:v>-33.930878162010544</c:v>
                </c:pt>
                <c:pt idx="521">
                  <c:v>-34.164516343357313</c:v>
                </c:pt>
                <c:pt idx="522">
                  <c:v>-34.400674018760078</c:v>
                </c:pt>
                <c:pt idx="523">
                  <c:v>-34.639363744250112</c:v>
                </c:pt>
                <c:pt idx="524">
                  <c:v>-34.880597855497527</c:v>
                </c:pt>
                <c:pt idx="525">
                  <c:v>-35.124388367285967</c:v>
                </c:pt>
                <c:pt idx="526">
                  <c:v>-35.370746868938319</c:v>
                </c:pt>
                <c:pt idx="527">
                  <c:v>-35.61968441653709</c:v>
                </c:pt>
                <c:pt idx="528">
                  <c:v>-35.871211422811584</c:v>
                </c:pt>
                <c:pt idx="529">
                  <c:v>-36.12533754559842</c:v>
                </c:pt>
                <c:pt idx="530">
                  <c:v>-36.38207157579523</c:v>
                </c:pt>
                <c:pt idx="531">
                  <c:v>-36.641421325747643</c:v>
                </c:pt>
                <c:pt idx="532">
                  <c:v>-36.903393519008013</c:v>
                </c:pt>
                <c:pt idx="533">
                  <c:v>-37.167993682406184</c:v>
                </c:pt>
                <c:pt idx="534">
                  <c:v>-37.435226041353722</c:v>
                </c:pt>
                <c:pt idx="535">
                  <c:v>-37.705093419284182</c:v>
                </c:pt>
                <c:pt idx="536">
                  <c:v>-37.97759714209721</c:v>
                </c:pt>
                <c:pt idx="537">
                  <c:v>-38.252736948435697</c:v>
                </c:pt>
                <c:pt idx="538">
                  <c:v>-38.530510906568288</c:v>
                </c:pt>
                <c:pt idx="539">
                  <c:v>-38.81091533859616</c:v>
                </c:pt>
                <c:pt idx="540">
                  <c:v>-39.093944752627706</c:v>
                </c:pt>
                <c:pt idx="541">
                  <c:v>-39.379591783494575</c:v>
                </c:pt>
              </c:numCache>
            </c:numRef>
          </c:yVal>
          <c:smooth val="1"/>
          <c:extLst>
            <c:ext xmlns:c16="http://schemas.microsoft.com/office/drawing/2014/chart" uri="{C3380CC4-5D6E-409C-BE32-E72D297353CC}">
              <c16:uniqueId val="{00000000-A2EA-421A-86DB-B77E045220A3}"/>
            </c:ext>
          </c:extLst>
        </c:ser>
        <c:dLbls>
          <c:showLegendKey val="0"/>
          <c:showVal val="0"/>
          <c:showCatName val="0"/>
          <c:showSerName val="0"/>
          <c:showPercent val="0"/>
          <c:showBubbleSize val="0"/>
        </c:dLbls>
        <c:axId val="73930624"/>
        <c:axId val="73940992"/>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-5.5129271420683201</c:v>
                </c:pt>
                <c:pt idx="1">
                  <c:v>-5.6405228293928618</c:v>
                </c:pt>
                <c:pt idx="2">
                  <c:v>-5.7710326461088393</c:v>
                </c:pt>
                <c:pt idx="3">
                  <c:v>-5.9045203824952388</c:v>
                </c:pt>
                <c:pt idx="4">
                  <c:v>-6.0410510290897168</c:v>
                </c:pt>
                <c:pt idx="5">
                  <c:v>-6.1806907850350843</c:v>
                </c:pt>
                <c:pt idx="6">
                  <c:v>-6.3235070653126355</c:v>
                </c:pt>
                <c:pt idx="7">
                  <c:v>-6.4695685067576747</c:v>
                </c:pt>
                <c:pt idx="8">
                  <c:v>-6.6189449727393663</c:v>
                </c:pt>
                <c:pt idx="9">
                  <c:v>-6.7717075563845395</c:v>
                </c:pt>
                <c:pt idx="10">
                  <c:v>-6.9279285822142969</c:v>
                </c:pt>
                <c:pt idx="11">
                  <c:v>-7.0876816060550896</c:v>
                </c:pt>
                <c:pt idx="12">
                  <c:v>-7.2510414130782168</c:v>
                </c:pt>
                <c:pt idx="13">
                  <c:v>-7.4180840138111579</c:v>
                </c:pt>
                <c:pt idx="14">
                  <c:v>-7.5888866379567732</c:v>
                </c:pt>
                <c:pt idx="15">
                  <c:v>-7.7635277258461102</c:v>
                </c:pt>
                <c:pt idx="16">
                  <c:v>-7.9420869173397799</c:v>
                </c:pt>
                <c:pt idx="17">
                  <c:v>-8.124645037984763</c:v>
                </c:pt>
                <c:pt idx="18">
                  <c:v>-8.3112840822214213</c:v>
                </c:pt>
                <c:pt idx="19">
                  <c:v>-8.5020871934251581</c:v>
                </c:pt>
                <c:pt idx="20">
                  <c:v>-8.69713864055635</c:v>
                </c:pt>
                <c:pt idx="21">
                  <c:v>-8.8965237911812256</c:v>
                </c:pt>
                <c:pt idx="22">
                  <c:v>-9.1003290806138857</c:v>
                </c:pt>
                <c:pt idx="23">
                  <c:v>-9.3086419769207129</c:v>
                </c:pt>
                <c:pt idx="24">
                  <c:v>-9.5215509415130093</c:v>
                </c:pt>
                <c:pt idx="25">
                  <c:v>-9.7391453850468785</c:v>
                </c:pt>
                <c:pt idx="26">
                  <c:v>-9.9615156183328324</c:v>
                </c:pt>
                <c:pt idx="27">
                  <c:v>-10.188752797952596</c:v>
                </c:pt>
                <c:pt idx="28">
                  <c:v>-10.42094886626273</c:v>
                </c:pt>
                <c:pt idx="29">
                  <c:v>-10.658196485460365</c:v>
                </c:pt>
                <c:pt idx="30">
                  <c:v>-10.900588965373148</c:v>
                </c:pt>
                <c:pt idx="31">
                  <c:v>-11.148220184626682</c:v>
                </c:pt>
                <c:pt idx="32">
                  <c:v>-11.401184504835483</c:v>
                </c:pt>
                <c:pt idx="33">
                  <c:v>-11.659576677455082</c:v>
                </c:pt>
                <c:pt idx="34">
                  <c:v>-11.923491742928574</c:v>
                </c:pt>
                <c:pt idx="35">
                  <c:v>-12.193024921753894</c:v>
                </c:pt>
                <c:pt idx="36">
                  <c:v>-12.468271497099384</c:v>
                </c:pt>
                <c:pt idx="37">
                  <c:v>-12.749326688589141</c:v>
                </c:pt>
                <c:pt idx="38">
                  <c:v>-13.0362855168871</c:v>
                </c:pt>
                <c:pt idx="39">
                  <c:v>-13.329242658709502</c:v>
                </c:pt>
                <c:pt idx="40">
                  <c:v>-13.628292291901186</c:v>
                </c:pt>
                <c:pt idx="41">
                  <c:v>-13.933527930229314</c:v>
                </c:pt>
                <c:pt idx="42">
                  <c:v>-14.245042247550387</c:v>
                </c:pt>
                <c:pt idx="43">
                  <c:v>-14.562926891036732</c:v>
                </c:pt>
                <c:pt idx="44">
                  <c:v>-14.887272283163345</c:v>
                </c:pt>
                <c:pt idx="45">
                  <c:v>-15.21816741218667</c:v>
                </c:pt>
                <c:pt idx="46">
                  <c:v>-15.555699610880415</c:v>
                </c:pt>
                <c:pt idx="47">
                  <c:v>-15.899954323330631</c:v>
                </c:pt>
                <c:pt idx="48">
                  <c:v>-16.251014859638119</c:v>
                </c:pt>
                <c:pt idx="49">
                  <c:v>-16.608962138428296</c:v>
                </c:pt>
                <c:pt idx="50">
                  <c:v>-16.973874417126886</c:v>
                </c:pt>
                <c:pt idx="51">
                  <c:v>-17.345827010025044</c:v>
                </c:pt>
                <c:pt idx="52">
                  <c:v>-17.724891994231868</c:v>
                </c:pt>
                <c:pt idx="53">
                  <c:v>-18.111137903697493</c:v>
                </c:pt>
                <c:pt idx="54">
                  <c:v>-18.504629411571724</c:v>
                </c:pt>
                <c:pt idx="55">
                  <c:v>-18.905427001273072</c:v>
                </c:pt>
                <c:pt idx="56">
                  <c:v>-19.313586626741184</c:v>
                </c:pt>
                <c:pt idx="57">
                  <c:v>-19.729159362467048</c:v>
                </c:pt>
                <c:pt idx="58">
                  <c:v>-20.152191044018579</c:v>
                </c:pt>
                <c:pt idx="59">
                  <c:v>-20.582721899909416</c:v>
                </c:pt>
                <c:pt idx="60">
                  <c:v>-21.020786175804812</c:v>
                </c:pt>
                <c:pt idx="61">
                  <c:v>-21.466411752200269</c:v>
                </c:pt>
                <c:pt idx="62">
                  <c:v>-21.919619756867313</c:v>
                </c:pt>
                <c:pt idx="63">
                  <c:v>-22.380424173519085</c:v>
                </c:pt>
                <c:pt idx="64">
                  <c:v>-22.848831448310605</c:v>
                </c:pt>
                <c:pt idx="65">
                  <c:v>-23.32484009595888</c:v>
                </c:pt>
                <c:pt idx="66">
                  <c:v>-23.808440307433965</c:v>
                </c:pt>
                <c:pt idx="67">
                  <c:v>-24.299613561339633</c:v>
                </c:pt>
                <c:pt idx="68">
                  <c:v>-24.798332241267154</c:v>
                </c:pt>
                <c:pt idx="69">
                  <c:v>-25.304559261565679</c:v>
                </c:pt>
                <c:pt idx="70">
                  <c:v>-25.818247704122392</c:v>
                </c:pt>
                <c:pt idx="71">
                  <c:v>-26.339340468886608</c:v>
                </c:pt>
                <c:pt idx="72">
                  <c:v>-26.867769941001896</c:v>
                </c:pt>
                <c:pt idx="73">
                  <c:v>-27.403457677513611</c:v>
                </c:pt>
                <c:pt idx="74">
                  <c:v>-27.946314116716881</c:v>
                </c:pt>
                <c:pt idx="75">
                  <c:v>-28.496238313270091</c:v>
                </c:pt>
                <c:pt idx="76">
                  <c:v>-29.053117702240741</c:v>
                </c:pt>
                <c:pt idx="77">
                  <c:v>-29.616827895259263</c:v>
                </c:pt>
                <c:pt idx="78">
                  <c:v>-30.187232511934717</c:v>
                </c:pt>
                <c:pt idx="79">
                  <c:v>-30.764183049620566</c:v>
                </c:pt>
                <c:pt idx="80">
                  <c:v>-31.347518794527556</c:v>
                </c:pt>
                <c:pt idx="81">
                  <c:v>-31.937066777035575</c:v>
                </c:pt>
                <c:pt idx="82">
                  <c:v>-32.53264177387814</c:v>
                </c:pt>
                <c:pt idx="83">
                  <c:v>-33.134046359648629</c:v>
                </c:pt>
                <c:pt idx="84">
                  <c:v>-33.741071009807662</c:v>
                </c:pt>
                <c:pt idx="85">
                  <c:v>-34.353494257062763</c:v>
                </c:pt>
                <c:pt idx="86">
                  <c:v>-34.971082902637129</c:v>
                </c:pt>
                <c:pt idx="87">
                  <c:v>-35.59359228355251</c:v>
                </c:pt>
                <c:pt idx="88">
                  <c:v>-36.220766596625374</c:v>
                </c:pt>
                <c:pt idx="89">
                  <c:v>-36.852339279411957</c:v>
                </c:pt>
                <c:pt idx="90">
                  <c:v>-37.488033447852054</c:v>
                </c:pt>
                <c:pt idx="91">
                  <c:v>-38.127562389851839</c:v>
                </c:pt>
                <c:pt idx="92">
                  <c:v>-38.770630113519509</c:v>
                </c:pt>
                <c:pt idx="93">
                  <c:v>-39.416931948238037</c:v>
                </c:pt>
                <c:pt idx="94">
                  <c:v>-40.066155196223868</c:v>
                </c:pt>
                <c:pt idx="95">
                  <c:v>-40.717979831696212</c:v>
                </c:pt>
                <c:pt idx="96">
                  <c:v>-41.3720792442749</c:v>
                </c:pt>
                <c:pt idx="97">
                  <c:v>-42.028121022737039</c:v>
                </c:pt>
                <c:pt idx="98">
                  <c:v>-42.685767774817762</c:v>
                </c:pt>
                <c:pt idx="99">
                  <c:v>-43.344677978323411</c:v>
                </c:pt>
                <c:pt idx="100">
                  <c:v>-44.004506858470343</c:v>
                </c:pt>
                <c:pt idx="101">
                  <c:v>-44.664907286052262</c:v>
                </c:pt>
                <c:pt idx="102">
                  <c:v>-45.325530690794409</c:v>
                </c:pt>
                <c:pt idx="103">
                  <c:v>-45.986027984070923</c:v>
                </c:pt>
                <c:pt idx="104">
                  <c:v>-46.646050485052882</c:v>
                </c:pt>
                <c:pt idx="105">
                  <c:v>-47.30525084430959</c:v>
                </c:pt>
                <c:pt idx="106">
                  <c:v>-47.963283958917252</c:v>
                </c:pt>
                <c:pt idx="107">
                  <c:v>-48.619807873236503</c:v>
                </c:pt>
                <c:pt idx="108">
                  <c:v>-49.274484659677732</c:v>
                </c:pt>
                <c:pt idx="109">
                  <c:v>-49.926981274029188</c:v>
                </c:pt>
                <c:pt idx="110">
                  <c:v>-50.576970380200535</c:v>
                </c:pt>
                <c:pt idx="111">
                  <c:v>-51.224131139603848</c:v>
                </c:pt>
                <c:pt idx="112">
                  <c:v>-51.868149960788777</c:v>
                </c:pt>
                <c:pt idx="113">
                  <c:v>-52.508721205399169</c:v>
                </c:pt>
                <c:pt idx="114">
                  <c:v>-53.145547846991967</c:v>
                </c:pt>
                <c:pt idx="115">
                  <c:v>-53.778342079771257</c:v>
                </c:pt>
                <c:pt idx="116">
                  <c:v>-54.406825874808746</c:v>
                </c:pt>
                <c:pt idx="117">
                  <c:v>-55.030731481855838</c:v>
                </c:pt>
                <c:pt idx="118">
                  <c:v>-55.649801875383282</c:v>
                </c:pt>
                <c:pt idx="119">
                  <c:v>-56.26379114401815</c:v>
                </c:pt>
                <c:pt idx="120">
                  <c:v>-56.87246482304618</c:v>
                </c:pt>
                <c:pt idx="121">
                  <c:v>-57.47560017015617</c:v>
                </c:pt>
                <c:pt idx="122">
                  <c:v>-58.072986385049681</c:v>
                </c:pt>
                <c:pt idx="123">
                  <c:v>-58.664424773991307</c:v>
                </c:pt>
                <c:pt idx="124">
                  <c:v>-59.249728860752938</c:v>
                </c:pt>
                <c:pt idx="125">
                  <c:v>-59.828724445780331</c:v>
                </c:pt>
                <c:pt idx="126">
                  <c:v>-60.401249615718058</c:v>
                </c:pt>
                <c:pt idx="127">
                  <c:v>-60.967154705700011</c:v>
                </c:pt>
                <c:pt idx="128">
                  <c:v>-61.526302217058493</c:v>
                </c:pt>
                <c:pt idx="129">
                  <c:v>-62.078566693274595</c:v>
                </c:pt>
                <c:pt idx="130">
                  <c:v>-62.623834557147553</c:v>
                </c:pt>
                <c:pt idx="131">
                  <c:v>-63.162003912265568</c:v>
                </c:pt>
                <c:pt idx="132">
                  <c:v>-63.69298431192064</c:v>
                </c:pt>
                <c:pt idx="133">
                  <c:v>-64.216696498644268</c:v>
                </c:pt>
                <c:pt idx="134">
                  <c:v>-64.73307211753351</c:v>
                </c:pt>
                <c:pt idx="135">
                  <c:v>-65.242053406500531</c:v>
                </c:pt>
                <c:pt idx="136">
                  <c:v>-65.743592866522647</c:v>
                </c:pt>
                <c:pt idx="137">
                  <c:v>-66.23765291487409</c:v>
                </c:pt>
                <c:pt idx="138">
                  <c:v>-66.724205524218888</c:v>
                </c:pt>
                <c:pt idx="139">
                  <c:v>-67.203231850326219</c:v>
                </c:pt>
                <c:pt idx="140">
                  <c:v>-67.674721851010801</c:v>
                </c:pt>
                <c:pt idx="141">
                  <c:v>-68.138673898778848</c:v>
                </c:pt>
                <c:pt idx="142">
                  <c:v>-68.595094389472976</c:v>
                </c:pt>
                <c:pt idx="143">
                  <c:v>-69.043997349070878</c:v>
                </c:pt>
                <c:pt idx="144">
                  <c:v>-69.485404040607179</c:v>
                </c:pt>
                <c:pt idx="145">
                  <c:v>-69.91934257302826</c:v>
                </c:pt>
                <c:pt idx="146">
                  <c:v>-70.345847513624236</c:v>
                </c:pt>
                <c:pt idx="147">
                  <c:v>-70.764959505509566</c:v>
                </c:pt>
                <c:pt idx="148">
                  <c:v>-71.176724891472219</c:v>
                </c:pt>
                <c:pt idx="149">
                  <c:v>-71.581195345351546</c:v>
                </c:pt>
                <c:pt idx="150">
                  <c:v>-71.978427511955161</c:v>
                </c:pt>
                <c:pt idx="151">
                  <c:v>-72.368482656388224</c:v>
                </c:pt>
                <c:pt idx="152">
                  <c:v>-72.751426323528605</c:v>
                </c:pt>
                <c:pt idx="153">
                  <c:v>-73.127328008261728</c:v>
                </c:pt>
                <c:pt idx="154">
                  <c:v>-73.496260836965632</c:v>
                </c:pt>
                <c:pt idx="155">
                  <c:v>-73.858301260634249</c:v>
                </c:pt>
                <c:pt idx="156">
                  <c:v>-74.213528759919683</c:v>
                </c:pt>
                <c:pt idx="157">
                  <c:v>-74.562025562291367</c:v>
                </c:pt>
                <c:pt idx="158">
                  <c:v>-74.903876371418278</c:v>
                </c:pt>
                <c:pt idx="159">
                  <c:v>-75.239168108811256</c:v>
                </c:pt>
                <c:pt idx="160">
                  <c:v>-75.567989667693283</c:v>
                </c:pt>
                <c:pt idx="161">
                  <c:v>-75.890431679004948</c:v>
                </c:pt>
                <c:pt idx="162">
                  <c:v>-76.206586289402409</c:v>
                </c:pt>
                <c:pt idx="163">
                  <c:v>-76.51654695105573</c:v>
                </c:pt>
                <c:pt idx="164">
                  <c:v>-76.82040822301893</c:v>
                </c:pt>
                <c:pt idx="165">
                  <c:v>-77.118265583908055</c:v>
                </c:pt>
                <c:pt idx="166">
                  <c:v>-77.410215255593698</c:v>
                </c:pt>
                <c:pt idx="167">
                  <c:v>-77.69635403759456</c:v>
                </c:pt>
                <c:pt idx="168">
                  <c:v>-77.976779151835728</c:v>
                </c:pt>
                <c:pt idx="169">
                  <c:v>-78.251588097423195</c:v>
                </c:pt>
                <c:pt idx="170">
                  <c:v>-78.520878515074145</c:v>
                </c:pt>
                <c:pt idx="171">
                  <c:v>-78.784748060835227</c:v>
                </c:pt>
                <c:pt idx="172">
                  <c:v>-79.043294288715501</c:v>
                </c:pt>
                <c:pt idx="173">
                  <c:v>-79.296614541860208</c:v>
                </c:pt>
                <c:pt idx="174">
                  <c:v>-79.544805851890217</c:v>
                </c:pt>
                <c:pt idx="175">
                  <c:v>-79.78796484603609</c:v>
                </c:pt>
                <c:pt idx="176">
                  <c:v>-80.026187661698174</c:v>
                </c:pt>
                <c:pt idx="177">
                  <c:v>-80.259569868071367</c:v>
                </c:pt>
                <c:pt idx="178">
                  <c:v>-80.48820639447942</c:v>
                </c:pt>
                <c:pt idx="179">
                  <c:v>-80.712191465071996</c:v>
                </c:pt>
                <c:pt idx="180">
                  <c:v>-80.931618539546548</c:v>
                </c:pt>
                <c:pt idx="181">
                  <c:v>-81.146580259567997</c:v>
                </c:pt>
                <c:pt idx="182">
                  <c:v>-81.357168400567232</c:v>
                </c:pt>
                <c:pt idx="183">
                  <c:v>-81.563473828613269</c:v>
                </c:pt>
                <c:pt idx="184">
                  <c:v>-81.765586462062601</c:v>
                </c:pt>
                <c:pt idx="185">
                  <c:v>-81.963595237701668</c:v>
                </c:pt>
                <c:pt idx="186">
                  <c:v>-82.15758808111012</c:v>
                </c:pt>
                <c:pt idx="187">
                  <c:v>-82.347651880983818</c:v>
                </c:pt>
                <c:pt idx="188">
                  <c:v>-82.533872467167242</c:v>
                </c:pt>
                <c:pt idx="189">
                  <c:v>-82.716334592157835</c:v>
                </c:pt>
                <c:pt idx="190">
                  <c:v>-82.895121915854531</c:v>
                </c:pt>
                <c:pt idx="191">
                  <c:v>-83.070316993335396</c:v>
                </c:pt>
                <c:pt idx="192">
                  <c:v>-83.2420012654581</c:v>
                </c:pt>
                <c:pt idx="193">
                  <c:v>-83.410255052089155</c:v>
                </c:pt>
                <c:pt idx="194">
                  <c:v>-83.575157547777877</c:v>
                </c:pt>
                <c:pt idx="195">
                  <c:v>-83.736786819699049</c:v>
                </c:pt>
                <c:pt idx="196">
                  <c:v>-83.895219807701451</c:v>
                </c:pt>
                <c:pt idx="197">
                  <c:v>-84.050532326304577</c:v>
                </c:pt>
                <c:pt idx="198">
                  <c:v>-84.202799068498081</c:v>
                </c:pt>
                <c:pt idx="199">
                  <c:v>-84.352093611204879</c:v>
                </c:pt>
                <c:pt idx="200">
                  <c:v>-84.498488422278683</c:v>
                </c:pt>
                <c:pt idx="201">
                  <c:v>-84.642054868912837</c:v>
                </c:pt>
                <c:pt idx="202">
                  <c:v>-84.782863227346468</c:v>
                </c:pt>
                <c:pt idx="203">
                  <c:v>-84.92098269376001</c:v>
                </c:pt>
                <c:pt idx="204">
                  <c:v>-85.056481396259485</c:v>
                </c:pt>
                <c:pt idx="205">
                  <c:v>-85.189426407855549</c:v>
                </c:pt>
                <c:pt idx="206">
                  <c:v>-85.319883760348432</c:v>
                </c:pt>
                <c:pt idx="207">
                  <c:v>-85.447918459037766</c:v>
                </c:pt>
                <c:pt idx="208">
                  <c:v>-85.573594498179133</c:v>
                </c:pt>
                <c:pt idx="209">
                  <c:v>-85.696974877117285</c:v>
                </c:pt>
                <c:pt idx="210">
                  <c:v>-85.818121617028524</c:v>
                </c:pt>
                <c:pt idx="211">
                  <c:v>-85.937095778211258</c:v>
                </c:pt>
                <c:pt idx="212">
                  <c:v>-86.053957477866476</c:v>
                </c:pt>
                <c:pt idx="213">
                  <c:v>-86.168765908316573</c:v>
                </c:pt>
                <c:pt idx="214">
                  <c:v>-86.281579355611143</c:v>
                </c:pt>
                <c:pt idx="215">
                  <c:v>-86.392455218476584</c:v>
                </c:pt>
                <c:pt idx="216">
                  <c:v>-86.501450027565781</c:v>
                </c:pt>
                <c:pt idx="217">
                  <c:v>-86.608619464970346</c:v>
                </c:pt>
                <c:pt idx="218">
                  <c:v>-86.714018383959186</c:v>
                </c:pt>
                <c:pt idx="219">
                  <c:v>-86.817700828911342</c:v>
                </c:pt>
                <c:pt idx="220">
                  <c:v>-86.919720055412697</c:v>
                </c:pt>
                <c:pt idx="221">
                  <c:v>-87.020128550489574</c:v>
                </c:pt>
                <c:pt idx="222">
                  <c:v>-87.118978052954347</c:v>
                </c:pt>
                <c:pt idx="223">
                  <c:v>-87.216319573840124</c:v>
                </c:pt>
                <c:pt idx="224">
                  <c:v>-87.312203416904424</c:v>
                </c:pt>
                <c:pt idx="225">
                  <c:v>-87.406679199182719</c:v>
                </c:pt>
                <c:pt idx="226">
                  <c:v>-87.499795871576211</c:v>
                </c:pt>
                <c:pt idx="227">
                  <c:v>-87.591601739457573</c:v>
                </c:pt>
                <c:pt idx="228">
                  <c:v>-87.682144483282187</c:v>
                </c:pt>
                <c:pt idx="229">
                  <c:v>-87.771471179193526</c:v>
                </c:pt>
                <c:pt idx="230">
                  <c:v>-87.859628319610877</c:v>
                </c:pt>
                <c:pt idx="231">
                  <c:v>-87.946661833791993</c:v>
                </c:pt>
                <c:pt idx="232">
                  <c:v>-88.032617108361762</c:v>
                </c:pt>
                <c:pt idx="233">
                  <c:v>-88.117539007800744</c:v>
                </c:pt>
                <c:pt idx="234">
                  <c:v>-88.201471894888016</c:v>
                </c:pt>
                <c:pt idx="235">
                  <c:v>-88.284459651093684</c:v>
                </c:pt>
                <c:pt idx="236">
                  <c:v>-88.366545696917427</c:v>
                </c:pt>
                <c:pt idx="237">
                  <c:v>-88.447773012170558</c:v>
                </c:pt>
                <c:pt idx="238">
                  <c:v>-88.528184156199458</c:v>
                </c:pt>
                <c:pt idx="239">
                  <c:v>-88.607821288049351</c:v>
                </c:pt>
                <c:pt idx="240">
                  <c:v>-88.686726186567839</c:v>
                </c:pt>
                <c:pt idx="241">
                  <c:v>-88.764940270448946</c:v>
                </c:pt>
                <c:pt idx="242">
                  <c:v>-88.842504618217632</c:v>
                </c:pt>
                <c:pt idx="243">
                  <c:v>-88.919459988156774</c:v>
                </c:pt>
                <c:pt idx="244">
                  <c:v>-88.995846838178636</c:v>
                </c:pt>
                <c:pt idx="245">
                  <c:v>-89.071705345642741</c:v>
                </c:pt>
                <c:pt idx="246">
                  <c:v>-89.147075427123426</c:v>
                </c:pt>
                <c:pt idx="247">
                  <c:v>-89.221996758130331</c:v>
                </c:pt>
                <c:pt idx="248">
                  <c:v>-89.296508792785332</c:v>
                </c:pt>
                <c:pt idx="249">
                  <c:v>-89.37065078346015</c:v>
                </c:pt>
                <c:pt idx="250">
                  <c:v>-89.444461800379045</c:v>
                </c:pt>
                <c:pt idx="251">
                  <c:v>-89.517980751191274</c:v>
                </c:pt>
                <c:pt idx="252">
                  <c:v>-89.591246400518088</c:v>
                </c:pt>
                <c:pt idx="253">
                  <c:v>-89.664297389480112</c:v>
                </c:pt>
                <c:pt idx="254">
                  <c:v>-89.737172255209984</c:v>
                </c:pt>
                <c:pt idx="255">
                  <c:v>-89.809909450356557</c:v>
                </c:pt>
                <c:pt idx="256">
                  <c:v>-89.88254736258601</c:v>
                </c:pt>
                <c:pt idx="257">
                  <c:v>-89.955124334086833</c:v>
                </c:pt>
                <c:pt idx="258">
                  <c:v>-90.027678681084296</c:v>
                </c:pt>
                <c:pt idx="259">
                  <c:v>-90.100248713371215</c:v>
                </c:pt>
                <c:pt idx="260">
                  <c:v>-90.172872753861753</c:v>
                </c:pt>
                <c:pt idx="261">
                  <c:v>-90.245589158174681</c:v>
                </c:pt>
                <c:pt idx="262">
                  <c:v>-90.318436334253548</c:v>
                </c:pt>
                <c:pt idx="263">
                  <c:v>-90.39145276203017</c:v>
                </c:pt>
                <c:pt idx="264">
                  <c:v>-90.464677013139067</c:v>
                </c:pt>
                <c:pt idx="265">
                  <c:v>-90.538147770689605</c:v>
                </c:pt>
                <c:pt idx="266">
                  <c:v>-90.61190384910347</c:v>
                </c:pt>
                <c:pt idx="267">
                  <c:v>-90.685984214024586</c:v>
                </c:pt>
                <c:pt idx="268">
                  <c:v>-90.760428002308984</c:v>
                </c:pt>
                <c:pt idx="269">
                  <c:v>-90.835274542101928</c:v>
                </c:pt>
                <c:pt idx="270">
                  <c:v>-90.910563373009765</c:v>
                </c:pt>
                <c:pt idx="271">
                  <c:v>-90.986334266374257</c:v>
                </c:pt>
                <c:pt idx="272">
                  <c:v>-91.062627245656273</c:v>
                </c:pt>
                <c:pt idx="273">
                  <c:v>-91.139482606937122</c:v>
                </c:pt>
                <c:pt idx="274">
                  <c:v>-91.216940939544102</c:v>
                </c:pt>
                <c:pt idx="275">
                  <c:v>-91.295043146808581</c:v>
                </c:pt>
                <c:pt idx="276">
                  <c:v>-91.37383046696317</c:v>
                </c:pt>
                <c:pt idx="277">
                  <c:v>-91.453344494186112</c:v>
                </c:pt>
                <c:pt idx="278">
                  <c:v>-91.533627199799611</c:v>
                </c:pt>
                <c:pt idx="279">
                  <c:v>-91.614720953629472</c:v>
                </c:pt>
                <c:pt idx="280">
                  <c:v>-91.696668545533242</c:v>
                </c:pt>
                <c:pt idx="281">
                  <c:v>-91.77951320710379</c:v>
                </c:pt>
                <c:pt idx="282">
                  <c:v>-91.86329863355509</c:v>
                </c:pt>
                <c:pt idx="283">
                  <c:v>-91.948069005797208</c:v>
                </c:pt>
                <c:pt idx="284">
                  <c:v>-92.033869012706674</c:v>
                </c:pt>
                <c:pt idx="285">
                  <c:v>-92.120743873598968</c:v>
                </c:pt>
                <c:pt idx="286">
                  <c:v>-92.208739360908964</c:v>
                </c:pt>
                <c:pt idx="287">
                  <c:v>-92.297901823085809</c:v>
                </c:pt>
                <c:pt idx="288">
                  <c:v>-92.388278207707145</c:v>
                </c:pt>
                <c:pt idx="289">
                  <c:v>-92.47991608481874</c:v>
                </c:pt>
                <c:pt idx="290">
                  <c:v>-92.57286367050456</c:v>
                </c:pt>
                <c:pt idx="291">
                  <c:v>-92.667169850691536</c:v>
                </c:pt>
                <c:pt idx="292">
                  <c:v>-92.762884205194155</c:v>
                </c:pt>
                <c:pt idx="293">
                  <c:v>-92.860057032002317</c:v>
                </c:pt>
                <c:pt idx="294">
                  <c:v>-92.958739371816264</c:v>
                </c:pt>
                <c:pt idx="295">
                  <c:v>-93.058983032831662</c:v>
                </c:pt>
                <c:pt idx="296">
                  <c:v>-93.160840615777303</c:v>
                </c:pt>
                <c:pt idx="297">
                  <c:v>-93.26436553920739</c:v>
                </c:pt>
                <c:pt idx="298">
                  <c:v>-93.369612065049893</c:v>
                </c:pt>
                <c:pt idx="299">
                  <c:v>-93.47663532441166</c:v>
                </c:pt>
                <c:pt idx="300">
                  <c:v>-93.585491343640243</c:v>
                </c:pt>
                <c:pt idx="301">
                  <c:v>-93.696237070641274</c:v>
                </c:pt>
                <c:pt idx="302">
                  <c:v>-93.808930401450624</c:v>
                </c:pt>
                <c:pt idx="303">
                  <c:v>-93.923630207057727</c:v>
                </c:pt>
                <c:pt idx="304">
                  <c:v>-94.040396360477288</c:v>
                </c:pt>
                <c:pt idx="305">
                  <c:v>-94.159289764064241</c:v>
                </c:pt>
                <c:pt idx="306">
                  <c:v>-94.280372377066456</c:v>
                </c:pt>
                <c:pt idx="307">
                  <c:v>-94.403707243408448</c:v>
                </c:pt>
                <c:pt idx="308">
                  <c:v>-94.529358519696771</c:v>
                </c:pt>
                <c:pt idx="309">
                  <c:v>-94.65739150343839</c:v>
                </c:pt>
                <c:pt idx="310">
                  <c:v>-94.787872661460455</c:v>
                </c:pt>
                <c:pt idx="311">
                  <c:v>-94.920869658517574</c:v>
                </c:pt>
                <c:pt idx="312">
                  <c:v>-95.056451386073576</c:v>
                </c:pt>
                <c:pt idx="313">
                  <c:v>-95.194687991239491</c:v>
                </c:pt>
                <c:pt idx="314">
                  <c:v>-95.335650905849732</c:v>
                </c:pt>
                <c:pt idx="315">
                  <c:v>-95.479412875656109</c:v>
                </c:pt>
                <c:pt idx="316">
                  <c:v>-95.626047989615373</c:v>
                </c:pt>
                <c:pt idx="317">
                  <c:v>-95.775631709245758</c:v>
                </c:pt>
                <c:pt idx="318">
                  <c:v>-95.928240898023063</c:v>
                </c:pt>
                <c:pt idx="319">
                  <c:v>-96.083953850786116</c:v>
                </c:pt>
                <c:pt idx="320">
                  <c:v>-96.242850323116627</c:v>
                </c:pt>
                <c:pt idx="321">
                  <c:v>-96.405011560656277</c:v>
                </c:pt>
                <c:pt idx="322">
                  <c:v>-96.57052032831983</c:v>
                </c:pt>
                <c:pt idx="323">
                  <c:v>-96.739460939360086</c:v>
                </c:pt>
                <c:pt idx="324">
                  <c:v>-96.911919284236049</c:v>
                </c:pt>
                <c:pt idx="325">
                  <c:v>-97.087982859231076</c:v>
                </c:pt>
                <c:pt idx="326">
                  <c:v>-97.267740794764492</c:v>
                </c:pt>
                <c:pt idx="327">
                  <c:v>-97.451283883334852</c:v>
                </c:pt>
                <c:pt idx="328">
                  <c:v>-97.638704607027805</c:v>
                </c:pt>
                <c:pt idx="329">
                  <c:v>-97.83009716451707</c:v>
                </c:pt>
                <c:pt idx="330">
                  <c:v>-98.02555749747971</c:v>
                </c:pt>
                <c:pt idx="331">
                  <c:v>-98.225183316344271</c:v>
                </c:pt>
                <c:pt idx="332">
                  <c:v>-98.429074125279897</c:v>
                </c:pt>
                <c:pt idx="333">
                  <c:v>-98.637331246331854</c:v>
                </c:pt>
                <c:pt idx="334">
                  <c:v>-98.850057842599327</c:v>
                </c:pt>
                <c:pt idx="335">
                  <c:v>-99.067358940345812</c:v>
                </c:pt>
                <c:pt idx="336">
                  <c:v>-99.28934144992283</c:v>
                </c:pt>
                <c:pt idx="337">
                  <c:v>-99.516114185382435</c:v>
                </c:pt>
                <c:pt idx="338">
                  <c:v>-99.747787882643195</c:v>
                </c:pt>
                <c:pt idx="339">
                  <c:v>-99.984475216066144</c:v>
                </c:pt>
                <c:pt idx="340">
                  <c:v>-100.22629081328861</c:v>
                </c:pt>
                <c:pt idx="341">
                  <c:v>-100.47335126815388</c:v>
                </c:pt>
                <c:pt idx="342">
                  <c:v>-100.72577515156543</c:v>
                </c:pt>
                <c:pt idx="343">
                  <c:v>-100.98368302008114</c:v>
                </c:pt>
                <c:pt idx="344">
                  <c:v>-101.24719742205764</c:v>
                </c:pt>
                <c:pt idx="345">
                  <c:v>-101.51644290113806</c:v>
                </c:pt>
                <c:pt idx="346">
                  <c:v>-101.7915459968695</c:v>
                </c:pt>
                <c:pt idx="347">
                  <c:v>-102.07263524222127</c:v>
                </c:pt>
                <c:pt idx="348">
                  <c:v>-102.35984115776658</c:v>
                </c:pt>
                <c:pt idx="349">
                  <c:v>-102.6532962422751</c:v>
                </c:pt>
                <c:pt idx="350">
                  <c:v>-102.95313495945285</c:v>
                </c:pt>
                <c:pt idx="351">
                  <c:v>-103.25949372055221</c:v>
                </c:pt>
                <c:pt idx="352">
                  <c:v>-103.57251086256495</c:v>
                </c:pt>
                <c:pt idx="353">
                  <c:v>-103.89232662169331</c:v>
                </c:pt>
                <c:pt idx="354">
                  <c:v>-104.21908310178846</c:v>
                </c:pt>
                <c:pt idx="355">
                  <c:v>-104.55292423742566</c:v>
                </c:pt>
                <c:pt idx="356">
                  <c:v>-104.89399575128043</c:v>
                </c:pt>
                <c:pt idx="357">
                  <c:v>-105.24244510545262</c:v>
                </c:pt>
                <c:pt idx="358">
                  <c:v>-105.59842144637783</c:v>
                </c:pt>
                <c:pt idx="359">
                  <c:v>-105.9620755429527</c:v>
                </c:pt>
                <c:pt idx="360">
                  <c:v>-106.33355971749324</c:v>
                </c:pt>
                <c:pt idx="361">
                  <c:v>-106.71302776913465</c:v>
                </c:pt>
                <c:pt idx="362">
                  <c:v>-107.10063488927443</c:v>
                </c:pt>
                <c:pt idx="363">
                  <c:v>-107.49653756865678</c:v>
                </c:pt>
                <c:pt idx="364">
                  <c:v>-107.90089349568886</c:v>
                </c:pt>
                <c:pt idx="365">
                  <c:v>-108.31386144558068</c:v>
                </c:pt>
                <c:pt idx="366">
                  <c:v>-108.73560115989834</c:v>
                </c:pt>
                <c:pt idx="367">
                  <c:v>-109.16627321612586</c:v>
                </c:pt>
                <c:pt idx="368">
                  <c:v>-109.60603888683464</c:v>
                </c:pt>
                <c:pt idx="369">
                  <c:v>-110.05505998806966</c:v>
                </c:pt>
                <c:pt idx="370">
                  <c:v>-110.51349871657523</c:v>
                </c:pt>
                <c:pt idx="371">
                  <c:v>-110.98151747550122</c:v>
                </c:pt>
                <c:pt idx="372">
                  <c:v>-111.45927868824835</c:v>
                </c:pt>
                <c:pt idx="373">
                  <c:v>-111.94694460014321</c:v>
                </c:pt>
                <c:pt idx="374">
                  <c:v>-112.44467706766183</c:v>
                </c:pt>
                <c:pt idx="375">
                  <c:v>-112.95263733496056</c:v>
                </c:pt>
                <c:pt idx="376">
                  <c:v>-113.4709857975156</c:v>
                </c:pt>
                <c:pt idx="377">
                  <c:v>-113.99988175272335</c:v>
                </c:pt>
                <c:pt idx="378">
                  <c:v>-114.53948313737483</c:v>
                </c:pt>
                <c:pt idx="379">
                  <c:v>-115.08994625197431</c:v>
                </c:pt>
                <c:pt idx="380">
                  <c:v>-115.65142547195605</c:v>
                </c:pt>
                <c:pt idx="381">
                  <c:v>-116.22407294592176</c:v>
                </c:pt>
                <c:pt idx="382">
                  <c:v>-116.80803828112164</c:v>
                </c:pt>
                <c:pt idx="383">
                  <c:v>-117.40346821648868</c:v>
                </c:pt>
                <c:pt idx="384">
                  <c:v>-118.01050628364854</c:v>
                </c:pt>
                <c:pt idx="385">
                  <c:v>-118.6292924564371</c:v>
                </c:pt>
                <c:pt idx="386">
                  <c:v>-119.2599627895779</c:v>
                </c:pt>
                <c:pt idx="387">
                  <c:v>-119.90264904730761</c:v>
                </c:pt>
                <c:pt idx="388">
                  <c:v>-120.55747832286374</c:v>
                </c:pt>
                <c:pt idx="389">
                  <c:v>-121.22457264989907</c:v>
                </c:pt>
                <c:pt idx="390">
                  <c:v>-121.90404860703123</c:v>
                </c:pt>
                <c:pt idx="391">
                  <c:v>-122.59601691689191</c:v>
                </c:pt>
                <c:pt idx="392">
                  <c:v>-123.30058204118878</c:v>
                </c:pt>
                <c:pt idx="393">
                  <c:v>-124.01784177345864</c:v>
                </c:pt>
                <c:pt idx="394">
                  <c:v>-124.74788683133825</c:v>
                </c:pt>
                <c:pt idx="395">
                  <c:v>-125.49080045034117</c:v>
                </c:pt>
                <c:pt idx="396">
                  <c:v>-126.24665798127185</c:v>
                </c:pt>
                <c:pt idx="397">
                  <c:v>-127.01552649355578</c:v>
                </c:pt>
                <c:pt idx="398">
                  <c:v>-127.79746438689101</c:v>
                </c:pt>
                <c:pt idx="399">
                  <c:v>-128.59252101375554</c:v>
                </c:pt>
                <c:pt idx="400">
                  <c:v>-129.40073631539553</c:v>
                </c:pt>
                <c:pt idx="401">
                  <c:v>-130.22214047402016</c:v>
                </c:pt>
                <c:pt idx="402">
                  <c:v>-131.05675358397647</c:v>
                </c:pt>
                <c:pt idx="403">
                  <c:v>-131.90458534472933</c:v>
                </c:pt>
                <c:pt idx="404">
                  <c:v>-132.76563477846756</c:v>
                </c:pt>
                <c:pt idx="405">
                  <c:v>-133.63988997514775</c:v>
                </c:pt>
                <c:pt idx="406">
                  <c:v>-134.52732786772179</c:v>
                </c:pt>
                <c:pt idx="407">
                  <c:v>-135.42791404020494</c:v>
                </c:pt>
                <c:pt idx="408">
                  <c:v>-136.34160257111122</c:v>
                </c:pt>
                <c:pt idx="409">
                  <c:v>-137.26833591460993</c:v>
                </c:pt>
                <c:pt idx="410">
                  <c:v>-138.20804482154588</c:v>
                </c:pt>
                <c:pt idx="411">
                  <c:v>-139.16064830220864</c:v>
                </c:pt>
                <c:pt idx="412">
                  <c:v>-140.12605363245441</c:v>
                </c:pt>
                <c:pt idx="413">
                  <c:v>-141.1041564044333</c:v>
                </c:pt>
                <c:pt idx="414">
                  <c:v>-142.09484062282115</c:v>
                </c:pt>
                <c:pt idx="415">
                  <c:v>-143.09797884704528</c:v>
                </c:pt>
                <c:pt idx="416">
                  <c:v>-144.11343237955776</c:v>
                </c:pt>
                <c:pt idx="417">
                  <c:v>-145.14105149976052</c:v>
                </c:pt>
                <c:pt idx="418">
                  <c:v>-146.18067574270083</c:v>
                </c:pt>
                <c:pt idx="419">
                  <c:v>-147.23213422118101</c:v>
                </c:pt>
                <c:pt idx="420">
                  <c:v>-148.29524598942004</c:v>
                </c:pt>
                <c:pt idx="421">
                  <c:v>-149.36982044592941</c:v>
                </c:pt>
                <c:pt idx="422">
                  <c:v>-150.4556577727767</c:v>
                </c:pt>
                <c:pt idx="423">
                  <c:v>-151.55254940797278</c:v>
                </c:pt>
                <c:pt idx="424">
                  <c:v>-152.66027854726943</c:v>
                </c:pt>
                <c:pt idx="425">
                  <c:v>-153.77862067128561</c:v>
                </c:pt>
                <c:pt idx="426">
                  <c:v>-154.9073440935401</c:v>
                </c:pt>
                <c:pt idx="427">
                  <c:v>-156.04621052465913</c:v>
                </c:pt>
                <c:pt idx="428">
                  <c:v>-157.19497564783464</c:v>
                </c:pt>
                <c:pt idx="429">
                  <c:v>-158.35338970043128</c:v>
                </c:pt>
                <c:pt idx="430">
                  <c:v>-159.5211980565515</c:v>
                </c:pt>
                <c:pt idx="431">
                  <c:v>-160.6981418053841</c:v>
                </c:pt>
                <c:pt idx="432">
                  <c:v>-161.88395832020009</c:v>
                </c:pt>
                <c:pt idx="433">
                  <c:v>-163.07838181303441</c:v>
                </c:pt>
                <c:pt idx="434">
                  <c:v>-164.28114387029839</c:v>
                </c:pt>
                <c:pt idx="435">
                  <c:v>-165.49197396489069</c:v>
                </c:pt>
                <c:pt idx="436">
                  <c:v>-166.7105999407315</c:v>
                </c:pt>
                <c:pt idx="437">
                  <c:v>-167.93674846609571</c:v>
                </c:pt>
                <c:pt idx="438">
                  <c:v>-169.17014545262575</c:v>
                </c:pt>
                <c:pt idx="439">
                  <c:v>-170.41051643744214</c:v>
                </c:pt>
                <c:pt idx="440">
                  <c:v>-171.65758692638641</c:v>
                </c:pt>
                <c:pt idx="441">
                  <c:v>-172.91108269704617</c:v>
                </c:pt>
                <c:pt idx="442">
                  <c:v>-174.17073006086719</c:v>
                </c:pt>
                <c:pt idx="443">
                  <c:v>-175.43625608431753</c:v>
                </c:pt>
                <c:pt idx="444">
                  <c:v>-176.7073887697409</c:v>
                </c:pt>
                <c:pt idx="445">
                  <c:v>-177.98385719717299</c:v>
                </c:pt>
                <c:pt idx="446">
                  <c:v>-179.2653916290337</c:v>
                </c:pt>
                <c:pt idx="447">
                  <c:v>179.44827641979904</c:v>
                </c:pt>
                <c:pt idx="448">
                  <c:v>178.15741414348435</c:v>
                </c:pt>
                <c:pt idx="449">
                  <c:v>176.86228743471457</c:v>
                </c:pt>
                <c:pt idx="450">
                  <c:v>175.56316089823693</c:v>
                </c:pt>
                <c:pt idx="451">
                  <c:v>174.26029788402542</c:v>
                </c:pt>
                <c:pt idx="452">
                  <c:v>172.95396053545991</c:v>
                </c:pt>
                <c:pt idx="453">
                  <c:v>171.64440984763954</c:v>
                </c:pt>
                <c:pt idx="454">
                  <c:v>170.33190573083758</c:v>
                </c:pt>
                <c:pt idx="455">
                  <c:v>169.01670707405555</c:v>
                </c:pt>
                <c:pt idx="456">
                  <c:v>167.69907180369145</c:v>
                </c:pt>
                <c:pt idx="457">
                  <c:v>166.37925693244037</c:v>
                </c:pt>
                <c:pt idx="458">
                  <c:v>165.05751859379382</c:v>
                </c:pt>
                <c:pt idx="459">
                  <c:v>163.73411205777646</c:v>
                </c:pt>
                <c:pt idx="460">
                  <c:v>162.40929172393533</c:v>
                </c:pt>
                <c:pt idx="461">
                  <c:v>161.08331108804782</c:v>
                </c:pt>
                <c:pt idx="462">
                  <c:v>159.756422679509</c:v>
                </c:pt>
                <c:pt idx="463">
                  <c:v>158.42887796692139</c:v>
                </c:pt>
                <c:pt idx="464">
                  <c:v>157.10092723001986</c:v>
                </c:pt>
                <c:pt idx="465">
                  <c:v>155.77281939669959</c:v>
                </c:pt>
                <c:pt idx="466">
                  <c:v>154.44480184457885</c:v>
                </c:pt>
                <c:pt idx="467">
                  <c:v>153.11712016721015</c:v>
                </c:pt>
                <c:pt idx="468">
                  <c:v>151.79001790573221</c:v>
                </c:pt>
                <c:pt idx="469">
                  <c:v>150.4637362474229</c:v>
                </c:pt>
                <c:pt idx="470">
                  <c:v>149.13851369326346</c:v>
                </c:pt>
                <c:pt idx="471">
                  <c:v>147.81458569724782</c:v>
                </c:pt>
                <c:pt idx="472">
                  <c:v>146.49218428074215</c:v>
                </c:pt>
                <c:pt idx="473">
                  <c:v>145.17153762572144</c:v>
                </c:pt>
                <c:pt idx="474">
                  <c:v>143.85286965118499</c:v>
                </c:pt>
                <c:pt idx="475">
                  <c:v>142.5363995774463</c:v>
                </c:pt>
                <c:pt idx="476">
                  <c:v>141.22234148331728</c:v>
                </c:pt>
                <c:pt idx="477">
                  <c:v>139.91090386145859</c:v>
                </c:pt>
                <c:pt idx="478">
                  <c:v>138.602289177339</c:v>
                </c:pt>
                <c:pt idx="479">
                  <c:v>137.29669343732894</c:v>
                </c:pt>
                <c:pt idx="480">
                  <c:v>135.99430577146751</c:v>
                </c:pt>
                <c:pt idx="481">
                  <c:v>134.6953080363601</c:v>
                </c:pt>
                <c:pt idx="482">
                  <c:v>133.39987444352204</c:v>
                </c:pt>
                <c:pt idx="483">
                  <c:v>132.1081712182602</c:v>
                </c:pt>
                <c:pt idx="484">
                  <c:v>130.82035629388903</c:v>
                </c:pt>
                <c:pt idx="485">
                  <c:v>129.53657904573888</c:v>
                </c:pt>
                <c:pt idx="486">
                  <c:v>128.25698006900637</c:v>
                </c:pt>
                <c:pt idx="487">
                  <c:v>126.98169100404377</c:v>
                </c:pt>
                <c:pt idx="488">
                  <c:v>125.710834412217</c:v>
                </c:pt>
                <c:pt idx="489">
                  <c:v>124.44452370492775</c:v>
                </c:pt>
                <c:pt idx="490">
                  <c:v>123.18286312787592</c:v>
                </c:pt>
                <c:pt idx="491">
                  <c:v>121.92594780208813</c:v>
                </c:pt>
                <c:pt idx="492">
                  <c:v>120.67386382268681</c:v>
                </c:pt>
                <c:pt idx="493">
                  <c:v>119.42668841583048</c:v>
                </c:pt>
                <c:pt idx="494">
                  <c:v>118.18449015370962</c:v>
                </c:pt>
                <c:pt idx="495">
                  <c:v>116.94732922697044</c:v>
                </c:pt>
                <c:pt idx="496">
                  <c:v>115.71525777342177</c:v>
                </c:pt>
                <c:pt idx="497">
                  <c:v>114.48832026141675</c:v>
                </c:pt>
                <c:pt idx="498">
                  <c:v>113.26655392583247</c:v>
                </c:pt>
                <c:pt idx="499">
                  <c:v>112.0499892541639</c:v>
                </c:pt>
                <c:pt idx="500">
                  <c:v>110.83865051984934</c:v>
                </c:pt>
                <c:pt idx="501">
                  <c:v>109.63255635959163</c:v>
                </c:pt>
                <c:pt idx="502">
                  <c:v>108.4317203911135</c:v>
                </c:pt>
                <c:pt idx="503">
                  <c:v>107.23615186750244</c:v>
                </c:pt>
                <c:pt idx="504">
                  <c:v>106.04585636403064</c:v>
                </c:pt>
                <c:pt idx="505">
                  <c:v>104.86083649312287</c:v>
                </c:pt>
                <c:pt idx="506">
                  <c:v>103.68109264294425</c:v>
                </c:pt>
                <c:pt idx="507">
                  <c:v>102.50662373491696</c:v>
                </c:pt>
                <c:pt idx="508">
                  <c:v>101.33742799533921</c:v>
                </c:pt>
                <c:pt idx="509">
                  <c:v>100.17350373617312</c:v>
                </c:pt>
                <c:pt idx="510">
                  <c:v>99.014850139986692</c:v>
                </c:pt>
                <c:pt idx="511">
                  <c:v>97.861468043978888</c:v>
                </c:pt>
                <c:pt idx="512">
                  <c:v>96.713360717989943</c:v>
                </c:pt>
                <c:pt idx="513">
                  <c:v>95.57053463139124</c:v>
                </c:pt>
                <c:pt idx="514">
                  <c:v>94.433000203780495</c:v>
                </c:pt>
                <c:pt idx="515">
                  <c:v>93.300772534443922</c:v>
                </c:pt>
                <c:pt idx="516">
                  <c:v>92.173872105631929</c:v>
                </c:pt>
                <c:pt idx="517">
                  <c:v>91.052325454796573</c:v>
                </c:pt>
                <c:pt idx="518">
                  <c:v>89.936165811068392</c:v>
                </c:pt>
                <c:pt idx="519">
                  <c:v>88.825433691418638</c:v>
                </c:pt>
                <c:pt idx="520">
                  <c:v>87.720177452143417</c:v>
                </c:pt>
                <c:pt idx="521">
                  <c:v>86.620453791539205</c:v>
                </c:pt>
                <c:pt idx="522">
                  <c:v>85.526328199899453</c:v>
                </c:pt>
                <c:pt idx="523">
                  <c:v>84.437875353261049</c:v>
                </c:pt>
                <c:pt idx="524">
                  <c:v>83.355179447660561</c:v>
                </c:pt>
                <c:pt idx="525">
                  <c:v>82.278334471038647</c:v>
                </c:pt>
                <c:pt idx="526">
                  <c:v>81.207444410326943</c:v>
                </c:pt>
                <c:pt idx="527">
                  <c:v>80.142623391689838</c:v>
                </c:pt>
                <c:pt idx="528">
                  <c:v>79.083995752382734</c:v>
                </c:pt>
                <c:pt idx="529">
                  <c:v>78.03169604315724</c:v>
                </c:pt>
                <c:pt idx="530">
                  <c:v>76.985868960713404</c:v>
                </c:pt>
                <c:pt idx="531">
                  <c:v>75.946669210205187</c:v>
                </c:pt>
                <c:pt idx="532">
                  <c:v>74.914261298405592</c:v>
                </c:pt>
                <c:pt idx="533">
                  <c:v>73.88881925869147</c:v>
                </c:pt>
                <c:pt idx="534">
                  <c:v>72.870526309605381</c:v>
                </c:pt>
                <c:pt idx="535">
                  <c:v>71.859574449319709</c:v>
                </c:pt>
                <c:pt idx="536">
                  <c:v>70.856163988902381</c:v>
                </c:pt>
                <c:pt idx="537">
                  <c:v>69.860503027827875</c:v>
                </c:pt>
                <c:pt idx="538">
                  <c:v>68.872806875707511</c:v>
                </c:pt>
                <c:pt idx="539">
                  <c:v>67.893297424700279</c:v>
                </c:pt>
                <c:pt idx="540">
                  <c:v>66.922202477508506</c:v>
                </c:pt>
                <c:pt idx="541">
                  <c:v>65.959755036266102</c:v>
                </c:pt>
              </c:numCache>
            </c:numRef>
          </c:yVal>
          <c:smooth val="1"/>
          <c:extLst>
            <c:ext xmlns:c16="http://schemas.microsoft.com/office/drawing/2014/chart" uri="{C3380CC4-5D6E-409C-BE32-E72D297353CC}">
              <c16:uniqueId val="{00000001-A2EA-421A-86DB-B77E045220A3}"/>
            </c:ext>
          </c:extLst>
        </c:ser>
        <c:dLbls>
          <c:showLegendKey val="0"/>
          <c:showVal val="0"/>
          <c:showCatName val="0"/>
          <c:showSerName val="0"/>
          <c:showPercent val="0"/>
          <c:showBubbleSize val="0"/>
        </c:dLbls>
        <c:axId val="73944448"/>
        <c:axId val="73942912"/>
      </c:scatterChart>
      <c:valAx>
        <c:axId val="7393062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73940992"/>
        <c:crosses val="autoZero"/>
        <c:crossBetween val="midCat"/>
      </c:valAx>
      <c:valAx>
        <c:axId val="7394099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73930624"/>
        <c:crosses val="autoZero"/>
        <c:crossBetween val="midCat"/>
        <c:majorUnit val="20"/>
        <c:minorUnit val="10"/>
      </c:valAx>
      <c:valAx>
        <c:axId val="73942912"/>
        <c:scaling>
          <c:orientation val="minMax"/>
          <c:max val="180"/>
          <c:min val="-180"/>
        </c:scaling>
        <c:delete val="0"/>
        <c:axPos val="r"/>
        <c:numFmt formatCode="General" sourceLinked="1"/>
        <c:majorTickMark val="out"/>
        <c:minorTickMark val="none"/>
        <c:tickLblPos val="nextTo"/>
        <c:crossAx val="73944448"/>
        <c:crosses val="max"/>
        <c:crossBetween val="midCat"/>
        <c:majorUnit val="90"/>
        <c:minorUnit val="45"/>
      </c:valAx>
      <c:valAx>
        <c:axId val="73944448"/>
        <c:scaling>
          <c:logBase val="10"/>
          <c:orientation val="minMax"/>
        </c:scaling>
        <c:delete val="1"/>
        <c:axPos val="b"/>
        <c:numFmt formatCode="0.00" sourceLinked="1"/>
        <c:majorTickMark val="out"/>
        <c:minorTickMark val="none"/>
        <c:tickLblPos val="nextTo"/>
        <c:crossAx val="73942912"/>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48.26221212877708</c:v>
                </c:pt>
                <c:pt idx="1">
                  <c:v>48.062212705099199</c:v>
                </c:pt>
                <c:pt idx="2">
                  <c:v>47.862213308582511</c:v>
                </c:pt>
                <c:pt idx="3">
                  <c:v>47.662213940506952</c:v>
                </c:pt>
                <c:pt idx="4">
                  <c:v>47.462214602213024</c:v>
                </c:pt>
                <c:pt idx="5">
                  <c:v>47.262215295104191</c:v>
                </c:pt>
                <c:pt idx="6">
                  <c:v>47.06221602065024</c:v>
                </c:pt>
                <c:pt idx="7">
                  <c:v>46.86221678039005</c:v>
                </c:pt>
                <c:pt idx="8">
                  <c:v>46.662217575935216</c:v>
                </c:pt>
                <c:pt idx="9">
                  <c:v>46.462218408973015</c:v>
                </c:pt>
                <c:pt idx="10">
                  <c:v>46.262219281270596</c:v>
                </c:pt>
                <c:pt idx="11">
                  <c:v>46.062220194678076</c:v>
                </c:pt>
                <c:pt idx="12">
                  <c:v>45.862221151132935</c:v>
                </c:pt>
                <c:pt idx="13">
                  <c:v>45.662222152663873</c:v>
                </c:pt>
                <c:pt idx="14">
                  <c:v>45.462223201395275</c:v>
                </c:pt>
                <c:pt idx="15">
                  <c:v>45.26222429955159</c:v>
                </c:pt>
                <c:pt idx="16">
                  <c:v>45.062225449462076</c:v>
                </c:pt>
                <c:pt idx="17">
                  <c:v>44.862226653565891</c:v>
                </c:pt>
                <c:pt idx="18">
                  <c:v>44.662227914417016</c:v>
                </c:pt>
                <c:pt idx="19">
                  <c:v>44.462229234689836</c:v>
                </c:pt>
                <c:pt idx="20">
                  <c:v>44.262230617184784</c:v>
                </c:pt>
                <c:pt idx="21">
                  <c:v>44.062232064834184</c:v>
                </c:pt>
                <c:pt idx="22">
                  <c:v>43.862233580708711</c:v>
                </c:pt>
                <c:pt idx="23">
                  <c:v>43.662235168023649</c:v>
                </c:pt>
                <c:pt idx="24">
                  <c:v>43.462236830145784</c:v>
                </c:pt>
                <c:pt idx="25">
                  <c:v>43.262238570600644</c:v>
                </c:pt>
                <c:pt idx="26">
                  <c:v>43.062240393079932</c:v>
                </c:pt>
                <c:pt idx="27">
                  <c:v>42.862242301449086</c:v>
                </c:pt>
                <c:pt idx="28">
                  <c:v>42.66224429975609</c:v>
                </c:pt>
                <c:pt idx="29">
                  <c:v>42.462246392239386</c:v>
                </c:pt>
                <c:pt idx="30">
                  <c:v>42.26224858333731</c:v>
                </c:pt>
                <c:pt idx="31">
                  <c:v>42.062250877697302</c:v>
                </c:pt>
                <c:pt idx="32">
                  <c:v>41.862253280185854</c:v>
                </c:pt>
                <c:pt idx="33">
                  <c:v>41.66225579589878</c:v>
                </c:pt>
                <c:pt idx="34">
                  <c:v>41.462258430172028</c:v>
                </c:pt>
                <c:pt idx="35">
                  <c:v>41.262261188593044</c:v>
                </c:pt>
                <c:pt idx="36">
                  <c:v>41.062264077012607</c:v>
                </c:pt>
                <c:pt idx="37">
                  <c:v>40.862267101557052</c:v>
                </c:pt>
                <c:pt idx="38">
                  <c:v>40.662270268641699</c:v>
                </c:pt>
                <c:pt idx="39">
                  <c:v>40.462273584983912</c:v>
                </c:pt>
                <c:pt idx="40">
                  <c:v>40.262277057617844</c:v>
                </c:pt>
                <c:pt idx="41">
                  <c:v>40.062280693909038</c:v>
                </c:pt>
                <c:pt idx="42">
                  <c:v>39.862284501570002</c:v>
                </c:pt>
                <c:pt idx="43">
                  <c:v>39.662288488676978</c:v>
                </c:pt>
                <c:pt idx="44">
                  <c:v>39.462292663686547</c:v>
                </c:pt>
                <c:pt idx="45">
                  <c:v>39.262297035453983</c:v>
                </c:pt>
                <c:pt idx="46">
                  <c:v>39.062301613251762</c:v>
                </c:pt>
                <c:pt idx="47">
                  <c:v>38.862306406789308</c:v>
                </c:pt>
                <c:pt idx="48">
                  <c:v>38.662311426233664</c:v>
                </c:pt>
                <c:pt idx="49">
                  <c:v>38.462316682230913</c:v>
                </c:pt>
                <c:pt idx="50">
                  <c:v>38.262322185928859</c:v>
                </c:pt>
                <c:pt idx="51">
                  <c:v>38.062327949000618</c:v>
                </c:pt>
                <c:pt idx="52">
                  <c:v>37.862333983669416</c:v>
                </c:pt>
                <c:pt idx="53">
                  <c:v>37.662340302734371</c:v>
                </c:pt>
                <c:pt idx="54">
                  <c:v>37.462346919597842</c:v>
                </c:pt>
                <c:pt idx="55">
                  <c:v>37.262353848293657</c:v>
                </c:pt>
                <c:pt idx="56">
                  <c:v>37.062361103516992</c:v>
                </c:pt>
                <c:pt idx="57">
                  <c:v>36.862368700655466</c:v>
                </c:pt>
                <c:pt idx="58">
                  <c:v>36.662376655821795</c:v>
                </c:pt>
                <c:pt idx="59">
                  <c:v>36.462384985888022</c:v>
                </c:pt>
                <c:pt idx="60">
                  <c:v>36.262393708520982</c:v>
                </c:pt>
                <c:pt idx="61">
                  <c:v>36.062402842220159</c:v>
                </c:pt>
                <c:pt idx="62">
                  <c:v>35.862412406356803</c:v>
                </c:pt>
                <c:pt idx="63">
                  <c:v>35.662422421214714</c:v>
                </c:pt>
                <c:pt idx="64">
                  <c:v>35.462432908033506</c:v>
                </c:pt>
                <c:pt idx="65">
                  <c:v>35.262443889053777</c:v>
                </c:pt>
                <c:pt idx="66">
                  <c:v>35.062455387563844</c:v>
                </c:pt>
                <c:pt idx="67">
                  <c:v>34.862467427949269</c:v>
                </c:pt>
                <c:pt idx="68">
                  <c:v>34.662480035744828</c:v>
                </c:pt>
                <c:pt idx="69">
                  <c:v>34.462493237688314</c:v>
                </c:pt>
                <c:pt idx="70">
                  <c:v>34.262507061777164</c:v>
                </c:pt>
                <c:pt idx="71">
                  <c:v>34.062521537328024</c:v>
                </c:pt>
                <c:pt idx="72">
                  <c:v>33.862536695038948</c:v>
                </c:pt>
                <c:pt idx="73">
                  <c:v>33.662552567053964</c:v>
                </c:pt>
                <c:pt idx="74">
                  <c:v>33.46256918703191</c:v>
                </c:pt>
                <c:pt idx="75">
                  <c:v>33.26258659021704</c:v>
                </c:pt>
                <c:pt idx="76">
                  <c:v>33.06260481351427</c:v>
                </c:pt>
                <c:pt idx="77">
                  <c:v>32.862623895567111</c:v>
                </c:pt>
                <c:pt idx="78">
                  <c:v>32.662643876839475</c:v>
                </c:pt>
                <c:pt idx="79">
                  <c:v>32.462664799701628</c:v>
                </c:pt>
                <c:pt idx="80">
                  <c:v>32.262686708519873</c:v>
                </c:pt>
                <c:pt idx="81">
                  <c:v>32.062709649750445</c:v>
                </c:pt>
                <c:pt idx="82">
                  <c:v>31.862733672037955</c:v>
                </c:pt>
                <c:pt idx="83">
                  <c:v>31.662758826318566</c:v>
                </c:pt>
                <c:pt idx="84">
                  <c:v>31.462785165927706</c:v>
                </c:pt>
                <c:pt idx="85">
                  <c:v>31.262812746713156</c:v>
                </c:pt>
                <c:pt idx="86">
                  <c:v>31.062841627153187</c:v>
                </c:pt>
                <c:pt idx="87">
                  <c:v>30.862871868480504</c:v>
                </c:pt>
                <c:pt idx="88">
                  <c:v>30.662903534811981</c:v>
                </c:pt>
                <c:pt idx="89">
                  <c:v>30.462936693284163</c:v>
                </c:pt>
                <c:pt idx="90">
                  <c:v>30.26297141419559</c:v>
                </c:pt>
                <c:pt idx="91">
                  <c:v>30.063007771155558</c:v>
                </c:pt>
                <c:pt idx="92">
                  <c:v>29.863045841240009</c:v>
                </c:pt>
                <c:pt idx="93">
                  <c:v>29.663085705154529</c:v>
                </c:pt>
                <c:pt idx="94">
                  <c:v>29.463127447405128</c:v>
                </c:pt>
                <c:pt idx="95">
                  <c:v>29.26317115647738</c:v>
                </c:pt>
                <c:pt idx="96">
                  <c:v>29.063216925023163</c:v>
                </c:pt>
                <c:pt idx="97">
                  <c:v>28.863264850056929</c:v>
                </c:pt>
                <c:pt idx="98">
                  <c:v>28.663315033161034</c:v>
                </c:pt>
                <c:pt idx="99">
                  <c:v>28.463367580700393</c:v>
                </c:pt>
                <c:pt idx="100">
                  <c:v>28.263422604047367</c:v>
                </c:pt>
                <c:pt idx="101">
                  <c:v>28.063480219817478</c:v>
                </c:pt>
                <c:pt idx="102">
                  <c:v>27.86354055011585</c:v>
                </c:pt>
                <c:pt idx="103">
                  <c:v>27.663603722795052</c:v>
                </c:pt>
                <c:pt idx="104">
                  <c:v>27.463669871725912</c:v>
                </c:pt>
                <c:pt idx="105">
                  <c:v>27.263739137079725</c:v>
                </c:pt>
                <c:pt idx="106">
                  <c:v>27.063811665624851</c:v>
                </c:pt>
                <c:pt idx="107">
                  <c:v>26.863887611036557</c:v>
                </c:pt>
                <c:pt idx="108">
                  <c:v>26.663967134221572</c:v>
                </c:pt>
                <c:pt idx="109">
                  <c:v>26.464050403657915</c:v>
                </c:pt>
                <c:pt idx="110">
                  <c:v>26.264137595750281</c:v>
                </c:pt>
                <c:pt idx="111">
                  <c:v>26.064228895202838</c:v>
                </c:pt>
                <c:pt idx="112">
                  <c:v>25.864324495408585</c:v>
                </c:pt>
                <c:pt idx="113">
                  <c:v>25.664424598857227</c:v>
                </c:pt>
                <c:pt idx="114">
                  <c:v>25.464529417562648</c:v>
                </c:pt>
                <c:pt idx="115">
                  <c:v>25.264639173509483</c:v>
                </c:pt>
                <c:pt idx="116">
                  <c:v>25.064754099121256</c:v>
                </c:pt>
                <c:pt idx="117">
                  <c:v>24.864874437750117</c:v>
                </c:pt>
                <c:pt idx="118">
                  <c:v>24.665000444189396</c:v>
                </c:pt>
                <c:pt idx="119">
                  <c:v>24.465132385210016</c:v>
                </c:pt>
                <c:pt idx="120">
                  <c:v>24.265270540122454</c:v>
                </c:pt>
                <c:pt idx="121">
                  <c:v>24.065415201364036</c:v>
                </c:pt>
                <c:pt idx="122">
                  <c:v>23.865566675114508</c:v>
                </c:pt>
                <c:pt idx="123">
                  <c:v>23.665725281939515</c:v>
                </c:pt>
                <c:pt idx="124">
                  <c:v>23.465891357464535</c:v>
                </c:pt>
                <c:pt idx="125">
                  <c:v>23.266065253080214</c:v>
                </c:pt>
                <c:pt idx="126">
                  <c:v>23.066247336679599</c:v>
                </c:pt>
                <c:pt idx="127">
                  <c:v>22.866437993431113</c:v>
                </c:pt>
                <c:pt idx="128">
                  <c:v>22.666637626586336</c:v>
                </c:pt>
                <c:pt idx="129">
                  <c:v>22.466846658325345</c:v>
                </c:pt>
                <c:pt idx="130">
                  <c:v>22.267065530641776</c:v>
                </c:pt>
                <c:pt idx="131">
                  <c:v>22.06729470626826</c:v>
                </c:pt>
                <c:pt idx="132">
                  <c:v>21.867534669645686</c:v>
                </c:pt>
                <c:pt idx="133">
                  <c:v>21.667785927935803</c:v>
                </c:pt>
                <c:pt idx="134">
                  <c:v>21.468049012081952</c:v>
                </c:pt>
                <c:pt idx="135">
                  <c:v>21.268324477918487</c:v>
                </c:pt>
                <c:pt idx="136">
                  <c:v>21.068612907330568</c:v>
                </c:pt>
                <c:pt idx="137">
                  <c:v>20.868914909468373</c:v>
                </c:pt>
                <c:pt idx="138">
                  <c:v>20.66923112201696</c:v>
                </c:pt>
                <c:pt idx="139">
                  <c:v>20.469562212523908</c:v>
                </c:pt>
                <c:pt idx="140">
                  <c:v>20.269908879789121</c:v>
                </c:pt>
                <c:pt idx="141">
                  <c:v>20.070271855316825</c:v>
                </c:pt>
                <c:pt idx="142">
                  <c:v>19.870651904835352</c:v>
                </c:pt>
                <c:pt idx="143">
                  <c:v>19.671049829886073</c:v>
                </c:pt>
                <c:pt idx="144">
                  <c:v>19.471466469484557</c:v>
                </c:pt>
                <c:pt idx="145">
                  <c:v>19.271902701858014</c:v>
                </c:pt>
                <c:pt idx="146">
                  <c:v>19.072359446261341</c:v>
                </c:pt>
                <c:pt idx="147">
                  <c:v>18.872837664876066</c:v>
                </c:pt>
                <c:pt idx="148">
                  <c:v>18.673338364795494</c:v>
                </c:pt>
                <c:pt idx="149">
                  <c:v>18.473862600099505</c:v>
                </c:pt>
                <c:pt idx="150">
                  <c:v>18.274411474023402</c:v>
                </c:pt>
                <c:pt idx="151">
                  <c:v>18.074986141224201</c:v>
                </c:pt>
                <c:pt idx="152">
                  <c:v>17.875587810149884</c:v>
                </c:pt>
                <c:pt idx="153">
                  <c:v>17.676217745513554</c:v>
                </c:pt>
                <c:pt idx="154">
                  <c:v>17.476877270880149</c:v>
                </c:pt>
                <c:pt idx="155">
                  <c:v>17.277567771367348</c:v>
                </c:pt>
                <c:pt idx="156">
                  <c:v>17.078290696467967</c:v>
                </c:pt>
                <c:pt idx="157">
                  <c:v>16.879047562997229</c:v>
                </c:pt>
                <c:pt idx="158">
                  <c:v>16.67983995817065</c:v>
                </c:pt>
                <c:pt idx="159">
                  <c:v>16.480669542818646</c:v>
                </c:pt>
                <c:pt idx="160">
                  <c:v>16.28153805474178</c:v>
                </c:pt>
                <c:pt idx="161">
                  <c:v>16.082447312214253</c:v>
                </c:pt>
                <c:pt idx="162">
                  <c:v>15.883399217640115</c:v>
                </c:pt>
                <c:pt idx="163">
                  <c:v>15.684395761369172</c:v>
                </c:pt>
                <c:pt idx="164">
                  <c:v>15.485439025678039</c:v>
                </c:pt>
                <c:pt idx="165">
                  <c:v>15.286531188924336</c:v>
                </c:pt>
                <c:pt idx="166">
                  <c:v>15.087674529878559</c:v>
                </c:pt>
                <c:pt idx="167">
                  <c:v>14.888871432242489</c:v>
                </c:pt>
                <c:pt idx="168">
                  <c:v>14.69012438935991</c:v>
                </c:pt>
                <c:pt idx="169">
                  <c:v>14.491436009126975</c:v>
                </c:pt>
                <c:pt idx="170">
                  <c:v>14.292809019110212</c:v>
                </c:pt>
                <c:pt idx="171">
                  <c:v>14.094246271878985</c:v>
                </c:pt>
                <c:pt idx="172">
                  <c:v>13.895750750560563</c:v>
                </c:pt>
                <c:pt idx="173">
                  <c:v>13.697325574624557</c:v>
                </c:pt>
                <c:pt idx="174">
                  <c:v>13.49897400590682</c:v>
                </c:pt>
                <c:pt idx="175">
                  <c:v>13.300699454878078</c:v>
                </c:pt>
                <c:pt idx="176">
                  <c:v>13.102505487167477</c:v>
                </c:pt>
                <c:pt idx="177">
                  <c:v>12.904395830348482</c:v>
                </c:pt>
                <c:pt idx="178">
                  <c:v>12.706374380994788</c:v>
                </c:pt>
                <c:pt idx="179">
                  <c:v>12.508445212015992</c:v>
                </c:pt>
                <c:pt idx="180">
                  <c:v>12.310612580279599</c:v>
                </c:pt>
                <c:pt idx="181">
                  <c:v>12.112880934528285</c:v>
                </c:pt>
                <c:pt idx="182">
                  <c:v>11.915254923600793</c:v>
                </c:pt>
                <c:pt idx="183">
                  <c:v>11.717739404963881</c:v>
                </c:pt>
                <c:pt idx="184">
                  <c:v>11.520339453563233</c:v>
                </c:pt>
                <c:pt idx="185">
                  <c:v>11.323060371001091</c:v>
                </c:pt>
                <c:pt idx="186">
                  <c:v>11.125907695047431</c:v>
                </c:pt>
                <c:pt idx="187">
                  <c:v>10.928887209492025</c:v>
                </c:pt>
                <c:pt idx="188">
                  <c:v>10.732004954343692</c:v>
                </c:pt>
                <c:pt idx="189">
                  <c:v>10.535267236381962</c:v>
                </c:pt>
                <c:pt idx="190">
                  <c:v>10.338680640068025</c:v>
                </c:pt>
                <c:pt idx="191">
                  <c:v>10.142252038817805</c:v>
                </c:pt>
                <c:pt idx="192">
                  <c:v>9.945988606642409</c:v>
                </c:pt>
                <c:pt idx="193">
                  <c:v>9.7498978301577495</c:v>
                </c:pt>
                <c:pt idx="194">
                  <c:v>9.5539875209660359</c:v>
                </c:pt>
                <c:pt idx="195">
                  <c:v>9.3582658284094951</c:v>
                </c:pt>
                <c:pt idx="196">
                  <c:v>9.1627412526950884</c:v>
                </c:pt>
                <c:pt idx="197">
                  <c:v>8.9674226583889478</c:v>
                </c:pt>
                <c:pt idx="198">
                  <c:v>8.772319288276579</c:v>
                </c:pt>
                <c:pt idx="199">
                  <c:v>8.577440777582316</c:v>
                </c:pt>
                <c:pt idx="200">
                  <c:v>8.3827971685413019</c:v>
                </c:pt>
                <c:pt idx="201">
                  <c:v>8.1883989253139298</c:v>
                </c:pt>
                <c:pt idx="202">
                  <c:v>7.9942569492297411</c:v>
                </c:pt>
                <c:pt idx="203">
                  <c:v>7.8003825943459244</c:v>
                </c:pt>
                <c:pt idx="204">
                  <c:v>7.6067876833034038</c:v>
                </c:pt>
                <c:pt idx="205">
                  <c:v>7.4134845234570594</c:v>
                </c:pt>
                <c:pt idx="206">
                  <c:v>7.2204859232576677</c:v>
                </c:pt>
                <c:pt idx="207">
                  <c:v>7.0278052088552387</c:v>
                </c:pt>
                <c:pt idx="208">
                  <c:v>6.8354562408922162</c:v>
                </c:pt>
                <c:pt idx="209">
                  <c:v>6.643453431448842</c:v>
                </c:pt>
                <c:pt idx="210">
                  <c:v>6.4518117610994494</c:v>
                </c:pt>
                <c:pt idx="211">
                  <c:v>6.2605467960323828</c:v>
                </c:pt>
                <c:pt idx="212">
                  <c:v>6.0696747051821065</c:v>
                </c:pt>
                <c:pt idx="213">
                  <c:v>5.8792122773143261</c:v>
                </c:pt>
                <c:pt idx="214">
                  <c:v>5.6891769380022019</c:v>
                </c:pt>
                <c:pt idx="215">
                  <c:v>5.4995867664208049</c:v>
                </c:pt>
                <c:pt idx="216">
                  <c:v>5.31046051188485</c:v>
                </c:pt>
                <c:pt idx="217">
                  <c:v>5.1218176100443094</c:v>
                </c:pt>
                <c:pt idx="218">
                  <c:v>4.933678198646982</c:v>
                </c:pt>
                <c:pt idx="219">
                  <c:v>4.7460631327684819</c:v>
                </c:pt>
                <c:pt idx="220">
                  <c:v>4.5589939994030644</c:v>
                </c:pt>
                <c:pt idx="221">
                  <c:v>4.3724931312993025</c:v>
                </c:pt>
                <c:pt idx="222">
                  <c:v>4.1865836199188369</c:v>
                </c:pt>
                <c:pt idx="223">
                  <c:v>4.0012893273841339</c:v>
                </c:pt>
                <c:pt idx="224">
                  <c:v>3.8166348972770701</c:v>
                </c:pt>
                <c:pt idx="225">
                  <c:v>3.6326457641383518</c:v>
                </c:pt>
                <c:pt idx="226">
                  <c:v>3.4493481615111095</c:v>
                </c:pt>
                <c:pt idx="227">
                  <c:v>3.2667691283642069</c:v>
                </c:pt>
                <c:pt idx="228">
                  <c:v>3.0849365137214537</c:v>
                </c:pt>
                <c:pt idx="229">
                  <c:v>2.9038789793164623</c:v>
                </c:pt>
                <c:pt idx="230">
                  <c:v>2.7236260000870818</c:v>
                </c:pt>
                <c:pt idx="231">
                  <c:v>2.544207862315135</c:v>
                </c:pt>
                <c:pt idx="232">
                  <c:v>2.3656556592143509</c:v>
                </c:pt>
                <c:pt idx="233">
                  <c:v>2.1880012837619645</c:v>
                </c:pt>
                <c:pt idx="234">
                  <c:v>2.0112774185715345</c:v>
                </c:pt>
                <c:pt idx="235">
                  <c:v>1.8355175225979021</c:v>
                </c:pt>
                <c:pt idx="236">
                  <c:v>1.6607558144683137</c:v>
                </c:pt>
                <c:pt idx="237">
                  <c:v>1.4870272522355723</c:v>
                </c:pt>
                <c:pt idx="238">
                  <c:v>1.314367509352268</c:v>
                </c:pt>
                <c:pt idx="239">
                  <c:v>1.1428129466721351</c:v>
                </c:pt>
                <c:pt idx="240">
                  <c:v>0.97240058029347809</c:v>
                </c:pt>
                <c:pt idx="241">
                  <c:v>0.80316804506994566</c:v>
                </c:pt>
                <c:pt idx="242">
                  <c:v>0.63515355363099812</c:v>
                </c:pt>
                <c:pt idx="243">
                  <c:v>0.46839585076937723</c:v>
                </c:pt>
                <c:pt idx="244">
                  <c:v>0.3029341630736887</c:v>
                </c:pt>
                <c:pt idx="245">
                  <c:v>0.13880814371056202</c:v>
                </c:pt>
                <c:pt idx="246">
                  <c:v>-2.3942187714587369E-2</c:v>
                </c:pt>
                <c:pt idx="247">
                  <c:v>-0.18527651025666045</c:v>
                </c:pt>
                <c:pt idx="248">
                  <c:v>-0.34515427169438939</c:v>
                </c:pt>
                <c:pt idx="249">
                  <c:v>-0.50353476352614379</c:v>
                </c:pt>
                <c:pt idx="250">
                  <c:v>-0.6603772008232287</c:v>
                </c:pt>
                <c:pt idx="251">
                  <c:v>-0.81564080682462525</c:v>
                </c:pt>
                <c:pt idx="252">
                  <c:v>-0.96928490210776364</c:v>
                </c:pt>
                <c:pt idx="253">
                  <c:v>-1.1212689981243713</c:v>
                </c:pt>
                <c:pt idx="254">
                  <c:v>-1.271552894836355</c:v>
                </c:pt>
                <c:pt idx="255">
                  <c:v>-1.4200967821369184</c:v>
                </c:pt>
                <c:pt idx="256">
                  <c:v>-1.5668613446885751</c:v>
                </c:pt>
                <c:pt idx="257">
                  <c:v>-1.7118078697559391</c:v>
                </c:pt>
                <c:pt idx="258">
                  <c:v>-1.8548983575598679</c:v>
                </c:pt>
                <c:pt idx="259">
                  <c:v>-1.9960956336279065</c:v>
                </c:pt>
                <c:pt idx="260">
                  <c:v>-2.1353634625677573</c:v>
                </c:pt>
                <c:pt idx="261">
                  <c:v>-2.2726666626443195</c:v>
                </c:pt>
                <c:pt idx="262">
                  <c:v>-2.4079712205003614</c:v>
                </c:pt>
                <c:pt idx="263">
                  <c:v>-2.5412444053242682</c:v>
                </c:pt>
                <c:pt idx="264">
                  <c:v>-2.6724548817372771</c:v>
                </c:pt>
                <c:pt idx="265">
                  <c:v>-2.801572820648945</c:v>
                </c:pt>
                <c:pt idx="266">
                  <c:v>-2.9285700073147076</c:v>
                </c:pt>
                <c:pt idx="267">
                  <c:v>-3.0534199458185958</c:v>
                </c:pt>
                <c:pt idx="268">
                  <c:v>-3.1760979592076466</c:v>
                </c:pt>
                <c:pt idx="269">
                  <c:v>-3.2965812845122562</c:v>
                </c:pt>
                <c:pt idx="270">
                  <c:v>-3.4148491619070036</c:v>
                </c:pt>
                <c:pt idx="271">
                  <c:v>-3.5308829172955662</c:v>
                </c:pt>
                <c:pt idx="272">
                  <c:v>-3.6446660376406941</c:v>
                </c:pt>
                <c:pt idx="273">
                  <c:v>-3.7561842384092059</c:v>
                </c:pt>
                <c:pt idx="274">
                  <c:v>-3.8654255225577701</c:v>
                </c:pt>
                <c:pt idx="275">
                  <c:v>-3.9723802305504368</c:v>
                </c:pt>
                <c:pt idx="276">
                  <c:v>-4.0770410809710631</c:v>
                </c:pt>
                <c:pt idx="277">
                  <c:v>-4.1794032013723781</c:v>
                </c:pt>
                <c:pt idx="278">
                  <c:v>-4.2794641490886089</c:v>
                </c:pt>
                <c:pt idx="279">
                  <c:v>-4.3772239218254514</c:v>
                </c:pt>
                <c:pt idx="280">
                  <c:v>-4.4726849579337697</c:v>
                </c:pt>
                <c:pt idx="281">
                  <c:v>-4.5658521263654475</c:v>
                </c:pt>
                <c:pt idx="282">
                  <c:v>-4.6567327064023587</c:v>
                </c:pt>
                <c:pt idx="283">
                  <c:v>-4.7453363573413059</c:v>
                </c:pt>
                <c:pt idx="284">
                  <c:v>-4.8316750784057509</c:v>
                </c:pt>
                <c:pt idx="285">
                  <c:v>-4.9157631592399307</c:v>
                </c:pt>
                <c:pt idx="286">
                  <c:v>-4.9976171214196654</c:v>
                </c:pt>
                <c:pt idx="287">
                  <c:v>-5.0772556514870635</c:v>
                </c:pt>
                <c:pt idx="288">
                  <c:v>-5.1546995260811057</c:v>
                </c:pt>
                <c:pt idx="289">
                  <c:v>-5.229971529793529</c:v>
                </c:pt>
                <c:pt idx="290">
                  <c:v>-5.3030963664269741</c:v>
                </c:pt>
                <c:pt idx="291">
                  <c:v>-5.3741005643711715</c:v>
                </c:pt>
                <c:pt idx="292">
                  <c:v>-5.4430123768430816</c:v>
                </c:pt>
                <c:pt idx="293">
                  <c:v>-5.5098616777549072</c:v>
                </c:pt>
                <c:pt idx="294">
                  <c:v>-5.5746798539856988</c:v>
                </c:pt>
                <c:pt idx="295">
                  <c:v>-5.6374996948323073</c:v>
                </c:pt>
                <c:pt idx="296">
                  <c:v>-5.6983552794078864</c:v>
                </c:pt>
                <c:pt idx="297">
                  <c:v>-5.7572818627399212</c:v>
                </c:pt>
                <c:pt idx="298">
                  <c:v>-5.8143157612969478</c:v>
                </c:pt>
                <c:pt idx="299">
                  <c:v>-5.8694942386418951</c:v>
                </c:pt>
                <c:pt idx="300">
                  <c:v>-5.9228553918746432</c:v>
                </c:pt>
                <c:pt idx="301">
                  <c:v>-5.9744380394845891</c:v>
                </c:pt>
                <c:pt idx="302">
                  <c:v>-6.024281611189223</c:v>
                </c:pt>
                <c:pt idx="303">
                  <c:v>-6.0724260402858299</c:v>
                </c:pt>
                <c:pt idx="304">
                  <c:v>-6.1189116589925039</c:v>
                </c:pt>
                <c:pt idx="305">
                  <c:v>-6.1637790972028919</c:v>
                </c:pt>
                <c:pt idx="306">
                  <c:v>-6.2070691850252304</c:v>
                </c:pt>
                <c:pt idx="307">
                  <c:v>-6.248822859424318</c:v>
                </c:pt>
                <c:pt idx="308">
                  <c:v>-6.2890810752319979</c:v>
                </c:pt>
                <c:pt idx="309">
                  <c:v>-6.3278847207414914</c:v>
                </c:pt>
                <c:pt idx="310">
                  <c:v>-6.3652745380522422</c:v>
                </c:pt>
                <c:pt idx="311">
                  <c:v>-6.4012910482843495</c:v>
                </c:pt>
                <c:pt idx="312">
                  <c:v>-6.4359744817394224</c:v>
                </c:pt>
                <c:pt idx="313">
                  <c:v>-6.4693647130423049</c:v>
                </c:pt>
                <c:pt idx="314">
                  <c:v>-6.5015012012613589</c:v>
                </c:pt>
                <c:pt idx="315">
                  <c:v>-6.5324229349705867</c:v>
                </c:pt>
                <c:pt idx="316">
                  <c:v>-6.5621683821854573</c:v>
                </c:pt>
                <c:pt idx="317">
                  <c:v>-6.5907754450776821</c:v>
                </c:pt>
                <c:pt idx="318">
                  <c:v>-6.6182814193492092</c:v>
                </c:pt>
                <c:pt idx="319">
                  <c:v>-6.6447229581256009</c:v>
                </c:pt>
                <c:pt idx="320">
                  <c:v>-6.6701360402113217</c:v>
                </c:pt>
                <c:pt idx="321">
                  <c:v>-6.6945559425344054</c:v>
                </c:pt>
                <c:pt idx="322">
                  <c:v>-6.7180172165974206</c:v>
                </c:pt>
                <c:pt idx="323">
                  <c:v>-6.7405536687415619</c:v>
                </c:pt>
                <c:pt idx="324">
                  <c:v>-6.7621983440254994</c:v>
                </c:pt>
                <c:pt idx="325">
                  <c:v>-6.7829835135152532</c:v>
                </c:pt>
                <c:pt idx="326">
                  <c:v>-6.8029406647804178</c:v>
                </c:pt>
                <c:pt idx="327">
                  <c:v>-6.822100495391334</c:v>
                </c:pt>
                <c:pt idx="328">
                  <c:v>-6.8404929092131086</c:v>
                </c:pt>
                <c:pt idx="329">
                  <c:v>-6.8581470152958071</c:v>
                </c:pt>
                <c:pt idx="330">
                  <c:v>-6.8750911291639563</c:v>
                </c:pt>
                <c:pt idx="331">
                  <c:v>-6.8913527763137274</c:v>
                </c:pt>
                <c:pt idx="332">
                  <c:v>-6.9069586977323949</c:v>
                </c:pt>
                <c:pt idx="333">
                  <c:v>-6.9219348572615047</c:v>
                </c:pt>
                <c:pt idx="334">
                  <c:v>-6.9363064506326335</c:v>
                </c:pt>
                <c:pt idx="335">
                  <c:v>-6.9500979160122176</c:v>
                </c:pt>
                <c:pt idx="336">
                  <c:v>-6.963332945900655</c:v>
                </c:pt>
                <c:pt idx="337">
                  <c:v>-6.9760345002387165</c:v>
                </c:pt>
                <c:pt idx="338">
                  <c:v>-6.988224820583234</c:v>
                </c:pt>
                <c:pt idx="339">
                  <c:v>-6.9999254452223871</c:v>
                </c:pt>
                <c:pt idx="340">
                  <c:v>-7.0111572251093532</c:v>
                </c:pt>
                <c:pt idx="341">
                  <c:v>-7.0219403405018186</c:v>
                </c:pt>
                <c:pt idx="342">
                  <c:v>-7.0322943182024789</c:v>
                </c:pt>
                <c:pt idx="343">
                  <c:v>-7.042238049304272</c:v>
                </c:pt>
                <c:pt idx="344">
                  <c:v>-7.0517898073516054</c:v>
                </c:pt>
                <c:pt idx="345">
                  <c:v>-7.0609672668360481</c:v>
                </c:pt>
                <c:pt idx="346">
                  <c:v>-7.069787521952823</c:v>
                </c:pt>
                <c:pt idx="347">
                  <c:v>-7.0782671055505695</c:v>
                </c:pt>
                <c:pt idx="348">
                  <c:v>-7.0864220082138916</c:v>
                </c:pt>
                <c:pt idx="349">
                  <c:v>-7.0942676974243577</c:v>
                </c:pt>
                <c:pt idx="350">
                  <c:v>-7.1018191367512662</c:v>
                </c:pt>
                <c:pt idx="351">
                  <c:v>-7.1090908050291235</c:v>
                </c:pt>
                <c:pt idx="352">
                  <c:v>-7.1160967154844403</c:v>
                </c:pt>
                <c:pt idx="353">
                  <c:v>-7.1228504347783863</c:v>
                </c:pt>
                <c:pt idx="354">
                  <c:v>-7.1293651019374851</c:v>
                </c:pt>
                <c:pt idx="355">
                  <c:v>-7.1356534471479023</c:v>
                </c:pt>
                <c:pt idx="356">
                  <c:v>-7.1417278103935171</c:v>
                </c:pt>
                <c:pt idx="357">
                  <c:v>-7.1476001599210459</c:v>
                </c:pt>
                <c:pt idx="358">
                  <c:v>-7.1532821105194389</c:v>
                </c:pt>
                <c:pt idx="359">
                  <c:v>-7.1587849416034928</c:v>
                </c:pt>
                <c:pt idx="360">
                  <c:v>-7.1641196150946742</c:v>
                </c:pt>
                <c:pt idx="361">
                  <c:v>-7.1692967930949845</c:v>
                </c:pt>
                <c:pt idx="362">
                  <c:v>-7.1743268553515902</c:v>
                </c:pt>
                <c:pt idx="363">
                  <c:v>-7.1792199165129524</c:v>
                </c:pt>
                <c:pt idx="364">
                  <c:v>-7.1839858431784185</c:v>
                </c:pt>
                <c:pt idx="365">
                  <c:v>-7.1886342707458653</c:v>
                </c:pt>
                <c:pt idx="366">
                  <c:v>-7.19317462006273</c:v>
                </c:pt>
                <c:pt idx="367">
                  <c:v>-7.1976161138883334</c:v>
                </c:pt>
                <c:pt idx="368">
                  <c:v>-7.201967793175994</c:v>
                </c:pt>
                <c:pt idx="369">
                  <c:v>-7.2062385331848802</c:v>
                </c:pt>
                <c:pt idx="370">
                  <c:v>-7.2104370594326443</c:v>
                </c:pt>
                <c:pt idx="371">
                  <c:v>-7.2145719635011254</c:v>
                </c:pt>
                <c:pt idx="372">
                  <c:v>-7.2186517187076706</c:v>
                </c:pt>
                <c:pt idx="373">
                  <c:v>-7.2226846956559898</c:v>
                </c:pt>
                <c:pt idx="374">
                  <c:v>-7.2266791776805439</c:v>
                </c:pt>
                <c:pt idx="375">
                  <c:v>-7.2306433761997315</c:v>
                </c:pt>
                <c:pt idx="376">
                  <c:v>-7.2345854459926962</c:v>
                </c:pt>
                <c:pt idx="377">
                  <c:v>-7.2385135004158077</c:v>
                </c:pt>
                <c:pt idx="378">
                  <c:v>-7.2424356265745171</c:v>
                </c:pt>
                <c:pt idx="379">
                  <c:v>-7.246359900466989</c:v>
                </c:pt>
                <c:pt idx="380">
                  <c:v>-7.2502944021156788</c:v>
                </c:pt>
                <c:pt idx="381">
                  <c:v>-7.2542472307032435</c:v>
                </c:pt>
                <c:pt idx="382">
                  <c:v>-7.2582265197291864</c:v>
                </c:pt>
                <c:pt idx="383">
                  <c:v>-7.2622404522034332</c:v>
                </c:pt>
                <c:pt idx="384">
                  <c:v>-7.2662972758929509</c:v>
                </c:pt>
                <c:pt idx="385">
                  <c:v>-7.2704053186372537</c:v>
                </c:pt>
                <c:pt idx="386">
                  <c:v>-7.2745730037482232</c:v>
                </c:pt>
                <c:pt idx="387">
                  <c:v>-7.278808865509264</c:v>
                </c:pt>
                <c:pt idx="388">
                  <c:v>-7.2831215647885905</c:v>
                </c:pt>
                <c:pt idx="389">
                  <c:v>-7.2875199047803543</c:v>
                </c:pt>
                <c:pt idx="390">
                  <c:v>-7.2920128468868581</c:v>
                </c:pt>
                <c:pt idx="391">
                  <c:v>-7.2966095267545796</c:v>
                </c:pt>
                <c:pt idx="392">
                  <c:v>-7.3013192704751955</c:v>
                </c:pt>
                <c:pt idx="393">
                  <c:v>-7.3061516109624129</c:v>
                </c:pt>
                <c:pt idx="394">
                  <c:v>-7.3111163045136562</c:v>
                </c:pt>
                <c:pt idx="395">
                  <c:v>-7.3162233475649145</c:v>
                </c:pt>
                <c:pt idx="396">
                  <c:v>-7.3214829936450805</c:v>
                </c:pt>
                <c:pt idx="397">
                  <c:v>-7.3269057705350606</c:v>
                </c:pt>
                <c:pt idx="398">
                  <c:v>-7.3325024976346986</c:v>
                </c:pt>
                <c:pt idx="399">
                  <c:v>-7.3382843035386891</c:v>
                </c:pt>
                <c:pt idx="400">
                  <c:v>-7.3442626438210183</c:v>
                </c:pt>
                <c:pt idx="401">
                  <c:v>-7.3504493190242588</c:v>
                </c:pt>
                <c:pt idx="402">
                  <c:v>-7.3568564928485172</c:v>
                </c:pt>
                <c:pt idx="403">
                  <c:v>-7.3634967105309332</c:v>
                </c:pt>
                <c:pt idx="404">
                  <c:v>-7.37038291740466</c:v>
                </c:pt>
                <c:pt idx="405">
                  <c:v>-7.3775284776223957</c:v>
                </c:pt>
                <c:pt idx="406">
                  <c:v>-7.3849471930258472</c:v>
                </c:pt>
                <c:pt idx="407">
                  <c:v>-7.392653322139326</c:v>
                </c:pt>
                <c:pt idx="408">
                  <c:v>-7.400661599260939</c:v>
                </c:pt>
                <c:pt idx="409">
                  <c:v>-7.4089872536207135</c:v>
                </c:pt>
                <c:pt idx="410">
                  <c:v>-7.4176460285703136</c:v>
                </c:pt>
                <c:pt idx="411">
                  <c:v>-7.4266542007634415</c:v>
                </c:pt>
                <c:pt idx="412">
                  <c:v>-7.4360285992817303</c:v>
                </c:pt>
                <c:pt idx="413">
                  <c:v>-7.4457866246536595</c:v>
                </c:pt>
                <c:pt idx="414">
                  <c:v>-7.4559462677095665</c:v>
                </c:pt>
                <c:pt idx="415">
                  <c:v>-7.4665261282081774</c:v>
                </c:pt>
                <c:pt idx="416">
                  <c:v>-7.4775454331639954</c:v>
                </c:pt>
                <c:pt idx="417">
                  <c:v>-7.4890240547979552</c:v>
                </c:pt>
                <c:pt idx="418">
                  <c:v>-7.5009825280255562</c:v>
                </c:pt>
                <c:pt idx="419">
                  <c:v>-7.5134420673903266</c:v>
                </c:pt>
                <c:pt idx="420">
                  <c:v>-7.5264245833413126</c:v>
                </c:pt>
                <c:pt idx="421">
                  <c:v>-7.5399526977459868</c:v>
                </c:pt>
                <c:pt idx="422">
                  <c:v>-7.5540497585213506</c:v>
                </c:pt>
                <c:pt idx="423">
                  <c:v>-7.5687398532575845</c:v>
                </c:pt>
                <c:pt idx="424">
                  <c:v>-7.5840478216998211</c:v>
                </c:pt>
                <c:pt idx="425">
                  <c:v>-7.5999992669458241</c:v>
                </c:pt>
                <c:pt idx="426">
                  <c:v>-7.6166205652078993</c:v>
                </c:pt>
                <c:pt idx="427">
                  <c:v>-7.6339388739797078</c:v>
                </c:pt>
                <c:pt idx="428">
                  <c:v>-7.6519821384404443</c:v>
                </c:pt>
                <c:pt idx="429">
                  <c:v>-7.6707790959215005</c:v>
                </c:pt>
                <c:pt idx="430">
                  <c:v>-7.6903592782525196</c:v>
                </c:pt>
                <c:pt idx="431">
                  <c:v>-7.7107530117989187</c:v>
                </c:pt>
                <c:pt idx="432">
                  <c:v>-7.731991414995905</c:v>
                </c:pt>
                <c:pt idx="433">
                  <c:v>-7.7541063931799403</c:v>
                </c:pt>
                <c:pt idx="434">
                  <c:v>-7.7771306305151331</c:v>
                </c:pt>
                <c:pt idx="435">
                  <c:v>-7.8010975788093884</c:v>
                </c:pt>
                <c:pt idx="436">
                  <c:v>-7.826041443015427</c:v>
                </c:pt>
                <c:pt idx="437">
                  <c:v>-7.8519971632117214</c:v>
                </c:pt>
                <c:pt idx="438">
                  <c:v>-7.8790003928628352</c:v>
                </c:pt>
                <c:pt idx="439">
                  <c:v>-7.9070874731625373</c:v>
                </c:pt>
                <c:pt idx="440">
                  <c:v>-7.9362954032724078</c:v>
                </c:pt>
                <c:pt idx="441">
                  <c:v>-7.9666618062773109</c:v>
                </c:pt>
                <c:pt idx="442">
                  <c:v>-7.9982248906932796</c:v>
                </c:pt>
                <c:pt idx="443">
                  <c:v>-8.0310234073793563</c:v>
                </c:pt>
                <c:pt idx="444">
                  <c:v>-8.0650966017236474</c:v>
                </c:pt>
                <c:pt idx="445">
                  <c:v>-8.1004841609968476</c:v>
                </c:pt>
                <c:pt idx="446">
                  <c:v>-8.1372261567921385</c:v>
                </c:pt>
                <c:pt idx="447">
                  <c:v>-8.1753629824996903</c:v>
                </c:pt>
                <c:pt idx="448">
                  <c:v>-8.2149352857968641</c:v>
                </c:pt>
                <c:pt idx="449">
                  <c:v>-8.2559838961709922</c:v>
                </c:pt>
                <c:pt idx="450">
                  <c:v>-8.2985497475312684</c:v>
                </c:pt>
                <c:pt idx="451">
                  <c:v>-8.3426737960089206</c:v>
                </c:pt>
                <c:pt idx="452">
                  <c:v>-8.3883969330893198</c:v>
                </c:pt>
                <c:pt idx="453">
                  <c:v>-8.4357598942687755</c:v>
                </c:pt>
                <c:pt idx="454">
                  <c:v>-8.4848031634775758</c:v>
                </c:pt>
                <c:pt idx="455">
                  <c:v>-8.5355668735631642</c:v>
                </c:pt>
                <c:pt idx="456">
                  <c:v>-8.5880907031791587</c:v>
                </c:pt>
                <c:pt idx="457">
                  <c:v>-8.6424137704804469</c:v>
                </c:pt>
                <c:pt idx="458">
                  <c:v>-8.6985745240751911</c:v>
                </c:pt>
                <c:pt idx="459">
                  <c:v>-8.7566106317383703</c:v>
                </c:pt>
                <c:pt idx="460">
                  <c:v>-8.8165588674395394</c:v>
                </c:pt>
                <c:pt idx="461">
                  <c:v>-8.8784549972857061</c:v>
                </c:pt>
                <c:pt idx="462">
                  <c:v>-8.9423336650221916</c:v>
                </c:pt>
                <c:pt idx="463">
                  <c:v>-9.008228277774446</c:v>
                </c:pt>
                <c:pt idx="464">
                  <c:v>-9.076170892745445</c:v>
                </c:pt>
                <c:pt idx="465">
                  <c:v>-9.1461921056110089</c:v>
                </c:pt>
                <c:pt idx="466">
                  <c:v>-9.2183209413749445</c:v>
                </c:pt>
                <c:pt idx="467">
                  <c:v>-9.2925847484569797</c:v>
                </c:pt>
                <c:pt idx="468">
                  <c:v>-9.3690090967903235</c:v>
                </c:pt>
                <c:pt idx="469">
                  <c:v>-9.4476176806997163</c:v>
                </c:pt>
                <c:pt idx="470">
                  <c:v>-9.5284322273153865</c:v>
                </c:pt>
                <c:pt idx="471">
                  <c:v>-9.6114724112538159</c:v>
                </c:pt>
                <c:pt idx="472">
                  <c:v>-9.6967557762618224</c:v>
                </c:pt>
                <c:pt idx="473">
                  <c:v>-9.7842976644768616</c:v>
                </c:pt>
                <c:pt idx="474">
                  <c:v>-9.8741111539031508</c:v>
                </c:pt>
                <c:pt idx="475">
                  <c:v>-9.9662070046422695</c:v>
                </c:pt>
                <c:pt idx="476">
                  <c:v>-10.0605936143479</c:v>
                </c:pt>
                <c:pt idx="477">
                  <c:v>-10.157276983297042</c:v>
                </c:pt>
                <c:pt idx="478">
                  <c:v>-10.256260689389702</c:v>
                </c:pt>
                <c:pt idx="479">
                  <c:v>-10.357545873301051</c:v>
                </c:pt>
                <c:pt idx="480">
                  <c:v>-10.461131233919939</c:v>
                </c:pt>
                <c:pt idx="481">
                  <c:v>-10.56701303411657</c:v>
                </c:pt>
                <c:pt idx="482">
                  <c:v>-10.675185116787908</c:v>
                </c:pt>
                <c:pt idx="483">
                  <c:v>-10.785638931037496</c:v>
                </c:pt>
                <c:pt idx="484">
                  <c:v>-10.898363568257963</c:v>
                </c:pt>
                <c:pt idx="485">
                  <c:v>-11.013345807795819</c:v>
                </c:pt>
                <c:pt idx="486">
                  <c:v>-11.130570171798862</c:v>
                </c:pt>
                <c:pt idx="487">
                  <c:v>-11.250018988769375</c:v>
                </c:pt>
                <c:pt idx="488">
                  <c:v>-11.371672465278602</c:v>
                </c:pt>
                <c:pt idx="489">
                  <c:v>-11.49550876523775</c:v>
                </c:pt>
                <c:pt idx="490">
                  <c:v>-11.621504096067897</c:v>
                </c:pt>
                <c:pt idx="491">
                  <c:v>-11.749632801069133</c:v>
                </c:pt>
                <c:pt idx="492">
                  <c:v>-11.879867457255573</c:v>
                </c:pt>
                <c:pt idx="493">
                  <c:v>-12.012178977898611</c:v>
                </c:pt>
                <c:pt idx="494">
                  <c:v>-12.146536719008223</c:v>
                </c:pt>
                <c:pt idx="495">
                  <c:v>-12.282908588974843</c:v>
                </c:pt>
                <c:pt idx="496">
                  <c:v>-12.421261160600467</c:v>
                </c:pt>
                <c:pt idx="497">
                  <c:v>-12.561559784759027</c:v>
                </c:pt>
                <c:pt idx="498">
                  <c:v>-12.703768704947077</c:v>
                </c:pt>
                <c:pt idx="499">
                  <c:v>-12.847851172012469</c:v>
                </c:pt>
                <c:pt idx="500">
                  <c:v>-12.993769558384052</c:v>
                </c:pt>
                <c:pt idx="501">
                  <c:v>-13.141485471161724</c:v>
                </c:pt>
                <c:pt idx="502">
                  <c:v>-13.290959863474027</c:v>
                </c:pt>
                <c:pt idx="503">
                  <c:v>-13.442153143552781</c:v>
                </c:pt>
                <c:pt idx="504">
                  <c:v>-13.595025281028777</c:v>
                </c:pt>
                <c:pt idx="505">
                  <c:v>-13.749535910001114</c:v>
                </c:pt>
                <c:pt idx="506">
                  <c:v>-13.905644428487591</c:v>
                </c:pt>
                <c:pt idx="507">
                  <c:v>-14.063310093915316</c:v>
                </c:pt>
                <c:pt idx="508">
                  <c:v>-14.222492114364126</c:v>
                </c:pt>
                <c:pt idx="509">
                  <c:v>-14.383149735326748</c:v>
                </c:pt>
                <c:pt idx="510">
                  <c:v>-14.5452423217987</c:v>
                </c:pt>
                <c:pt idx="511">
                  <c:v>-14.708729435559313</c:v>
                </c:pt>
                <c:pt idx="512">
                  <c:v>-14.8735709075505</c:v>
                </c:pt>
                <c:pt idx="513">
                  <c:v>-15.039726905301105</c:v>
                </c:pt>
                <c:pt idx="514">
                  <c:v>-15.207157995384911</c:v>
                </c:pt>
                <c:pt idx="515">
                  <c:v>-15.375825200934933</c:v>
                </c:pt>
                <c:pt idx="516">
                  <c:v>-15.545690054270828</c:v>
                </c:pt>
                <c:pt idx="517">
                  <c:v>-15.716714644723108</c:v>
                </c:pt>
                <c:pt idx="518">
                  <c:v>-15.888861661764981</c:v>
                </c:pt>
                <c:pt idx="519">
                  <c:v>-16.062094433584232</c:v>
                </c:pt>
                <c:pt idx="520">
                  <c:v>-16.236376961247046</c:v>
                </c:pt>
                <c:pt idx="521">
                  <c:v>-16.411673948620546</c:v>
                </c:pt>
                <c:pt idx="522">
                  <c:v>-16.587950828234174</c:v>
                </c:pt>
                <c:pt idx="523">
                  <c:v>-16.765173783270598</c:v>
                </c:pt>
                <c:pt idx="524">
                  <c:v>-16.943309765884667</c:v>
                </c:pt>
                <c:pt idx="525">
                  <c:v>-17.122326512051089</c:v>
                </c:pt>
                <c:pt idx="526">
                  <c:v>-17.302192553149276</c:v>
                </c:pt>
                <c:pt idx="527">
                  <c:v>-17.482877224490863</c:v>
                </c:pt>
                <c:pt idx="528">
                  <c:v>-17.664350670995759</c:v>
                </c:pt>
                <c:pt idx="529">
                  <c:v>-17.846583850223119</c:v>
                </c:pt>
                <c:pt idx="530">
                  <c:v>-18.029548532953534</c:v>
                </c:pt>
                <c:pt idx="531">
                  <c:v>-18.213217301522601</c:v>
                </c:pt>
                <c:pt idx="532">
                  <c:v>-18.397563546091934</c:v>
                </c:pt>
                <c:pt idx="533">
                  <c:v>-18.582561459044602</c:v>
                </c:pt>
                <c:pt idx="534">
                  <c:v>-18.768186027678585</c:v>
                </c:pt>
                <c:pt idx="535">
                  <c:v>-18.954413025368343</c:v>
                </c:pt>
                <c:pt idx="536">
                  <c:v>-19.14121900135595</c:v>
                </c:pt>
                <c:pt idx="537">
                  <c:v>-19.32858126932252</c:v>
                </c:pt>
                <c:pt idx="538">
                  <c:v>-19.516477894886449</c:v>
                </c:pt>
                <c:pt idx="539">
                  <c:v>-19.704887682161644</c:v>
                </c:pt>
                <c:pt idx="540">
                  <c:v>-19.89379015950615</c:v>
                </c:pt>
                <c:pt idx="541">
                  <c:v>-20.083165564576532</c:v>
                </c:pt>
              </c:numCache>
            </c:numRef>
          </c:yVal>
          <c:smooth val="1"/>
          <c:extLst>
            <c:ext xmlns:c16="http://schemas.microsoft.com/office/drawing/2014/chart" uri="{C3380CC4-5D6E-409C-BE32-E72D297353CC}">
              <c16:uniqueId val="{00000000-EF05-46EF-A2B1-464B65B12337}"/>
            </c:ext>
          </c:extLst>
        </c:ser>
        <c:dLbls>
          <c:showLegendKey val="0"/>
          <c:showVal val="0"/>
          <c:showCatName val="0"/>
          <c:showSerName val="0"/>
          <c:showPercent val="0"/>
          <c:showBubbleSize val="0"/>
        </c:dLbls>
        <c:axId val="73986048"/>
        <c:axId val="73987968"/>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90.095196552870519</c:v>
                </c:pt>
                <c:pt idx="1">
                  <c:v>90.097413961089131</c:v>
                </c:pt>
                <c:pt idx="2">
                  <c:v>90.099683019068962</c:v>
                </c:pt>
                <c:pt idx="3">
                  <c:v>90.102004929865259</c:v>
                </c:pt>
                <c:pt idx="4">
                  <c:v>90.104380924554391</c:v>
                </c:pt>
                <c:pt idx="5">
                  <c:v>90.106812262886521</c:v>
                </c:pt>
                <c:pt idx="6">
                  <c:v>90.109300233953263</c:v>
                </c:pt>
                <c:pt idx="7">
                  <c:v>90.111846156871181</c:v>
                </c:pt>
                <c:pt idx="8">
                  <c:v>90.114451381480791</c:v>
                </c:pt>
                <c:pt idx="9">
                  <c:v>90.117117289062278</c:v>
                </c:pt>
                <c:pt idx="10">
                  <c:v>90.119845293067513</c:v>
                </c:pt>
                <c:pt idx="11">
                  <c:v>90.122636839869344</c:v>
                </c:pt>
                <c:pt idx="12">
                  <c:v>90.125493409528175</c:v>
                </c:pt>
                <c:pt idx="13">
                  <c:v>90.128416516576493</c:v>
                </c:pt>
                <c:pt idx="14">
                  <c:v>90.131407710821591</c:v>
                </c:pt>
                <c:pt idx="15">
                  <c:v>90.134468578167031</c:v>
                </c:pt>
                <c:pt idx="16">
                  <c:v>90.137600741453156</c:v>
                </c:pt>
                <c:pt idx="17">
                  <c:v>90.140805861317176</c:v>
                </c:pt>
                <c:pt idx="18">
                  <c:v>90.144085637073374</c:v>
                </c:pt>
                <c:pt idx="19">
                  <c:v>90.147441807613632</c:v>
                </c:pt>
                <c:pt idx="20">
                  <c:v>90.150876152329019</c:v>
                </c:pt>
                <c:pt idx="21">
                  <c:v>90.154390492052826</c:v>
                </c:pt>
                <c:pt idx="22">
                  <c:v>90.157986690025396</c:v>
                </c:pt>
                <c:pt idx="23">
                  <c:v>90.161666652881721</c:v>
                </c:pt>
                <c:pt idx="24">
                  <c:v>90.165432331661577</c:v>
                </c:pt>
                <c:pt idx="25">
                  <c:v>90.169285722843568</c:v>
                </c:pt>
                <c:pt idx="26">
                  <c:v>90.173228869402948</c:v>
                </c:pt>
                <c:pt idx="27">
                  <c:v>90.177263861894204</c:v>
                </c:pt>
                <c:pt idx="28">
                  <c:v>90.181392839558725</c:v>
                </c:pt>
                <c:pt idx="29">
                  <c:v>90.185617991458273</c:v>
                </c:pt>
                <c:pt idx="30">
                  <c:v>90.189941557634825</c:v>
                </c:pt>
                <c:pt idx="31">
                  <c:v>90.194365830297357</c:v>
                </c:pt>
                <c:pt idx="32">
                  <c:v>90.198893155036245</c:v>
                </c:pt>
                <c:pt idx="33">
                  <c:v>90.203525932065858</c:v>
                </c:pt>
                <c:pt idx="34">
                  <c:v>90.208266617496108</c:v>
                </c:pt>
                <c:pt idx="35">
                  <c:v>90.213117724633491</c:v>
                </c:pt>
                <c:pt idx="36">
                  <c:v>90.218081825312439</c:v>
                </c:pt>
                <c:pt idx="37">
                  <c:v>90.223161551257505</c:v>
                </c:pt>
                <c:pt idx="38">
                  <c:v>90.228359595477357</c:v>
                </c:pt>
                <c:pt idx="39">
                  <c:v>90.233678713691006</c:v>
                </c:pt>
                <c:pt idx="40">
                  <c:v>90.239121725787243</c:v>
                </c:pt>
                <c:pt idx="41">
                  <c:v>90.244691517318032</c:v>
                </c:pt>
                <c:pt idx="42">
                  <c:v>90.250391041026461</c:v>
                </c:pt>
                <c:pt idx="43">
                  <c:v>90.256223318410335</c:v>
                </c:pt>
                <c:pt idx="44">
                  <c:v>90.262191441321917</c:v>
                </c:pt>
                <c:pt idx="45">
                  <c:v>90.268298573604937</c:v>
                </c:pt>
                <c:pt idx="46">
                  <c:v>90.274547952769538</c:v>
                </c:pt>
                <c:pt idx="47">
                  <c:v>90.280942891706133</c:v>
                </c:pt>
                <c:pt idx="48">
                  <c:v>90.287486780438982</c:v>
                </c:pt>
                <c:pt idx="49">
                  <c:v>90.294183087920501</c:v>
                </c:pt>
                <c:pt idx="50">
                  <c:v>90.301035363867257</c:v>
                </c:pt>
                <c:pt idx="51">
                  <c:v>90.308047240638331</c:v>
                </c:pt>
                <c:pt idx="52">
                  <c:v>90.315222435157551</c:v>
                </c:pt>
                <c:pt idx="53">
                  <c:v>90.322564750879977</c:v>
                </c:pt>
                <c:pt idx="54">
                  <c:v>90.330078079804238</c:v>
                </c:pt>
                <c:pt idx="55">
                  <c:v>90.337766404531223</c:v>
                </c:pt>
                <c:pt idx="56">
                  <c:v>90.345633800370805</c:v>
                </c:pt>
                <c:pt idx="57">
                  <c:v>90.353684437497023</c:v>
                </c:pt>
                <c:pt idx="58">
                  <c:v>90.361922583153429</c:v>
                </c:pt>
                <c:pt idx="59">
                  <c:v>90.370352603909296</c:v>
                </c:pt>
                <c:pt idx="60">
                  <c:v>90.378978967968166</c:v>
                </c:pt>
                <c:pt idx="61">
                  <c:v>90.387806247529852</c:v>
                </c:pt>
                <c:pt idx="62">
                  <c:v>90.396839121206767</c:v>
                </c:pt>
                <c:pt idx="63">
                  <c:v>90.406082376496599</c:v>
                </c:pt>
                <c:pt idx="64">
                  <c:v>90.41554091231167</c:v>
                </c:pt>
                <c:pt idx="65">
                  <c:v>90.425219741567005</c:v>
                </c:pt>
                <c:pt idx="66">
                  <c:v>90.435123993828171</c:v>
                </c:pt>
                <c:pt idx="67">
                  <c:v>90.445258918020059</c:v>
                </c:pt>
                <c:pt idx="68">
                  <c:v>90.455629885198306</c:v>
                </c:pt>
                <c:pt idx="69">
                  <c:v>90.466242391384711</c:v>
                </c:pt>
                <c:pt idx="70">
                  <c:v>90.477102060467786</c:v>
                </c:pt>
                <c:pt idx="71">
                  <c:v>90.488214647170423</c:v>
                </c:pt>
                <c:pt idx="72">
                  <c:v>90.499586040085674</c:v>
                </c:pt>
                <c:pt idx="73">
                  <c:v>90.51122226478256</c:v>
                </c:pt>
                <c:pt idx="74">
                  <c:v>90.523129486983279</c:v>
                </c:pt>
                <c:pt idx="75">
                  <c:v>90.535314015813412</c:v>
                </c:pt>
                <c:pt idx="76">
                  <c:v>90.547782307126951</c:v>
                </c:pt>
                <c:pt idx="77">
                  <c:v>90.560540966907524</c:v>
                </c:pt>
                <c:pt idx="78">
                  <c:v>90.573596754747825</c:v>
                </c:pt>
                <c:pt idx="79">
                  <c:v>90.586956587408608</c:v>
                </c:pt>
                <c:pt idx="80">
                  <c:v>90.600627542459534</c:v>
                </c:pt>
                <c:pt idx="81">
                  <c:v>90.614616862003075</c:v>
                </c:pt>
                <c:pt idx="82">
                  <c:v>90.628931956483839</c:v>
                </c:pt>
                <c:pt idx="83">
                  <c:v>90.643580408584853</c:v>
                </c:pt>
                <c:pt idx="84">
                  <c:v>90.658569977212792</c:v>
                </c:pt>
                <c:pt idx="85">
                  <c:v>90.673908601574283</c:v>
                </c:pt>
                <c:pt idx="86">
                  <c:v>90.689604405344895</c:v>
                </c:pt>
                <c:pt idx="87">
                  <c:v>90.705665700933309</c:v>
                </c:pt>
                <c:pt idx="88">
                  <c:v>90.722100993842204</c:v>
                </c:pt>
                <c:pt idx="89">
                  <c:v>90.738918987128429</c:v>
                </c:pt>
                <c:pt idx="90">
                  <c:v>90.756128585964206</c:v>
                </c:pt>
                <c:pt idx="91">
                  <c:v>90.773738902301915</c:v>
                </c:pt>
                <c:pt idx="92">
                  <c:v>90.791759259644081</c:v>
                </c:pt>
                <c:pt idx="93">
                  <c:v>90.810199197921634</c:v>
                </c:pt>
                <c:pt idx="94">
                  <c:v>90.829068478481787</c:v>
                </c:pt>
                <c:pt idx="95">
                  <c:v>90.848377089188645</c:v>
                </c:pt>
                <c:pt idx="96">
                  <c:v>90.868135249638414</c:v>
                </c:pt>
                <c:pt idx="97">
                  <c:v>90.888353416491682</c:v>
                </c:pt>
                <c:pt idx="98">
                  <c:v>90.909042288925335</c:v>
                </c:pt>
                <c:pt idx="99">
                  <c:v>90.930212814206385</c:v>
                </c:pt>
                <c:pt idx="100">
                  <c:v>90.951876193390319</c:v>
                </c:pt>
                <c:pt idx="101">
                  <c:v>90.974043887146436</c:v>
                </c:pt>
                <c:pt idx="102">
                  <c:v>90.996727621712665</c:v>
                </c:pt>
                <c:pt idx="103">
                  <c:v>91.019939394982558</c:v>
                </c:pt>
                <c:pt idx="104">
                  <c:v>91.043691482726942</c:v>
                </c:pt>
                <c:pt idx="105">
                  <c:v>91.067996444953039</c:v>
                </c:pt>
                <c:pt idx="106">
                  <c:v>91.09286713240347</c:v>
                </c:pt>
                <c:pt idx="107">
                  <c:v>91.118316693198068</c:v>
                </c:pt>
                <c:pt idx="108">
                  <c:v>91.144358579621013</c:v>
                </c:pt>
                <c:pt idx="109">
                  <c:v>91.171006555056167</c:v>
                </c:pt>
                <c:pt idx="110">
                  <c:v>91.19827470107326</c:v>
                </c:pt>
                <c:pt idx="111">
                  <c:v>91.226177424667611</c:v>
                </c:pt>
                <c:pt idx="112">
                  <c:v>91.254729465656453</c:v>
                </c:pt>
                <c:pt idx="113">
                  <c:v>91.283945904234244</c:v>
                </c:pt>
                <c:pt idx="114">
                  <c:v>91.31384216868986</c:v>
                </c:pt>
                <c:pt idx="115">
                  <c:v>91.344434043288715</c:v>
                </c:pt>
                <c:pt idx="116">
                  <c:v>91.375737676322217</c:v>
                </c:pt>
                <c:pt idx="117">
                  <c:v>91.407769588327412</c:v>
                </c:pt>
                <c:pt idx="118">
                  <c:v>91.44054668047967</c:v>
                </c:pt>
                <c:pt idx="119">
                  <c:v>91.474086243161082</c:v>
                </c:pt>
                <c:pt idx="120">
                  <c:v>91.508405964707109</c:v>
                </c:pt>
                <c:pt idx="121">
                  <c:v>91.54352394033431</c:v>
                </c:pt>
                <c:pt idx="122">
                  <c:v>91.579458681251694</c:v>
                </c:pt>
                <c:pt idx="123">
                  <c:v>91.61622912395822</c:v>
                </c:pt>
                <c:pt idx="124">
                  <c:v>91.653854639728934</c:v>
                </c:pt>
                <c:pt idx="125">
                  <c:v>91.6923550442921</c:v>
                </c:pt>
                <c:pt idx="126">
                  <c:v>91.731750607699951</c:v>
                </c:pt>
                <c:pt idx="127">
                  <c:v>91.772062064394831</c:v>
                </c:pt>
                <c:pt idx="128">
                  <c:v>91.813310623473114</c:v>
                </c:pt>
                <c:pt idx="129">
                  <c:v>91.855517979149042</c:v>
                </c:pt>
                <c:pt idx="130">
                  <c:v>91.898706321420093</c:v>
                </c:pt>
                <c:pt idx="131">
                  <c:v>91.942898346935678</c:v>
                </c:pt>
                <c:pt idx="132">
                  <c:v>91.988117270070717</c:v>
                </c:pt>
                <c:pt idx="133">
                  <c:v>92.03438683420562</c:v>
                </c:pt>
                <c:pt idx="134">
                  <c:v>92.081731323213475</c:v>
                </c:pt>
                <c:pt idx="135">
                  <c:v>92.130175573155711</c:v>
                </c:pt>
                <c:pt idx="136">
                  <c:v>92.179744984186812</c:v>
                </c:pt>
                <c:pt idx="137">
                  <c:v>92.230465532668234</c:v>
                </c:pt>
                <c:pt idx="138">
                  <c:v>92.282363783492059</c:v>
                </c:pt>
                <c:pt idx="139">
                  <c:v>92.335466902613746</c:v>
                </c:pt>
                <c:pt idx="140">
                  <c:v>92.389802669793568</c:v>
                </c:pt>
                <c:pt idx="141">
                  <c:v>92.445399491545899</c:v>
                </c:pt>
                <c:pt idx="142">
                  <c:v>92.502286414294559</c:v>
                </c:pt>
                <c:pt idx="143">
                  <c:v>92.560493137732493</c:v>
                </c:pt>
                <c:pt idx="144">
                  <c:v>92.620050028383602</c:v>
                </c:pt>
                <c:pt idx="145">
                  <c:v>92.680988133363414</c:v>
                </c:pt>
                <c:pt idx="146">
                  <c:v>92.743339194335391</c:v>
                </c:pt>
                <c:pt idx="147">
                  <c:v>92.807135661658364</c:v>
                </c:pt>
                <c:pt idx="148">
                  <c:v>92.872410708720395</c:v>
                </c:pt>
                <c:pt idx="149">
                  <c:v>92.939198246453515</c:v>
                </c:pt>
                <c:pt idx="150">
                  <c:v>93.00753293802255</c:v>
                </c:pt>
                <c:pt idx="151">
                  <c:v>93.077450213681118</c:v>
                </c:pt>
                <c:pt idx="152">
                  <c:v>93.148986285785995</c:v>
                </c:pt>
                <c:pt idx="153">
                  <c:v>93.222178163961317</c:v>
                </c:pt>
                <c:pt idx="154">
                  <c:v>93.297063670401101</c:v>
                </c:pt>
                <c:pt idx="155">
                  <c:v>93.373681455299774</c:v>
                </c:pt>
                <c:pt idx="156">
                  <c:v>93.452071012396615</c:v>
                </c:pt>
                <c:pt idx="157">
                  <c:v>93.532272694621</c:v>
                </c:pt>
                <c:pt idx="158">
                  <c:v>93.614327729821923</c:v>
                </c:pt>
                <c:pt idx="159">
                  <c:v>93.698278236564832</c:v>
                </c:pt>
                <c:pt idx="160">
                  <c:v>93.78416723997718</c:v>
                </c:pt>
                <c:pt idx="161">
                  <c:v>93.872038687621199</c:v>
                </c:pt>
                <c:pt idx="162">
                  <c:v>93.961937465372017</c:v>
                </c:pt>
                <c:pt idx="163">
                  <c:v>94.053909413275733</c:v>
                </c:pt>
                <c:pt idx="164">
                  <c:v>94.148001341361166</c:v>
                </c:pt>
                <c:pt idx="165">
                  <c:v>94.244261045375069</c:v>
                </c:pt>
                <c:pt idx="166">
                  <c:v>94.342737322410088</c:v>
                </c:pt>
                <c:pt idx="167">
                  <c:v>94.443479986389988</c:v>
                </c:pt>
                <c:pt idx="168">
                  <c:v>94.546539883375303</c:v>
                </c:pt>
                <c:pt idx="169">
                  <c:v>94.651968906649131</c:v>
                </c:pt>
                <c:pt idx="170">
                  <c:v>94.759820011538892</c:v>
                </c:pt>
                <c:pt idx="171">
                  <c:v>94.870147229927255</c:v>
                </c:pt>
                <c:pt idx="172">
                  <c:v>94.983005684401519</c:v>
                </c:pt>
                <c:pt idx="173">
                  <c:v>95.098451601986895</c:v>
                </c:pt>
                <c:pt idx="174">
                  <c:v>95.216542327404127</c:v>
                </c:pt>
                <c:pt idx="175">
                  <c:v>95.337336335789317</c:v>
                </c:pt>
                <c:pt idx="176">
                  <c:v>95.460893244807309</c:v>
                </c:pt>
                <c:pt idx="177">
                  <c:v>95.587273826086317</c:v>
                </c:pt>
                <c:pt idx="178">
                  <c:v>95.716540015895831</c:v>
                </c:pt>
                <c:pt idx="179">
                  <c:v>95.848754924983595</c:v>
                </c:pt>
                <c:pt idx="180">
                  <c:v>95.98398284748383</c:v>
                </c:pt>
                <c:pt idx="181">
                  <c:v>96.122289268800202</c:v>
                </c:pt>
                <c:pt idx="182">
                  <c:v>96.263740872362149</c:v>
                </c:pt>
                <c:pt idx="183">
                  <c:v>96.408405545146024</c:v>
                </c:pt>
                <c:pt idx="184">
                  <c:v>96.556352381845585</c:v>
                </c:pt>
                <c:pt idx="185">
                  <c:v>96.707651687568472</c:v>
                </c:pt>
                <c:pt idx="186">
                  <c:v>96.862374978928145</c:v>
                </c:pt>
                <c:pt idx="187">
                  <c:v>97.020594983391931</c:v>
                </c:pt>
                <c:pt idx="188">
                  <c:v>97.182385636737976</c:v>
                </c:pt>
                <c:pt idx="189">
                  <c:v>97.347822078464944</c:v>
                </c:pt>
                <c:pt idx="190">
                  <c:v>97.516980644988138</c:v>
                </c:pt>
                <c:pt idx="191">
                  <c:v>97.689938860448009</c:v>
                </c:pt>
                <c:pt idx="192">
                  <c:v>97.866775424945359</c:v>
                </c:pt>
                <c:pt idx="193">
                  <c:v>98.047570200008565</c:v>
                </c:pt>
                <c:pt idx="194">
                  <c:v>98.232404191087042</c:v>
                </c:pt>
                <c:pt idx="195">
                  <c:v>98.421359526854204</c:v>
                </c:pt>
                <c:pt idx="196">
                  <c:v>98.614519435093769</c:v>
                </c:pt>
                <c:pt idx="197">
                  <c:v>98.811968214929664</c:v>
                </c:pt>
                <c:pt idx="198">
                  <c:v>99.013791205149673</c:v>
                </c:pt>
                <c:pt idx="199">
                  <c:v>99.220074748362634</c:v>
                </c:pt>
                <c:pt idx="200">
                  <c:v>99.430906150715188</c:v>
                </c:pt>
                <c:pt idx="201">
                  <c:v>99.646373636883766</c:v>
                </c:pt>
                <c:pt idx="202">
                  <c:v>99.86656630004687</c:v>
                </c:pt>
                <c:pt idx="203">
                  <c:v>100.09157404653044</c:v>
                </c:pt>
                <c:pt idx="204">
                  <c:v>100.32148753480732</c:v>
                </c:pt>
                <c:pt idx="205">
                  <c:v>100.55639810852531</c:v>
                </c:pt>
                <c:pt idx="206">
                  <c:v>100.79639772322287</c:v>
                </c:pt>
                <c:pt idx="207">
                  <c:v>101.04157886638741</c:v>
                </c:pt>
                <c:pt idx="208">
                  <c:v>101.29203447049976</c:v>
                </c:pt>
                <c:pt idx="209">
                  <c:v>101.54785781870277</c:v>
                </c:pt>
                <c:pt idx="210">
                  <c:v>101.80914244272509</c:v>
                </c:pt>
                <c:pt idx="211">
                  <c:v>102.07598201268827</c:v>
                </c:pt>
                <c:pt idx="212">
                  <c:v>102.34847021842059</c:v>
                </c:pt>
                <c:pt idx="213">
                  <c:v>102.62670064190364</c:v>
                </c:pt>
                <c:pt idx="214">
                  <c:v>102.91076662047497</c:v>
                </c:pt>
                <c:pt idx="215">
                  <c:v>103.20076110042002</c:v>
                </c:pt>
                <c:pt idx="216">
                  <c:v>103.49677648058892</c:v>
                </c:pt>
                <c:pt idx="217">
                  <c:v>103.79890444568755</c:v>
                </c:pt>
                <c:pt idx="218">
                  <c:v>104.10723578890565</c:v>
                </c:pt>
                <c:pt idx="219">
                  <c:v>104.42186022356334</c:v>
                </c:pt>
                <c:pt idx="220">
                  <c:v>104.7428661834805</c:v>
                </c:pt>
                <c:pt idx="221">
                  <c:v>105.07034061180184</c:v>
                </c:pt>
                <c:pt idx="222">
                  <c:v>105.40436873804178</c:v>
                </c:pt>
                <c:pt idx="223">
                  <c:v>105.74503384315666</c:v>
                </c:pt>
                <c:pt idx="224">
                  <c:v>106.09241701249175</c:v>
                </c:pt>
                <c:pt idx="225">
                  <c:v>106.4465968765067</c:v>
                </c:pt>
                <c:pt idx="226">
                  <c:v>106.80764933924067</c:v>
                </c:pt>
                <c:pt idx="227">
                  <c:v>107.17564729454286</c:v>
                </c:pt>
                <c:pt idx="228">
                  <c:v>107.55066033017258</c:v>
                </c:pt>
                <c:pt idx="229">
                  <c:v>107.9327544199529</c:v>
                </c:pt>
                <c:pt idx="230">
                  <c:v>108.32199160425105</c:v>
                </c:pt>
                <c:pt idx="231">
                  <c:v>108.7184296591616</c:v>
                </c:pt>
                <c:pt idx="232">
                  <c:v>109.12212175487328</c:v>
                </c:pt>
                <c:pt idx="233">
                  <c:v>109.5331161038212</c:v>
                </c:pt>
                <c:pt idx="234">
                  <c:v>109.95145559934278</c:v>
                </c:pt>
                <c:pt idx="235">
                  <c:v>110.37717744569927</c:v>
                </c:pt>
                <c:pt idx="236">
                  <c:v>110.81031278045843</c:v>
                </c:pt>
                <c:pt idx="237">
                  <c:v>111.2508862903847</c:v>
                </c:pt>
                <c:pt idx="238">
                  <c:v>111.69891582213742</c:v>
                </c:pt>
                <c:pt idx="239">
                  <c:v>112.15441198923796</c:v>
                </c:pt>
                <c:pt idx="240">
                  <c:v>112.61737777693004</c:v>
                </c:pt>
                <c:pt idx="241">
                  <c:v>113.08780814672741</c:v>
                </c:pt>
                <c:pt idx="242">
                  <c:v>113.56568964260522</c:v>
                </c:pt>
                <c:pt idx="243">
                  <c:v>114.05100000096401</c:v>
                </c:pt>
                <c:pt idx="244">
                  <c:v>114.54370776665992</c:v>
                </c:pt>
                <c:pt idx="245">
                  <c:v>115.04377191754789</c:v>
                </c:pt>
                <c:pt idx="246">
                  <c:v>115.5511415001412</c:v>
                </c:pt>
                <c:pt idx="247">
                  <c:v>116.06575527912817</c:v>
                </c:pt>
                <c:pt idx="248">
                  <c:v>116.58754140361157</c:v>
                </c:pt>
                <c:pt idx="249">
                  <c:v>117.11641709305</c:v>
                </c:pt>
                <c:pt idx="250">
                  <c:v>117.65228834596068</c:v>
                </c:pt>
                <c:pt idx="251">
                  <c:v>118.19504967451861</c:v>
                </c:pt>
                <c:pt idx="252">
                  <c:v>118.74458386821252</c:v>
                </c:pt>
                <c:pt idx="253">
                  <c:v>119.30076178973843</c:v>
                </c:pt>
                <c:pt idx="254">
                  <c:v>119.86344220627426</c:v>
                </c:pt>
                <c:pt idx="255">
                  <c:v>120.43247165922384</c:v>
                </c:pt>
                <c:pt idx="256">
                  <c:v>121.00768437541629</c:v>
                </c:pt>
                <c:pt idx="257">
                  <c:v>121.58890222260436</c:v>
                </c:pt>
                <c:pt idx="258">
                  <c:v>122.17593471192185</c:v>
                </c:pt>
                <c:pt idx="259">
                  <c:v>122.768579049735</c:v>
                </c:pt>
                <c:pt idx="260">
                  <c:v>123.36662024105081</c:v>
                </c:pt>
                <c:pt idx="261">
                  <c:v>123.96983124633135</c:v>
                </c:pt>
                <c:pt idx="262">
                  <c:v>124.57797319321134</c:v>
                </c:pt>
                <c:pt idx="263">
                  <c:v>125.19079564422009</c:v>
                </c:pt>
                <c:pt idx="264">
                  <c:v>125.80803692118026</c:v>
                </c:pt>
                <c:pt idx="265">
                  <c:v>126.42942448648948</c:v>
                </c:pt>
                <c:pt idx="266">
                  <c:v>127.05467538101185</c:v>
                </c:pt>
                <c:pt idx="267">
                  <c:v>127.6834967177813</c:v>
                </c:pt>
                <c:pt idx="268">
                  <c:v>128.31558623020859</c:v>
                </c:pt>
                <c:pt idx="269">
                  <c:v>128.95063287293837</c:v>
                </c:pt>
                <c:pt idx="270">
                  <c:v>129.58831747297748</c:v>
                </c:pt>
                <c:pt idx="271">
                  <c:v>130.22831342819154</c:v>
                </c:pt>
                <c:pt idx="272">
                  <c:v>130.87028744975311</c:v>
                </c:pt>
                <c:pt idx="273">
                  <c:v>131.51390034464933</c:v>
                </c:pt>
                <c:pt idx="274">
                  <c:v>132.15880783390614</c:v>
                </c:pt>
                <c:pt idx="275">
                  <c:v>132.80466140177674</c:v>
                </c:pt>
                <c:pt idx="276">
                  <c:v>133.45110917078532</c:v>
                </c:pt>
                <c:pt idx="277">
                  <c:v>134.09779679721225</c:v>
                </c:pt>
                <c:pt idx="278">
                  <c:v>134.74436838136793</c:v>
                </c:pt>
                <c:pt idx="279">
                  <c:v>135.39046738681856</c:v>
                </c:pt>
                <c:pt idx="280">
                  <c:v>136.03573756262762</c:v>
                </c:pt>
                <c:pt idx="281">
                  <c:v>136.67982386263151</c:v>
                </c:pt>
                <c:pt idx="282">
                  <c:v>137.32237335580891</c:v>
                </c:pt>
                <c:pt idx="283">
                  <c:v>137.96303612190422</c:v>
                </c:pt>
                <c:pt idx="284">
                  <c:v>138.60146612664292</c:v>
                </c:pt>
                <c:pt idx="285">
                  <c:v>139.2373220711157</c:v>
                </c:pt>
                <c:pt idx="286">
                  <c:v>139.87026821020885</c:v>
                </c:pt>
                <c:pt idx="287">
                  <c:v>140.49997513531656</c:v>
                </c:pt>
                <c:pt idx="288">
                  <c:v>141.12612051697508</c:v>
                </c:pt>
                <c:pt idx="289">
                  <c:v>141.74838980350899</c:v>
                </c:pt>
                <c:pt idx="290">
                  <c:v>142.3664768722542</c:v>
                </c:pt>
                <c:pt idx="291">
                  <c:v>142.9800846304378</c:v>
                </c:pt>
                <c:pt idx="292">
                  <c:v>143.58892556331367</c:v>
                </c:pt>
                <c:pt idx="293">
                  <c:v>144.1927222276806</c:v>
                </c:pt>
                <c:pt idx="294">
                  <c:v>144.79120768945506</c:v>
                </c:pt>
                <c:pt idx="295">
                  <c:v>145.38412590448306</c:v>
                </c:pt>
                <c:pt idx="296">
                  <c:v>145.97123204229524</c:v>
                </c:pt>
                <c:pt idx="297">
                  <c:v>146.55229275299496</c:v>
                </c:pt>
                <c:pt idx="298">
                  <c:v>147.12708637793517</c:v>
                </c:pt>
                <c:pt idx="299">
                  <c:v>147.69540310526878</c:v>
                </c:pt>
                <c:pt idx="300">
                  <c:v>148.25704507185498</c:v>
                </c:pt>
                <c:pt idx="301">
                  <c:v>148.81182641335479</c:v>
                </c:pt>
                <c:pt idx="302">
                  <c:v>149.35957326467161</c:v>
                </c:pt>
                <c:pt idx="303">
                  <c:v>149.90012371315822</c:v>
                </c:pt>
                <c:pt idx="304">
                  <c:v>150.43332770723998</c:v>
                </c:pt>
                <c:pt idx="305">
                  <c:v>150.95904692329549</c:v>
                </c:pt>
                <c:pt idx="306">
                  <c:v>151.47715459376869</c:v>
                </c:pt>
                <c:pt idx="307">
                  <c:v>151.98753529960078</c:v>
                </c:pt>
                <c:pt idx="308">
                  <c:v>152.49008473011963</c:v>
                </c:pt>
                <c:pt idx="309">
                  <c:v>152.98470941356589</c:v>
                </c:pt>
                <c:pt idx="310">
                  <c:v>153.47132642141744</c:v>
                </c:pt>
                <c:pt idx="311">
                  <c:v>153.94986304964121</c:v>
                </c:pt>
                <c:pt idx="312">
                  <c:v>154.42025647994106</c:v>
                </c:pt>
                <c:pt idx="313">
                  <c:v>154.88245342397596</c:v>
                </c:pt>
                <c:pt idx="314">
                  <c:v>155.33640975341808</c:v>
                </c:pt>
                <c:pt idx="315">
                  <c:v>155.78209011859767</c:v>
                </c:pt>
                <c:pt idx="316">
                  <c:v>156.21946755833483</c:v>
                </c:pt>
                <c:pt idx="317">
                  <c:v>156.64852310341624</c:v>
                </c:pt>
                <c:pt idx="318">
                  <c:v>157.06924537600818</c:v>
                </c:pt>
                <c:pt idx="319">
                  <c:v>157.48163018714206</c:v>
                </c:pt>
                <c:pt idx="320">
                  <c:v>157.88568013423082</c:v>
                </c:pt>
                <c:pt idx="321">
                  <c:v>158.28140420041723</c:v>
                </c:pt>
                <c:pt idx="322">
                  <c:v>158.66881735737832</c:v>
                </c:pt>
                <c:pt idx="323">
                  <c:v>159.04794017305542</c:v>
                </c:pt>
                <c:pt idx="324">
                  <c:v>159.41879842561124</c:v>
                </c:pt>
                <c:pt idx="325">
                  <c:v>159.78142272476251</c:v>
                </c:pt>
                <c:pt idx="326">
                  <c:v>160.1358481414932</c:v>
                </c:pt>
                <c:pt idx="327">
                  <c:v>160.48211384700565</c:v>
                </c:pt>
                <c:pt idx="328">
                  <c:v>160.82026276163759</c:v>
                </c:pt>
                <c:pt idx="329">
                  <c:v>161.15034121434556</c:v>
                </c:pt>
                <c:pt idx="330">
                  <c:v>161.47239861324093</c:v>
                </c:pt>
                <c:pt idx="331">
                  <c:v>161.78648712755466</c:v>
                </c:pt>
                <c:pt idx="332">
                  <c:v>162.09266138130673</c:v>
                </c:pt>
                <c:pt idx="333">
                  <c:v>162.39097815887098</c:v>
                </c:pt>
                <c:pt idx="334">
                  <c:v>162.68149612253217</c:v>
                </c:pt>
                <c:pt idx="335">
                  <c:v>162.96427554207412</c:v>
                </c:pt>
                <c:pt idx="336">
                  <c:v>163.23937803635195</c:v>
                </c:pt>
                <c:pt idx="337">
                  <c:v>163.50686632676189</c:v>
                </c:pt>
                <c:pt idx="338">
                  <c:v>163.76680400245368</c:v>
                </c:pt>
                <c:pt idx="339">
                  <c:v>164.01925529709578</c:v>
                </c:pt>
                <c:pt idx="340">
                  <c:v>164.26428487696089</c:v>
                </c:pt>
                <c:pt idx="341">
                  <c:v>164.50195764006625</c:v>
                </c:pt>
                <c:pt idx="342">
                  <c:v>164.73233852607547</c:v>
                </c:pt>
                <c:pt idx="343">
                  <c:v>164.95549233664568</c:v>
                </c:pt>
                <c:pt idx="344">
                  <c:v>165.17148356588891</c:v>
                </c:pt>
                <c:pt idx="345">
                  <c:v>165.38037624059396</c:v>
                </c:pt>
                <c:pt idx="346">
                  <c:v>165.58223376985808</c:v>
                </c:pt>
                <c:pt idx="347">
                  <c:v>165.77711880375534</c:v>
                </c:pt>
                <c:pt idx="348">
                  <c:v>165.96509310067904</c:v>
                </c:pt>
                <c:pt idx="349">
                  <c:v>166.14621740298449</c:v>
                </c:pt>
                <c:pt idx="350">
                  <c:v>166.32055132056348</c:v>
                </c:pt>
                <c:pt idx="351">
                  <c:v>166.48815322198675</c:v>
                </c:pt>
                <c:pt idx="352">
                  <c:v>166.64908013285114</c:v>
                </c:pt>
                <c:pt idx="353">
                  <c:v>166.80338764098039</c:v>
                </c:pt>
                <c:pt idx="354">
                  <c:v>166.95112980813298</c:v>
                </c:pt>
                <c:pt idx="355">
                  <c:v>167.09235908788011</c:v>
                </c:pt>
                <c:pt idx="356">
                  <c:v>167.22712624932953</c:v>
                </c:pt>
                <c:pt idx="357">
                  <c:v>167.35548030637977</c:v>
                </c:pt>
                <c:pt idx="358">
                  <c:v>167.47746845220146</c:v>
                </c:pt>
                <c:pt idx="359">
                  <c:v>167.59313599865627</c:v>
                </c:pt>
                <c:pt idx="360">
                  <c:v>167.70252632037469</c:v>
                </c:pt>
                <c:pt idx="361">
                  <c:v>167.80568080322874</c:v>
                </c:pt>
                <c:pt idx="362">
                  <c:v>167.90263879694794</c:v>
                </c:pt>
                <c:pt idx="363">
                  <c:v>167.99343757164118</c:v>
                </c:pt>
                <c:pt idx="364">
                  <c:v>168.07811227799954</c:v>
                </c:pt>
                <c:pt idx="365">
                  <c:v>168.15669591097048</c:v>
                </c:pt>
                <c:pt idx="366">
                  <c:v>168.22921927670586</c:v>
                </c:pt>
                <c:pt idx="367">
                  <c:v>168.29571096260059</c:v>
                </c:pt>
                <c:pt idx="368">
                  <c:v>168.35619731025241</c:v>
                </c:pt>
                <c:pt idx="369">
                  <c:v>168.41070239118613</c:v>
                </c:pt>
                <c:pt idx="370">
                  <c:v>168.45924798520002</c:v>
                </c:pt>
                <c:pt idx="371">
                  <c:v>168.50185356120352</c:v>
                </c:pt>
                <c:pt idx="372">
                  <c:v>168.53853626043093</c:v>
                </c:pt>
                <c:pt idx="373">
                  <c:v>168.56931088192624</c:v>
                </c:pt>
                <c:pt idx="374">
                  <c:v>168.59418987020973</c:v>
                </c:pt>
                <c:pt idx="375">
                  <c:v>168.61318330504673</c:v>
                </c:pt>
                <c:pt idx="376">
                  <c:v>168.62629889325473</c:v>
                </c:pt>
                <c:pt idx="377">
                  <c:v>168.6335419624954</c:v>
                </c:pt>
                <c:pt idx="378">
                  <c:v>168.63491545701123</c:v>
                </c:pt>
                <c:pt idx="379">
                  <c:v>168.63041993527963</c:v>
                </c:pt>
                <c:pt idx="380">
                  <c:v>168.62005356956857</c:v>
                </c:pt>
                <c:pt idx="381">
                  <c:v>168.60381214739166</c:v>
                </c:pt>
                <c:pt idx="382">
                  <c:v>168.58168907487072</c:v>
                </c:pt>
                <c:pt idx="383">
                  <c:v>168.55367538202981</c:v>
                </c:pt>
                <c:pt idx="384">
                  <c:v>168.5197597300529</c:v>
                </c:pt>
                <c:pt idx="385">
                  <c:v>168.47992842055427</c:v>
                </c:pt>
                <c:pt idx="386">
                  <c:v>168.43416540691805</c:v>
                </c:pt>
                <c:pt idx="387">
                  <c:v>168.38245230778264</c:v>
                </c:pt>
                <c:pt idx="388">
                  <c:v>168.32476842275142</c:v>
                </c:pt>
                <c:pt idx="389">
                  <c:v>168.26109075042913</c:v>
                </c:pt>
                <c:pt idx="390">
                  <c:v>168.19139400889443</c:v>
                </c:pt>
                <c:pt idx="391">
                  <c:v>168.11565065873071</c:v>
                </c:pt>
                <c:pt idx="392">
                  <c:v>168.0338309287545</c:v>
                </c:pt>
                <c:pt idx="393">
                  <c:v>167.94590284458863</c:v>
                </c:pt>
                <c:pt idx="394">
                  <c:v>167.85183226024589</c:v>
                </c:pt>
                <c:pt idx="395">
                  <c:v>167.75158289289868</c:v>
                </c:pt>
                <c:pt idx="396">
                  <c:v>167.64511636102611</c:v>
                </c:pt>
                <c:pt idx="397">
                  <c:v>167.53239222614212</c:v>
                </c:pt>
                <c:pt idx="398">
                  <c:v>167.41336803832232</c:v>
                </c:pt>
                <c:pt idx="399">
                  <c:v>167.28799938576196</c:v>
                </c:pt>
                <c:pt idx="400">
                  <c:v>167.15623994860843</c:v>
                </c:pt>
                <c:pt idx="401">
                  <c:v>167.01804155732813</c:v>
                </c:pt>
                <c:pt idx="402">
                  <c:v>166.87335425587875</c:v>
                </c:pt>
                <c:pt idx="403">
                  <c:v>166.72212636997133</c:v>
                </c:pt>
                <c:pt idx="404">
                  <c:v>166.56430458071938</c:v>
                </c:pt>
                <c:pt idx="405">
                  <c:v>166.39983400398486</c:v>
                </c:pt>
                <c:pt idx="406">
                  <c:v>166.22865827574088</c:v>
                </c:pt>
                <c:pt idx="407">
                  <c:v>166.05071964378303</c:v>
                </c:pt>
                <c:pt idx="408">
                  <c:v>165.8659590661307</c:v>
                </c:pt>
                <c:pt idx="409">
                  <c:v>165.67431631646767</c:v>
                </c:pt>
                <c:pt idx="410">
                  <c:v>165.47573009698016</c:v>
                </c:pt>
                <c:pt idx="411">
                  <c:v>165.2701381589558</c:v>
                </c:pt>
                <c:pt idx="412">
                  <c:v>165.05747743151045</c:v>
                </c:pt>
                <c:pt idx="413">
                  <c:v>164.83768415881289</c:v>
                </c:pt>
                <c:pt idx="414">
                  <c:v>164.61069404617859</c:v>
                </c:pt>
                <c:pt idx="415">
                  <c:v>164.37644241539732</c:v>
                </c:pt>
                <c:pt idx="416">
                  <c:v>164.13486436966051</c:v>
                </c:pt>
                <c:pt idx="417">
                  <c:v>163.88589496843636</c:v>
                </c:pt>
                <c:pt idx="418">
                  <c:v>163.629469412639</c:v>
                </c:pt>
                <c:pt idx="419">
                  <c:v>163.36552324041298</c:v>
                </c:pt>
                <c:pt idx="420">
                  <c:v>163.09399253383873</c:v>
                </c:pt>
                <c:pt idx="421">
                  <c:v>162.81481413683733</c:v>
                </c:pt>
                <c:pt idx="422">
                  <c:v>162.52792588452462</c:v>
                </c:pt>
                <c:pt idx="423">
                  <c:v>162.23326684422352</c:v>
                </c:pt>
                <c:pt idx="424">
                  <c:v>161.93077756830772</c:v>
                </c:pt>
                <c:pt idx="425">
                  <c:v>161.62040035899594</c:v>
                </c:pt>
                <c:pt idx="426">
                  <c:v>161.30207954516288</c:v>
                </c:pt>
                <c:pt idx="427">
                  <c:v>160.97576177116969</c:v>
                </c:pt>
                <c:pt idx="428">
                  <c:v>160.64139629764489</c:v>
                </c:pt>
                <c:pt idx="429">
                  <c:v>160.29893531406927</c:v>
                </c:pt>
                <c:pt idx="430">
                  <c:v>159.94833426293184</c:v>
                </c:pt>
                <c:pt idx="431">
                  <c:v>159.58955217512602</c:v>
                </c:pt>
                <c:pt idx="432">
                  <c:v>159.22255201615542</c:v>
                </c:pt>
                <c:pt idx="433">
                  <c:v>158.84730104259987</c:v>
                </c:pt>
                <c:pt idx="434">
                  <c:v>158.46377116817706</c:v>
                </c:pt>
                <c:pt idx="435">
                  <c:v>158.07193933860384</c:v>
                </c:pt>
                <c:pt idx="436">
                  <c:v>157.67178791431959</c:v>
                </c:pt>
                <c:pt idx="437">
                  <c:v>157.2633050599963</c:v>
                </c:pt>
                <c:pt idx="438">
                  <c:v>156.84648513959897</c:v>
                </c:pt>
                <c:pt idx="439">
                  <c:v>156.42132911561424</c:v>
                </c:pt>
                <c:pt idx="440">
                  <c:v>155.98784495088793</c:v>
                </c:pt>
                <c:pt idx="441">
                  <c:v>155.54604801136102</c:v>
                </c:pt>
                <c:pt idx="442">
                  <c:v>155.09596146781323</c:v>
                </c:pt>
                <c:pt idx="443">
                  <c:v>154.6376166945646</c:v>
                </c:pt>
                <c:pt idx="444">
                  <c:v>154.17105366291349</c:v>
                </c:pt>
                <c:pt idx="445">
                  <c:v>153.69632132693289</c:v>
                </c:pt>
                <c:pt idx="446">
                  <c:v>153.2134779990873</c:v>
                </c:pt>
                <c:pt idx="447">
                  <c:v>152.72259171299277</c:v>
                </c:pt>
                <c:pt idx="448">
                  <c:v>152.22374057050359</c:v>
                </c:pt>
                <c:pt idx="449">
                  <c:v>151.71701307020189</c:v>
                </c:pt>
                <c:pt idx="450">
                  <c:v>151.20250841425664</c:v>
                </c:pt>
                <c:pt idx="451">
                  <c:v>150.68033679055659</c:v>
                </c:pt>
                <c:pt idx="452">
                  <c:v>150.15061962695827</c:v>
                </c:pt>
                <c:pt idx="453">
                  <c:v>149.6134898144802</c:v>
                </c:pt>
                <c:pt idx="454">
                  <c:v>149.0690918962807</c:v>
                </c:pt>
                <c:pt idx="455">
                  <c:v>148.51758221929987</c:v>
                </c:pt>
                <c:pt idx="456">
                  <c:v>147.95912904553907</c:v>
                </c:pt>
                <c:pt idx="457">
                  <c:v>147.39391262006251</c:v>
                </c:pt>
                <c:pt idx="458">
                  <c:v>146.82212519298329</c:v>
                </c:pt>
                <c:pt idx="459">
                  <c:v>146.24397099289365</c:v>
                </c:pt>
                <c:pt idx="460">
                  <c:v>145.65966614945805</c:v>
                </c:pt>
                <c:pt idx="461">
                  <c:v>145.06943856317969</c:v>
                </c:pt>
                <c:pt idx="462">
                  <c:v>144.47352772068567</c:v>
                </c:pt>
                <c:pt idx="463">
                  <c:v>143.87218445425782</c:v>
                </c:pt>
                <c:pt idx="464">
                  <c:v>143.26567064474705</c:v>
                </c:pt>
                <c:pt idx="465">
                  <c:v>142.65425886746195</c:v>
                </c:pt>
                <c:pt idx="466">
                  <c:v>142.03823198109407</c:v>
                </c:pt>
                <c:pt idx="467">
                  <c:v>141.41788266025085</c:v>
                </c:pt>
                <c:pt idx="468">
                  <c:v>140.79351287268562</c:v>
                </c:pt>
                <c:pt idx="469">
                  <c:v>140.16543330283787</c:v>
                </c:pt>
                <c:pt idx="470">
                  <c:v>139.53396272384288</c:v>
                </c:pt>
                <c:pt idx="471">
                  <c:v>138.89942732068309</c:v>
                </c:pt>
                <c:pt idx="472">
                  <c:v>138.26215996768755</c:v>
                </c:pt>
                <c:pt idx="473">
                  <c:v>137.62249946406081</c:v>
                </c:pt>
                <c:pt idx="474">
                  <c:v>136.98078973160133</c:v>
                </c:pt>
                <c:pt idx="475">
                  <c:v>136.3373789791892</c:v>
                </c:pt>
                <c:pt idx="476">
                  <c:v>135.69261883900253</c:v>
                </c:pt>
                <c:pt idx="477">
                  <c:v>135.04686347975456</c:v>
                </c:pt>
                <c:pt idx="478">
                  <c:v>134.40046870250924</c:v>
                </c:pt>
                <c:pt idx="479">
                  <c:v>133.75379102483808</c:v>
                </c:pt>
                <c:pt idx="480">
                  <c:v>133.10718675922439</c:v>
                </c:pt>
                <c:pt idx="481">
                  <c:v>132.4610110916816</c:v>
                </c:pt>
                <c:pt idx="482">
                  <c:v>131.815617166555</c:v>
                </c:pt>
                <c:pt idx="483">
                  <c:v>131.17135518339884</c:v>
                </c:pt>
                <c:pt idx="484">
                  <c:v>130.52857151167404</c:v>
                </c:pt>
                <c:pt idx="485">
                  <c:v>129.88760782880223</c:v>
                </c:pt>
                <c:pt idx="486">
                  <c:v>129.24880028683373</c:v>
                </c:pt>
                <c:pt idx="487">
                  <c:v>128.61247871265502</c:v>
                </c:pt>
                <c:pt idx="488">
                  <c:v>127.97896584627871</c:v>
                </c:pt>
                <c:pt idx="489">
                  <c:v>127.34857662131851</c:v>
                </c:pt>
                <c:pt idx="490">
                  <c:v>126.72161749129788</c:v>
                </c:pt>
                <c:pt idx="491">
                  <c:v>126.09838580493289</c:v>
                </c:pt>
                <c:pt idx="492">
                  <c:v>125.47916923302041</c:v>
                </c:pt>
                <c:pt idx="493">
                  <c:v>124.8642452490265</c:v>
                </c:pt>
                <c:pt idx="494">
                  <c:v>124.25388066494196</c:v>
                </c:pt>
                <c:pt idx="495">
                  <c:v>123.6483312234386</c:v>
                </c:pt>
                <c:pt idx="496">
                  <c:v>123.04784124684113</c:v>
                </c:pt>
                <c:pt idx="497">
                  <c:v>122.45264334293495</c:v>
                </c:pt>
                <c:pt idx="498">
                  <c:v>121.86295816714591</c:v>
                </c:pt>
                <c:pt idx="499">
                  <c:v>121.27899424019074</c:v>
                </c:pt>
                <c:pt idx="500">
                  <c:v>120.70094781988105</c:v>
                </c:pt>
                <c:pt idx="501">
                  <c:v>120.12900282539229</c:v>
                </c:pt>
                <c:pt idx="502">
                  <c:v>119.5633308119733</c:v>
                </c:pt>
                <c:pt idx="503">
                  <c:v>119.00409099378697</c:v>
                </c:pt>
                <c:pt idx="504">
                  <c:v>118.45143031232016</c:v>
                </c:pt>
                <c:pt idx="505">
                  <c:v>117.90548354760065</c:v>
                </c:pt>
                <c:pt idx="506">
                  <c:v>117.36637346929325</c:v>
                </c:pt>
                <c:pt idx="507">
                  <c:v>116.83421102463802</c:v>
                </c:pt>
                <c:pt idx="508">
                  <c:v>116.30909556009695</c:v>
                </c:pt>
                <c:pt idx="509">
                  <c:v>115.79111507355049</c:v>
                </c:pt>
                <c:pt idx="510">
                  <c:v>115.28034649386701</c:v>
                </c:pt>
                <c:pt idx="511">
                  <c:v>114.77685598469239</c:v>
                </c:pt>
                <c:pt idx="512">
                  <c:v>114.28069926936666</c:v>
                </c:pt>
                <c:pt idx="513">
                  <c:v>113.79192197394268</c:v>
                </c:pt>
                <c:pt idx="514">
                  <c:v>113.31055998539054</c:v>
                </c:pt>
                <c:pt idx="515">
                  <c:v>112.83663982218351</c:v>
                </c:pt>
                <c:pt idx="516">
                  <c:v>112.37017901459859</c:v>
                </c:pt>
                <c:pt idx="517">
                  <c:v>111.91118649220677</c:v>
                </c:pt>
                <c:pt idx="518">
                  <c:v>111.45966297619236</c:v>
                </c:pt>
                <c:pt idx="519">
                  <c:v>111.01560137428864</c:v>
                </c:pt>
                <c:pt idx="520">
                  <c:v>110.57898717629816</c:v>
                </c:pt>
                <c:pt idx="521">
                  <c:v>110.1497988483239</c:v>
                </c:pt>
                <c:pt idx="522">
                  <c:v>109.72800822400968</c:v>
                </c:pt>
                <c:pt idx="523">
                  <c:v>109.31358089125067</c:v>
                </c:pt>
                <c:pt idx="524">
                  <c:v>108.90647657300198</c:v>
                </c:pt>
                <c:pt idx="525">
                  <c:v>108.50664950096602</c:v>
                </c:pt>
                <c:pt idx="526">
                  <c:v>108.11404878109319</c:v>
                </c:pt>
                <c:pt idx="527">
                  <c:v>107.72861874997157</c:v>
                </c:pt>
                <c:pt idx="528">
                  <c:v>107.35029932132439</c:v>
                </c:pt>
                <c:pt idx="529">
                  <c:v>106.97902632195557</c:v>
                </c:pt>
                <c:pt idx="530">
                  <c:v>106.6147318166104</c:v>
                </c:pt>
                <c:pt idx="531">
                  <c:v>106.25734442132546</c:v>
                </c:pt>
                <c:pt idx="532">
                  <c:v>105.90678960494964</c:v>
                </c:pt>
                <c:pt idx="533">
                  <c:v>105.56298997860756</c:v>
                </c:pt>
                <c:pt idx="534">
                  <c:v>105.22586557296924</c:v>
                </c:pt>
                <c:pt idx="535">
                  <c:v>104.89533410326256</c:v>
                </c:pt>
                <c:pt idx="536">
                  <c:v>104.57131122203756</c:v>
                </c:pt>
                <c:pt idx="537">
                  <c:v>104.2537107597542</c:v>
                </c:pt>
                <c:pt idx="538">
                  <c:v>103.94244495331968</c:v>
                </c:pt>
                <c:pt idx="539">
                  <c:v>103.63742466275012</c:v>
                </c:pt>
                <c:pt idx="540">
                  <c:v>103.33855957617352</c:v>
                </c:pt>
                <c:pt idx="541">
                  <c:v>103.04575840342623</c:v>
                </c:pt>
              </c:numCache>
            </c:numRef>
          </c:yVal>
          <c:smooth val="1"/>
          <c:extLst>
            <c:ext xmlns:c16="http://schemas.microsoft.com/office/drawing/2014/chart" uri="{C3380CC4-5D6E-409C-BE32-E72D297353CC}">
              <c16:uniqueId val="{00000001-EF05-46EF-A2B1-464B65B12337}"/>
            </c:ext>
          </c:extLst>
        </c:ser>
        <c:dLbls>
          <c:showLegendKey val="0"/>
          <c:showVal val="0"/>
          <c:showCatName val="0"/>
          <c:showSerName val="0"/>
          <c:showPercent val="0"/>
          <c:showBubbleSize val="0"/>
        </c:dLbls>
        <c:axId val="75957760"/>
        <c:axId val="75956224"/>
      </c:scatterChart>
      <c:valAx>
        <c:axId val="73986048"/>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73987968"/>
        <c:crosses val="autoZero"/>
        <c:crossBetween val="midCat"/>
      </c:valAx>
      <c:valAx>
        <c:axId val="7398796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73986048"/>
        <c:crosses val="autoZero"/>
        <c:crossBetween val="midCat"/>
        <c:majorUnit val="20"/>
        <c:minorUnit val="10"/>
      </c:valAx>
      <c:valAx>
        <c:axId val="75956224"/>
        <c:scaling>
          <c:orientation val="minMax"/>
          <c:max val="180"/>
          <c:min val="-180"/>
        </c:scaling>
        <c:delete val="0"/>
        <c:axPos val="r"/>
        <c:numFmt formatCode="General" sourceLinked="1"/>
        <c:majorTickMark val="out"/>
        <c:minorTickMark val="none"/>
        <c:tickLblPos val="nextTo"/>
        <c:crossAx val="75957760"/>
        <c:crosses val="max"/>
        <c:crossBetween val="midCat"/>
        <c:majorUnit val="90"/>
        <c:minorUnit val="45"/>
      </c:valAx>
      <c:valAx>
        <c:axId val="75957760"/>
        <c:scaling>
          <c:logBase val="10"/>
          <c:orientation val="minMax"/>
        </c:scaling>
        <c:delete val="1"/>
        <c:axPos val="b"/>
        <c:numFmt formatCode="0.00" sourceLinked="1"/>
        <c:majorTickMark val="out"/>
        <c:minorTickMark val="none"/>
        <c:tickLblPos val="nextTo"/>
        <c:crossAx val="75956224"/>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Loop_Modeling!$AT$19:$AT$560</c:f>
              <c:numCache>
                <c:formatCode>0.000</c:formatCode>
                <c:ptCount val="542"/>
                <c:pt idx="0">
                  <c:v>90.605732095611145</c:v>
                </c:pt>
                <c:pt idx="1">
                  <c:v>90.403846872918933</c:v>
                </c:pt>
                <c:pt idx="2">
                  <c:v>90.201873679676595</c:v>
                </c:pt>
                <c:pt idx="3">
                  <c:v>89.999808453721329</c:v>
                </c:pt>
                <c:pt idx="4">
                  <c:v>89.797646949399933</c:v>
                </c:pt>
                <c:pt idx="5">
                  <c:v>89.595384729669107</c:v>
                </c:pt>
                <c:pt idx="6">
                  <c:v>89.393017157893908</c:v>
                </c:pt>
                <c:pt idx="7">
                  <c:v>89.190539389334958</c:v>
                </c:pt>
                <c:pt idx="8">
                  <c:v>88.987946362318013</c:v>
                </c:pt>
                <c:pt idx="9">
                  <c:v>88.785232789075735</c:v>
                </c:pt>
                <c:pt idx="10">
                  <c:v>88.582393146258738</c:v>
                </c:pt>
                <c:pt idx="11">
                  <c:v>88.379421665103592</c:v>
                </c:pt>
                <c:pt idx="12">
                  <c:v>88.176312321256887</c:v>
                </c:pt>
                <c:pt idx="13">
                  <c:v>87.973058824244518</c:v>
                </c:pt>
                <c:pt idx="14">
                  <c:v>87.769654606584481</c:v>
                </c:pt>
                <c:pt idx="15">
                  <c:v>87.566092812536255</c:v>
                </c:pt>
                <c:pt idx="16">
                  <c:v>87.362366286484132</c:v>
                </c:pt>
                <c:pt idx="17">
                  <c:v>87.158467560951237</c:v>
                </c:pt>
                <c:pt idx="18">
                  <c:v>86.954388844241663</c:v>
                </c:pt>
                <c:pt idx="19">
                  <c:v>86.750122007711553</c:v>
                </c:pt>
                <c:pt idx="20">
                  <c:v>86.545658572667733</c:v>
                </c:pt>
                <c:pt idx="21">
                  <c:v>86.34098969689795</c:v>
                </c:pt>
                <c:pt idx="22">
                  <c:v>86.136106160835169</c:v>
                </c:pt>
                <c:pt idx="23">
                  <c:v>85.930998353361275</c:v>
                </c:pt>
                <c:pt idx="24">
                  <c:v>85.725656257259516</c:v>
                </c:pt>
                <c:pt idx="25">
                  <c:v>85.520069434323005</c:v>
                </c:pt>
                <c:pt idx="26">
                  <c:v>85.314227010134232</c:v>
                </c:pt>
                <c:pt idx="27">
                  <c:v>85.108117658527348</c:v>
                </c:pt>
                <c:pt idx="28">
                  <c:v>84.901729585755291</c:v>
                </c:pt>
                <c:pt idx="29">
                  <c:v>84.695050514378224</c:v>
                </c:pt>
                <c:pt idx="30">
                  <c:v>84.488067666901912</c:v>
                </c:pt>
                <c:pt idx="31">
                  <c:v>84.280767749191327</c:v>
                </c:pt>
                <c:pt idx="32">
                  <c:v>84.073136933694045</c:v>
                </c:pt>
                <c:pt idx="33">
                  <c:v>83.865160842509269</c:v>
                </c:pt>
                <c:pt idx="34">
                  <c:v>83.656824530343314</c:v>
                </c:pt>
                <c:pt idx="35">
                  <c:v>83.448112467400136</c:v>
                </c:pt>
                <c:pt idx="36">
                  <c:v>83.239008522256043</c:v>
                </c:pt>
                <c:pt idx="37">
                  <c:v>83.029495944778603</c:v>
                </c:pt>
                <c:pt idx="38">
                  <c:v>82.819557349152376</c:v>
                </c:pt>
                <c:pt idx="39">
                  <c:v>82.609174697080689</c:v>
                </c:pt>
                <c:pt idx="40">
                  <c:v>82.398329281241985</c:v>
                </c:pt>
                <c:pt idx="41">
                  <c:v>82.187001709082992</c:v>
                </c:pt>
                <c:pt idx="42">
                  <c:v>81.975171887040418</c:v>
                </c:pt>
                <c:pt idx="43">
                  <c:v>81.762819005290183</c:v>
                </c:pt>
                <c:pt idx="44">
                  <c:v>81.549921523130067</c:v>
                </c:pt>
                <c:pt idx="45">
                  <c:v>81.33645715511166</c:v>
                </c:pt>
                <c:pt idx="46">
                  <c:v>81.122402858042847</c:v>
                </c:pt>
                <c:pt idx="47">
                  <c:v>80.907734818993816</c:v>
                </c:pt>
                <c:pt idx="48">
                  <c:v>80.692428444446335</c:v>
                </c:pt>
                <c:pt idx="49">
                  <c:v>80.476458350733111</c:v>
                </c:pt>
                <c:pt idx="50">
                  <c:v>80.259798355924858</c:v>
                </c:pt>
                <c:pt idx="51">
                  <c:v>80.042421473330293</c:v>
                </c:pt>
                <c:pt idx="52">
                  <c:v>79.824299906780539</c:v>
                </c:pt>
                <c:pt idx="53">
                  <c:v>79.605405047877852</c:v>
                </c:pt>
                <c:pt idx="54">
                  <c:v>79.385707475396686</c:v>
                </c:pt>
                <c:pt idx="55">
                  <c:v>79.165176957028137</c:v>
                </c:pt>
                <c:pt idx="56">
                  <c:v>78.943782453667509</c:v>
                </c:pt>
                <c:pt idx="57">
                  <c:v>78.721492126446407</c:v>
                </c:pt>
                <c:pt idx="58">
                  <c:v>78.498273346714328</c:v>
                </c:pt>
                <c:pt idx="59">
                  <c:v>78.27409270917795</c:v>
                </c:pt>
                <c:pt idx="60">
                  <c:v>78.04891604840256</c:v>
                </c:pt>
                <c:pt idx="61">
                  <c:v>77.822708458883497</c:v>
                </c:pt>
                <c:pt idx="62">
                  <c:v>77.595434318885538</c:v>
                </c:pt>
                <c:pt idx="63">
                  <c:v>77.367057318245514</c:v>
                </c:pt>
                <c:pt idx="64">
                  <c:v>77.137540490326074</c:v>
                </c:pt>
                <c:pt idx="65">
                  <c:v>76.906846248292553</c:v>
                </c:pt>
                <c:pt idx="66">
                  <c:v>76.674936425873554</c:v>
                </c:pt>
                <c:pt idx="67">
                  <c:v>76.44177232275004</c:v>
                </c:pt>
                <c:pt idx="68">
                  <c:v>76.207314754693144</c:v>
                </c:pt>
                <c:pt idx="69">
                  <c:v>75.971524108550256</c:v>
                </c:pt>
                <c:pt idx="70">
                  <c:v>75.734360402150898</c:v>
                </c:pt>
                <c:pt idx="71">
                  <c:v>75.49578334917355</c:v>
                </c:pt>
                <c:pt idx="72">
                  <c:v>75.255752428978667</c:v>
                </c:pt>
                <c:pt idx="73">
                  <c:v>75.014226961379052</c:v>
                </c:pt>
                <c:pt idx="74">
                  <c:v>74.771166186275636</c:v>
                </c:pt>
                <c:pt idx="75">
                  <c:v>74.526529348043042</c:v>
                </c:pt>
                <c:pt idx="76">
                  <c:v>74.280275784505434</c:v>
                </c:pt>
                <c:pt idx="77">
                  <c:v>74.032365020291564</c:v>
                </c:pt>
                <c:pt idx="78">
                  <c:v>73.782756864308269</c:v>
                </c:pt>
                <c:pt idx="79">
                  <c:v>73.531411511021346</c:v>
                </c:pt>
                <c:pt idx="80">
                  <c:v>73.278289645176756</c:v>
                </c:pt>
                <c:pt idx="81">
                  <c:v>73.023352549544398</c:v>
                </c:pt>
                <c:pt idx="82">
                  <c:v>72.766562215213455</c:v>
                </c:pt>
                <c:pt idx="83">
                  <c:v>72.507881453917662</c:v>
                </c:pt>
                <c:pt idx="84">
                  <c:v>72.247274011818888</c:v>
                </c:pt>
                <c:pt idx="85">
                  <c:v>71.98470468413332</c:v>
                </c:pt>
                <c:pt idx="86">
                  <c:v>71.720139429942321</c:v>
                </c:pt>
                <c:pt idx="87">
                  <c:v>71.453545486492672</c:v>
                </c:pt>
                <c:pt idx="88">
                  <c:v>71.184891482261264</c:v>
                </c:pt>
                <c:pt idx="89">
                  <c:v>70.914147548033881</c:v>
                </c:pt>
                <c:pt idx="90">
                  <c:v>70.641285425232269</c:v>
                </c:pt>
                <c:pt idx="91">
                  <c:v>70.366278570714485</c:v>
                </c:pt>
                <c:pt idx="92">
                  <c:v>70.089102257273424</c:v>
                </c:pt>
                <c:pt idx="93">
                  <c:v>69.809733669067768</c:v>
                </c:pt>
                <c:pt idx="94">
                  <c:v>69.528151991239142</c:v>
                </c:pt>
                <c:pt idx="95">
                  <c:v>69.244338492997258</c:v>
                </c:pt>
                <c:pt idx="96">
                  <c:v>68.958276603491811</c:v>
                </c:pt>
                <c:pt idx="97">
                  <c:v>68.669951979838231</c:v>
                </c:pt>
                <c:pt idx="98">
                  <c:v>68.379352566721238</c:v>
                </c:pt>
                <c:pt idx="99">
                  <c:v>68.08646864706192</c:v>
                </c:pt>
                <c:pt idx="100">
                  <c:v>67.791292883308543</c:v>
                </c:pt>
                <c:pt idx="101">
                  <c:v>67.493820348989729</c:v>
                </c:pt>
                <c:pt idx="102">
                  <c:v>67.194048550250201</c:v>
                </c:pt>
                <c:pt idx="103">
                  <c:v>66.89197743717969</c:v>
                </c:pt>
                <c:pt idx="104">
                  <c:v>66.587609404837622</c:v>
                </c:pt>
                <c:pt idx="105">
                  <c:v>66.280949283964475</c:v>
                </c:pt>
                <c:pt idx="106">
                  <c:v>65.972004321469115</c:v>
                </c:pt>
                <c:pt idx="107">
                  <c:v>65.660784150868622</c:v>
                </c:pt>
                <c:pt idx="108">
                  <c:v>65.347300752947774</c:v>
                </c:pt>
                <c:pt idx="109">
                  <c:v>65.031568406989138</c:v>
                </c:pt>
                <c:pt idx="110">
                  <c:v>64.713603633004993</c:v>
                </c:pt>
                <c:pt idx="111">
                  <c:v>64.393425125475289</c:v>
                </c:pt>
                <c:pt idx="112">
                  <c:v>64.071053679159306</c:v>
                </c:pt>
                <c:pt idx="113">
                  <c:v>63.746512107609377</c:v>
                </c:pt>
                <c:pt idx="114">
                  <c:v>63.419825155062028</c:v>
                </c:pt>
                <c:pt idx="115">
                  <c:v>63.091019402419704</c:v>
                </c:pt>
                <c:pt idx="116">
                  <c:v>62.76012316806888</c:v>
                </c:pt>
                <c:pt idx="117">
                  <c:v>62.42716640429915</c:v>
                </c:pt>
                <c:pt idx="118">
                  <c:v>62.092180590098558</c:v>
                </c:pt>
                <c:pt idx="119">
                  <c:v>61.755198621100256</c:v>
                </c:pt>
                <c:pt idx="120">
                  <c:v>61.416254697454448</c:v>
                </c:pt>
                <c:pt idx="121">
                  <c:v>61.075384210374217</c:v>
                </c:pt>
                <c:pt idx="122">
                  <c:v>60.732623628090764</c:v>
                </c:pt>
                <c:pt idx="123">
                  <c:v>60.388010381916104</c:v>
                </c:pt>
                <c:pt idx="124">
                  <c:v>60.041582753080228</c:v>
                </c:pt>
                <c:pt idx="125">
                  <c:v>59.693379760966572</c:v>
                </c:pt>
                <c:pt idx="126">
                  <c:v>59.343441053323758</c:v>
                </c:pt>
                <c:pt idx="127">
                  <c:v>58.991806798988115</c:v>
                </c:pt>
                <c:pt idx="128">
                  <c:v>58.638517583593092</c:v>
                </c:pt>
                <c:pt idx="129">
                  <c:v>58.283614308695221</c:v>
                </c:pt>
                <c:pt idx="130">
                  <c:v>57.927138094693582</c:v>
                </c:pt>
                <c:pt idx="131">
                  <c:v>57.569130187861191</c:v>
                </c:pt>
                <c:pt idx="132">
                  <c:v>57.209631871762909</c:v>
                </c:pt>
                <c:pt idx="133">
                  <c:v>56.848684383273948</c:v>
                </c:pt>
                <c:pt idx="134">
                  <c:v>56.486328833373989</c:v>
                </c:pt>
                <c:pt idx="135">
                  <c:v>56.122606132838484</c:v>
                </c:pt>
                <c:pt idx="136">
                  <c:v>55.757556922905579</c:v>
                </c:pt>
                <c:pt idx="137">
                  <c:v>55.391221510960513</c:v>
                </c:pt>
                <c:pt idx="138">
                  <c:v>55.023639811236436</c:v>
                </c:pt>
                <c:pt idx="139">
                  <c:v>54.654851290497859</c:v>
                </c:pt>
                <c:pt idx="140">
                  <c:v>54.284894918644682</c:v>
                </c:pt>
                <c:pt idx="141">
                  <c:v>53.913809124141004</c:v>
                </c:pt>
                <c:pt idx="142">
                  <c:v>53.541631754157208</c:v>
                </c:pt>
                <c:pt idx="143">
                  <c:v>53.168400039283796</c:v>
                </c:pt>
                <c:pt idx="144">
                  <c:v>52.794150562664697</c:v>
                </c:pt>
                <c:pt idx="145">
                  <c:v>52.41891923338131</c:v>
                </c:pt>
                <c:pt idx="146">
                  <c:v>52.042741263903132</c:v>
                </c:pt>
                <c:pt idx="147">
                  <c:v>51.665651151419134</c:v>
                </c:pt>
                <c:pt idx="148">
                  <c:v>51.287682662850727</c:v>
                </c:pt>
                <c:pt idx="149">
                  <c:v>50.90886882334658</c:v>
                </c:pt>
                <c:pt idx="150">
                  <c:v>50.529241908056605</c:v>
                </c:pt>
                <c:pt idx="151">
                  <c:v>50.148833436982798</c:v>
                </c:pt>
                <c:pt idx="152">
                  <c:v>49.767674172705924</c:v>
                </c:pt>
                <c:pt idx="153">
                  <c:v>49.38579412078645</c:v>
                </c:pt>
                <c:pt idx="154">
                  <c:v>49.003222532651741</c:v>
                </c:pt>
                <c:pt idx="155">
                  <c:v>48.619987910773744</c:v>
                </c:pt>
                <c:pt idx="156">
                  <c:v>48.236118015959605</c:v>
                </c:pt>
                <c:pt idx="157">
                  <c:v>47.851639876576357</c:v>
                </c:pt>
                <c:pt idx="158">
                  <c:v>47.466579799542444</c:v>
                </c:pt>
                <c:pt idx="159">
                  <c:v>47.080963382925944</c:v>
                </c:pt>
                <c:pt idx="160">
                  <c:v>46.694815529995935</c:v>
                </c:pt>
                <c:pt idx="161">
                  <c:v>46.308160464585335</c:v>
                </c:pt>
                <c:pt idx="162">
                  <c:v>45.921021747628458</c:v>
                </c:pt>
                <c:pt idx="163">
                  <c:v>45.533422294747396</c:v>
                </c:pt>
                <c:pt idx="164">
                  <c:v>45.14538439476955</c:v>
                </c:pt>
                <c:pt idx="165">
                  <c:v>44.756929729066997</c:v>
                </c:pt>
                <c:pt idx="166">
                  <c:v>44.368079391616071</c:v>
                </c:pt>
                <c:pt idx="167">
                  <c:v>43.978853909684297</c:v>
                </c:pt>
                <c:pt idx="168">
                  <c:v>43.589273265060811</c:v>
                </c:pt>
                <c:pt idx="169">
                  <c:v>43.199356915749661</c:v>
                </c:pt>
                <c:pt idx="170">
                  <c:v>42.809123818059746</c:v>
                </c:pt>
                <c:pt idx="171">
                  <c:v>42.418592449023407</c:v>
                </c:pt>
                <c:pt idx="172">
                  <c:v>42.027780829091824</c:v>
                </c:pt>
                <c:pt idx="173">
                  <c:v>41.63670654505087</c:v>
                </c:pt>
                <c:pt idx="174">
                  <c:v>41.245386773118497</c:v>
                </c:pt>
                <c:pt idx="175">
                  <c:v>40.853838302180137</c:v>
                </c:pt>
                <c:pt idx="176">
                  <c:v>40.462077557129525</c:v>
                </c:pt>
                <c:pt idx="177">
                  <c:v>40.070120622286908</c:v>
                </c:pt>
                <c:pt idx="178">
                  <c:v>39.677983264866938</c:v>
                </c:pt>
                <c:pt idx="179">
                  <c:v>39.28568095847946</c:v>
                </c:pt>
                <c:pt idx="180">
                  <c:v>38.893228906642349</c:v>
                </c:pt>
                <c:pt idx="181">
                  <c:v>38.500642066296088</c:v>
                </c:pt>
                <c:pt idx="182">
                  <c:v>38.107935171308078</c:v>
                </c:pt>
                <c:pt idx="183">
                  <c:v>37.715122755960486</c:v>
                </c:pt>
                <c:pt idx="184">
                  <c:v>37.322219178415324</c:v>
                </c:pt>
                <c:pt idx="185">
                  <c:v>36.929238644155788</c:v>
                </c:pt>
                <c:pt idx="186">
                  <c:v>36.536195229402082</c:v>
                </c:pt>
                <c:pt idx="187">
                  <c:v>36.143102904503252</c:v>
                </c:pt>
                <c:pt idx="188">
                  <c:v>35.749975557307422</c:v>
                </c:pt>
                <c:pt idx="189">
                  <c:v>35.356827016514487</c:v>
                </c:pt>
                <c:pt idx="190">
                  <c:v>34.963671075014375</c:v>
                </c:pt>
                <c:pt idx="191">
                  <c:v>34.570521513218594</c:v>
                </c:pt>
                <c:pt idx="192">
                  <c:v>34.177392122388241</c:v>
                </c:pt>
                <c:pt idx="193">
                  <c:v>33.7842967279649</c:v>
                </c:pt>
                <c:pt idx="194">
                  <c:v>33.391249212911035</c:v>
                </c:pt>
                <c:pt idx="195">
                  <c:v>32.998263541064517</c:v>
                </c:pt>
                <c:pt idx="196">
                  <c:v>32.605353780510093</c:v>
                </c:pt>
                <c:pt idx="197">
                  <c:v>32.212534126975136</c:v>
                </c:pt>
                <c:pt idx="198">
                  <c:v>31.819818927249766</c:v>
                </c:pt>
                <c:pt idx="199">
                  <c:v>31.427222702632136</c:v>
                </c:pt>
                <c:pt idx="200">
                  <c:v>31.034760172400837</c:v>
                </c:pt>
                <c:pt idx="201">
                  <c:v>30.642446277310089</c:v>
                </c:pt>
                <c:pt idx="202">
                  <c:v>30.250296203103719</c:v>
                </c:pt>
                <c:pt idx="203">
                  <c:v>29.85832540404008</c:v>
                </c:pt>
                <c:pt idx="204">
                  <c:v>29.466549626420615</c:v>
                </c:pt>
                <c:pt idx="205">
                  <c:v>29.074984932104133</c:v>
                </c:pt>
                <c:pt idx="206">
                  <c:v>28.683647721996401</c:v>
                </c:pt>
                <c:pt idx="207">
                  <c:v>28.292554759488731</c:v>
                </c:pt>
                <c:pt idx="208">
                  <c:v>27.901723193825934</c:v>
                </c:pt>
                <c:pt idx="209">
                  <c:v>27.51117058337266</c:v>
                </c:pt>
                <c:pt idx="210">
                  <c:v>27.120914918743967</c:v>
                </c:pt>
                <c:pt idx="211">
                  <c:v>26.73097464576373</c:v>
                </c:pt>
                <c:pt idx="212">
                  <c:v>26.341368688204533</c:v>
                </c:pt>
                <c:pt idx="213">
                  <c:v>25.952116470259135</c:v>
                </c:pt>
                <c:pt idx="214">
                  <c:v>25.563237938689923</c:v>
                </c:pt>
                <c:pt idx="215">
                  <c:v>25.17475358458972</c:v>
                </c:pt>
                <c:pt idx="216">
                  <c:v>24.78668446468733</c:v>
                </c:pt>
                <c:pt idx="217">
                  <c:v>24.399052222118975</c:v>
                </c:pt>
                <c:pt idx="218">
                  <c:v>24.01187910658318</c:v>
                </c:pt>
                <c:pt idx="219">
                  <c:v>23.625187993784603</c:v>
                </c:pt>
                <c:pt idx="220">
                  <c:v>23.239002404068962</c:v>
                </c:pt>
                <c:pt idx="221">
                  <c:v>22.853346520137727</c:v>
                </c:pt>
                <c:pt idx="222">
                  <c:v>22.468245203729285</c:v>
                </c:pt>
                <c:pt idx="223">
                  <c:v>22.083724011136958</c:v>
                </c:pt>
                <c:pt idx="224">
                  <c:v>21.699809207432068</c:v>
                </c:pt>
                <c:pt idx="225">
                  <c:v>21.316527779250016</c:v>
                </c:pt>
                <c:pt idx="226">
                  <c:v>20.933907445984392</c:v>
                </c:pt>
                <c:pt idx="227">
                  <c:v>20.5519766692343</c:v>
                </c:pt>
                <c:pt idx="228">
                  <c:v>20.170764660334342</c:v>
                </c:pt>
                <c:pt idx="229">
                  <c:v>19.790301385791512</c:v>
                </c:pt>
                <c:pt idx="230">
                  <c:v>19.410617570450132</c:v>
                </c:pt>
                <c:pt idx="231">
                  <c:v>19.031744698193286</c:v>
                </c:pt>
                <c:pt idx="232">
                  <c:v>18.653715009990272</c:v>
                </c:pt>
                <c:pt idx="233">
                  <c:v>18.276561499087904</c:v>
                </c:pt>
                <c:pt idx="234">
                  <c:v>17.900317903149659</c:v>
                </c:pt>
                <c:pt idx="235">
                  <c:v>17.525018693136609</c:v>
                </c:pt>
                <c:pt idx="236">
                  <c:v>17.150699058728364</c:v>
                </c:pt>
                <c:pt idx="237">
                  <c:v>16.77739489008481</c:v>
                </c:pt>
                <c:pt idx="238">
                  <c:v>16.405142755749896</c:v>
                </c:pt>
                <c:pt idx="239">
                  <c:v>16.033979876508649</c:v>
                </c:pt>
                <c:pt idx="240">
                  <c:v>15.663944095015802</c:v>
                </c:pt>
                <c:pt idx="241">
                  <c:v>15.295073841023019</c:v>
                </c:pt>
                <c:pt idx="242">
                  <c:v>14.927408092053264</c:v>
                </c:pt>
                <c:pt idx="243">
                  <c:v>14.560986329380611</c:v>
                </c:pt>
                <c:pt idx="244">
                  <c:v>14.195848489197525</c:v>
                </c:pt>
                <c:pt idx="245">
                  <c:v>13.832034908876864</c:v>
                </c:pt>
                <c:pt idx="246">
                  <c:v>13.469586268261409</c:v>
                </c:pt>
                <c:pt idx="247">
                  <c:v>13.108543525943697</c:v>
                </c:pt>
                <c:pt idx="248">
                  <c:v>12.748947850536345</c:v>
                </c:pt>
                <c:pt idx="249">
                  <c:v>12.390840546965556</c:v>
                </c:pt>
                <c:pt idx="250">
                  <c:v>12.034262977866879</c:v>
                </c:pt>
                <c:pt idx="251">
                  <c:v>11.679256480200838</c:v>
                </c:pt>
                <c:pt idx="252">
                  <c:v>11.325862277257118</c:v>
                </c:pt>
                <c:pt idx="253">
                  <c:v>10.974121386259149</c:v>
                </c:pt>
                <c:pt idx="254">
                  <c:v>10.624074521838295</c:v>
                </c:pt>
                <c:pt idx="255">
                  <c:v>10.275761995693159</c:v>
                </c:pt>
                <c:pt idx="256">
                  <c:v>9.9292236128057212</c:v>
                </c:pt>
                <c:pt idx="257">
                  <c:v>9.584498564637963</c:v>
                </c:pt>
                <c:pt idx="258">
                  <c:v>9.2416253197838696</c:v>
                </c:pt>
                <c:pt idx="259">
                  <c:v>8.9006415126058371</c:v>
                </c:pt>
                <c:pt idx="260">
                  <c:v>8.5615838304284058</c:v>
                </c:pt>
                <c:pt idx="261">
                  <c:v>8.2244878999130062</c:v>
                </c:pt>
                <c:pt idx="262">
                  <c:v>7.8893881732737405</c:v>
                </c:pt>
                <c:pt idx="263">
                  <c:v>7.5563178150340011</c:v>
                </c:pt>
                <c:pt idx="264">
                  <c:v>7.225308590052709</c:v>
                </c:pt>
                <c:pt idx="265">
                  <c:v>6.8963907535732449</c:v>
                </c:pt>
                <c:pt idx="266">
                  <c:v>6.5695929440642047</c:v>
                </c:pt>
                <c:pt idx="267">
                  <c:v>6.2449420796289008</c:v>
                </c:pt>
                <c:pt idx="268">
                  <c:v>5.9224632587604695</c:v>
                </c:pt>
                <c:pt idx="269">
                  <c:v>5.6021796662096985</c:v>
                </c:pt>
                <c:pt idx="270">
                  <c:v>5.2841124847124989</c:v>
                </c:pt>
                <c:pt idx="271">
                  <c:v>4.9682808132958201</c:v>
                </c:pt>
                <c:pt idx="272">
                  <c:v>4.6547015928421933</c:v>
                </c:pt>
                <c:pt idx="273">
                  <c:v>4.3433895395458419</c:v>
                </c:pt>
                <c:pt idx="274">
                  <c:v>4.0343570868350938</c:v>
                </c:pt>
                <c:pt idx="275">
                  <c:v>3.7276143362732035</c:v>
                </c:pt>
                <c:pt idx="276">
                  <c:v>3.4231690178754852</c:v>
                </c:pt>
                <c:pt idx="277">
                  <c:v>3.1210264602036841</c:v>
                </c:pt>
                <c:pt idx="278">
                  <c:v>2.8211895705114904</c:v>
                </c:pt>
                <c:pt idx="279">
                  <c:v>2.5236588251305161</c:v>
                </c:pt>
                <c:pt idx="280">
                  <c:v>2.2284322701921551</c:v>
                </c:pt>
                <c:pt idx="281">
                  <c:v>1.9355055326876991</c:v>
                </c:pt>
                <c:pt idx="282">
                  <c:v>1.6448718417796317</c:v>
                </c:pt>
                <c:pt idx="283">
                  <c:v>1.3565220601819821</c:v>
                </c:pt>
                <c:pt idx="284">
                  <c:v>1.0704447253417322</c:v>
                </c:pt>
                <c:pt idx="285">
                  <c:v>0.78662610006782896</c:v>
                </c:pt>
                <c:pt idx="286">
                  <c:v>0.5050502321750826</c:v>
                </c:pt>
                <c:pt idx="287">
                  <c:v>0.22569902263926159</c:v>
                </c:pt>
                <c:pt idx="288">
                  <c:v>-5.1447698307369394E-2</c:v>
                </c:pt>
                <c:pt idx="289">
                  <c:v>-0.32641208776626746</c:v>
                </c:pt>
                <c:pt idx="290">
                  <c:v>-0.59921820012385951</c:v>
                </c:pt>
                <c:pt idx="291">
                  <c:v>-0.86989189107569143</c:v>
                </c:pt>
                <c:pt idx="292">
                  <c:v>-1.1384607164685752</c:v>
                </c:pt>
                <c:pt idx="293">
                  <c:v>-1.4049538267202002</c:v>
                </c:pt>
                <c:pt idx="294">
                  <c:v>-1.669401857589935</c:v>
                </c:pt>
                <c:pt idx="295">
                  <c:v>-1.9318368180741199</c:v>
                </c:pt>
                <c:pt idx="296">
                  <c:v>-2.1922919761899267</c:v>
                </c:pt>
                <c:pt idx="297">
                  <c:v>-2.4508017433976601</c:v>
                </c:pt>
                <c:pt idx="298">
                  <c:v>-2.7074015583865139</c:v>
                </c:pt>
                <c:pt idx="299">
                  <c:v>-2.9621277709201612</c:v>
                </c:pt>
                <c:pt idx="300">
                  <c:v>-3.2150175263991434</c:v>
                </c:pt>
                <c:pt idx="301">
                  <c:v>-3.4661086517586925</c:v>
                </c:pt>
                <c:pt idx="302">
                  <c:v>-3.7154395432747656</c:v>
                </c:pt>
                <c:pt idx="303">
                  <c:v>-3.9630490568003065</c:v>
                </c:pt>
                <c:pt idx="304">
                  <c:v>-4.208976400904997</c:v>
                </c:pt>
                <c:pt idx="305">
                  <c:v>-4.4532610333394098</c:v>
                </c:pt>
                <c:pt idx="306">
                  <c:v>-4.69594256118764</c:v>
                </c:pt>
                <c:pt idx="307">
                  <c:v>-4.9370606450276178</c:v>
                </c:pt>
                <c:pt idx="308">
                  <c:v>-5.1766549073536616</c:v>
                </c:pt>
                <c:pt idx="309">
                  <c:v>-5.41476484547852</c:v>
                </c:pt>
                <c:pt idx="310">
                  <c:v>-5.6514297490732872</c:v>
                </c:pt>
                <c:pt idx="311">
                  <c:v>-5.8866886224597694</c:v>
                </c:pt>
                <c:pt idx="312">
                  <c:v>-6.1205801117289429</c:v>
                </c:pt>
                <c:pt idx="313">
                  <c:v>-6.3531424367133882</c:v>
                </c:pt>
                <c:pt idx="314">
                  <c:v>-6.5844133278067405</c:v>
                </c:pt>
                <c:pt idx="315">
                  <c:v>-6.8144299675880484</c:v>
                </c:pt>
                <c:pt idx="316">
                  <c:v>-7.0432289371778722</c:v>
                </c:pt>
                <c:pt idx="317">
                  <c:v>-7.2708461672257974</c:v>
                </c:pt>
                <c:pt idx="318">
                  <c:v>-7.4973168934021919</c:v>
                </c:pt>
                <c:pt idx="319">
                  <c:v>-7.7226756162526584</c:v>
                </c:pt>
                <c:pt idx="320">
                  <c:v>-7.9469560652469777</c:v>
                </c:pt>
                <c:pt idx="321">
                  <c:v>-8.1701911668473048</c:v>
                </c:pt>
                <c:pt idx="322">
                  <c:v>-8.3924130164055448</c:v>
                </c:pt>
                <c:pt idx="323">
                  <c:v>-8.6136528536899064</c:v>
                </c:pt>
                <c:pt idx="324">
                  <c:v>-8.8339410418372637</c:v>
                </c:pt>
                <c:pt idx="325">
                  <c:v>-9.053307049520134</c:v>
                </c:pt>
                <c:pt idx="326">
                  <c:v>-9.2717794361177823</c:v>
                </c:pt>
                <c:pt idx="327">
                  <c:v>-9.4893858396797413</c:v>
                </c:pt>
                <c:pt idx="328">
                  <c:v>-9.7061529674711124</c:v>
                </c:pt>
                <c:pt idx="329">
                  <c:v>-9.9221065888936781</c:v>
                </c:pt>
                <c:pt idx="330">
                  <c:v>-10.137271530577054</c:v>
                </c:pt>
                <c:pt idx="331">
                  <c:v>-10.35167167344559</c:v>
                </c:pt>
                <c:pt idx="332">
                  <c:v>-10.565329951566778</c:v>
                </c:pt>
                <c:pt idx="333">
                  <c:v>-10.778268352598433</c:v>
                </c:pt>
                <c:pt idx="334">
                  <c:v>-10.990507919657365</c:v>
                </c:pt>
                <c:pt idx="335">
                  <c:v>-11.202068754440145</c:v>
                </c:pt>
                <c:pt idx="336">
                  <c:v>-11.412970021436941</c:v>
                </c:pt>
                <c:pt idx="337">
                  <c:v>-11.623229953086385</c:v>
                </c:pt>
                <c:pt idx="338">
                  <c:v>-11.832865855730056</c:v>
                </c:pt>
                <c:pt idx="339">
                  <c:v>-12.04189411623117</c:v>
                </c:pt>
                <c:pt idx="340">
                  <c:v>-12.25033020913591</c:v>
                </c:pt>
                <c:pt idx="341">
                  <c:v>-12.458188704260387</c:v>
                </c:pt>
                <c:pt idx="342">
                  <c:v>-12.665483274598383</c:v>
                </c:pt>
                <c:pt idx="343">
                  <c:v>-12.872226704451409</c:v>
                </c:pt>
                <c:pt idx="344">
                  <c:v>-13.078430897694455</c:v>
                </c:pt>
                <c:pt idx="345">
                  <c:v>-13.284106886095801</c:v>
                </c:pt>
                <c:pt idx="346">
                  <c:v>-13.489264837621873</c:v>
                </c:pt>
                <c:pt idx="347">
                  <c:v>-13.693914064661287</c:v>
                </c:pt>
                <c:pt idx="348">
                  <c:v>-13.898063032116745</c:v>
                </c:pt>
                <c:pt idx="349">
                  <c:v>-14.101719365314874</c:v>
                </c:pt>
                <c:pt idx="350">
                  <c:v>-14.304889857697471</c:v>
                </c:pt>
                <c:pt idx="351">
                  <c:v>-14.50758047826054</c:v>
                </c:pt>
                <c:pt idx="352">
                  <c:v>-14.709796378720073</c:v>
                </c:pt>
                <c:pt idx="353">
                  <c:v>-14.91154190038513</c:v>
                </c:pt>
                <c:pt idx="354">
                  <c:v>-15.112820580732985</c:v>
                </c:pt>
                <c:pt idx="355">
                  <c:v>-15.313635159680548</c:v>
                </c:pt>
                <c:pt idx="356">
                  <c:v>-15.513987585562163</c:v>
                </c:pt>
                <c:pt idx="357">
                  <c:v>-15.71387902082275</c:v>
                </c:pt>
                <c:pt idx="358">
                  <c:v>-15.913309847449035</c:v>
                </c:pt>
                <c:pt idx="359">
                  <c:v>-16.112279672165588</c:v>
                </c:pt>
                <c:pt idx="360">
                  <c:v>-16.310787331430308</c:v>
                </c:pt>
                <c:pt idx="361">
                  <c:v>-16.508830896272187</c:v>
                </c:pt>
                <c:pt idx="362">
                  <c:v>-16.706407677020753</c:v>
                </c:pt>
                <c:pt idx="363">
                  <c:v>-16.903514227985507</c:v>
                </c:pt>
                <c:pt idx="364">
                  <c:v>-17.100146352149892</c:v>
                </c:pt>
                <c:pt idx="365">
                  <c:v>-17.296299105954201</c:v>
                </c:pt>
                <c:pt idx="366">
                  <c:v>-17.49196680424804</c:v>
                </c:pt>
                <c:pt idx="367">
                  <c:v>-17.687143025502614</c:v>
                </c:pt>
                <c:pt idx="368">
                  <c:v>-17.881820617382296</c:v>
                </c:pt>
                <c:pt idx="369">
                  <c:v>-18.075991702780055</c:v>
                </c:pt>
                <c:pt idx="370">
                  <c:v>-18.269647686434801</c:v>
                </c:pt>
                <c:pt idx="371">
                  <c:v>-18.462779262254791</c:v>
                </c:pt>
                <c:pt idx="372">
                  <c:v>-18.655376421479868</c:v>
                </c:pt>
                <c:pt idx="373">
                  <c:v>-18.847428461826631</c:v>
                </c:pt>
                <c:pt idx="374">
                  <c:v>-19.038923997767906</c:v>
                </c:pt>
                <c:pt idx="375">
                  <c:v>-19.229850972107577</c:v>
                </c:pt>
                <c:pt idx="376">
                  <c:v>-19.420196669020761</c:v>
                </c:pt>
                <c:pt idx="377">
                  <c:v>-19.609947728737261</c:v>
                </c:pt>
                <c:pt idx="378">
                  <c:v>-19.799090164057517</c:v>
                </c:pt>
                <c:pt idx="379">
                  <c:v>-19.98760937889335</c:v>
                </c:pt>
                <c:pt idx="380">
                  <c:v>-20.175490189039319</c:v>
                </c:pt>
                <c:pt idx="381">
                  <c:v>-20.362716845381492</c:v>
                </c:pt>
                <c:pt idx="382">
                  <c:v>-20.549273059762037</c:v>
                </c:pt>
                <c:pt idx="383">
                  <c:v>-20.735142033718667</c:v>
                </c:pt>
                <c:pt idx="384">
                  <c:v>-20.920306490325167</c:v>
                </c:pt>
                <c:pt idx="385">
                  <c:v>-21.104748709360031</c:v>
                </c:pt>
                <c:pt idx="386">
                  <c:v>-21.288450566032143</c:v>
                </c:pt>
                <c:pt idx="387">
                  <c:v>-21.471393573492207</c:v>
                </c:pt>
                <c:pt idx="388">
                  <c:v>-21.653558929355334</c:v>
                </c:pt>
                <c:pt idx="389">
                  <c:v>-21.834927566455956</c:v>
                </c:pt>
                <c:pt idx="390">
                  <c:v>-22.015480208048391</c:v>
                </c:pt>
                <c:pt idx="391">
                  <c:v>-22.195197427658982</c:v>
                </c:pt>
                <c:pt idx="392">
                  <c:v>-22.374059713778532</c:v>
                </c:pt>
                <c:pt idx="393">
                  <c:v>-22.552047539574108</c:v>
                </c:pt>
                <c:pt idx="394">
                  <c:v>-22.729141437773798</c:v>
                </c:pt>
                <c:pt idx="395">
                  <c:v>-22.905322080861573</c:v>
                </c:pt>
                <c:pt idx="396">
                  <c:v>-23.080570366688484</c:v>
                </c:pt>
                <c:pt idx="397">
                  <c:v>-23.254867509580382</c:v>
                </c:pt>
                <c:pt idx="398">
                  <c:v>-23.428195136985458</c:v>
                </c:pt>
                <c:pt idx="399">
                  <c:v>-23.60053539167108</c:v>
                </c:pt>
                <c:pt idx="400">
                  <c:v>-23.771871039434377</c:v>
                </c:pt>
                <c:pt idx="401">
                  <c:v>-23.942185582249913</c:v>
                </c:pt>
                <c:pt idx="402">
                  <c:v>-24.111463376725702</c:v>
                </c:pt>
                <c:pt idx="403">
                  <c:v>-24.27968975769058</c:v>
                </c:pt>
                <c:pt idx="404">
                  <c:v>-24.446851166677273</c:v>
                </c:pt>
                <c:pt idx="405">
                  <c:v>-24.612935285012853</c:v>
                </c:pt>
                <c:pt idx="406">
                  <c:v>-24.777931171162884</c:v>
                </c:pt>
                <c:pt idx="407">
                  <c:v>-24.941829401920486</c:v>
                </c:pt>
                <c:pt idx="408">
                  <c:v>-25.104622216963524</c:v>
                </c:pt>
                <c:pt idx="409">
                  <c:v>-25.266303666246294</c:v>
                </c:pt>
                <c:pt idx="410">
                  <c:v>-25.426869759624875</c:v>
                </c:pt>
                <c:pt idx="411">
                  <c:v>-25.586318618058325</c:v>
                </c:pt>
                <c:pt idx="412">
                  <c:v>-25.744650625668971</c:v>
                </c:pt>
                <c:pt idx="413">
                  <c:v>-25.901868581886699</c:v>
                </c:pt>
                <c:pt idx="414">
                  <c:v>-26.057977852856268</c:v>
                </c:pt>
                <c:pt idx="415">
                  <c:v>-26.212986521234363</c:v>
                </c:pt>
                <c:pt idx="416">
                  <c:v>-26.366905533468188</c:v>
                </c:pt>
                <c:pt idx="417">
                  <c:v>-26.519748843608305</c:v>
                </c:pt>
                <c:pt idx="418">
                  <c:v>-26.671533552685545</c:v>
                </c:pt>
                <c:pt idx="419">
                  <c:v>-26.822280042663706</c:v>
                </c:pt>
                <c:pt idx="420">
                  <c:v>-26.972012103966815</c:v>
                </c:pt>
                <c:pt idx="421">
                  <c:v>-27.120757055581791</c:v>
                </c:pt>
                <c:pt idx="422">
                  <c:v>-27.268545856747188</c:v>
                </c:pt>
                <c:pt idx="423">
                  <c:v>-27.41541320925371</c:v>
                </c:pt>
                <c:pt idx="424">
                  <c:v>-27.561397649413358</c:v>
                </c:pt>
                <c:pt idx="425">
                  <c:v>-27.706541628790887</c:v>
                </c:pt>
                <c:pt idx="426">
                  <c:v>-27.850891582835835</c:v>
                </c:pt>
                <c:pt idx="427">
                  <c:v>-27.994497986610725</c:v>
                </c:pt>
                <c:pt idx="428">
                  <c:v>-28.137415396872576</c:v>
                </c:pt>
                <c:pt idx="429">
                  <c:v>-28.2797024798362</c:v>
                </c:pt>
                <c:pt idx="430">
                  <c:v>-28.421422024020522</c:v>
                </c:pt>
                <c:pt idx="431">
                  <c:v>-28.56264093766551</c:v>
                </c:pt>
                <c:pt idx="432">
                  <c:v>-28.703430230289115</c:v>
                </c:pt>
                <c:pt idx="433">
                  <c:v>-28.843864978044177</c:v>
                </c:pt>
                <c:pt idx="434">
                  <c:v>-28.984024272625717</c:v>
                </c:pt>
                <c:pt idx="435">
                  <c:v>-29.123991153571307</c:v>
                </c:pt>
                <c:pt idx="436">
                  <c:v>-29.263852523890566</c:v>
                </c:pt>
                <c:pt idx="437">
                  <c:v>-29.403699049048711</c:v>
                </c:pt>
                <c:pt idx="438">
                  <c:v>-29.543625039423588</c:v>
                </c:pt>
                <c:pt idx="439">
                  <c:v>-29.683728316439716</c:v>
                </c:pt>
                <c:pt idx="440">
                  <c:v>-29.824110062671785</c:v>
                </c:pt>
                <c:pt idx="441">
                  <c:v>-29.964874656291556</c:v>
                </c:pt>
                <c:pt idx="442">
                  <c:v>-30.106129490311243</c:v>
                </c:pt>
                <c:pt idx="443">
                  <c:v>-30.247984777156397</c:v>
                </c:pt>
                <c:pt idx="444">
                  <c:v>-30.390553339170857</c:v>
                </c:pt>
                <c:pt idx="445">
                  <c:v>-30.533950385730741</c:v>
                </c:pt>
                <c:pt idx="446">
                  <c:v>-30.678293277710512</c:v>
                </c:pt>
                <c:pt idx="447">
                  <c:v>-30.823701280110974</c:v>
                </c:pt>
                <c:pt idx="448">
                  <c:v>-30.970295303722516</c:v>
                </c:pt>
                <c:pt idx="449">
                  <c:v>-31.118197636758801</c:v>
                </c:pt>
                <c:pt idx="450">
                  <c:v>-31.267531667456439</c:v>
                </c:pt>
                <c:pt idx="451">
                  <c:v>-31.418421598695822</c:v>
                </c:pt>
                <c:pt idx="452">
                  <c:v>-31.570992155755278</c:v>
                </c:pt>
                <c:pt idx="453">
                  <c:v>-31.725368288367712</c:v>
                </c:pt>
                <c:pt idx="454">
                  <c:v>-31.881674868303499</c:v>
                </c:pt>
                <c:pt idx="455">
                  <c:v>-32.040036383757105</c:v>
                </c:pt>
                <c:pt idx="456">
                  <c:v>-32.200576631863619</c:v>
                </c:pt>
                <c:pt idx="457">
                  <c:v>-32.36341841072268</c:v>
                </c:pt>
                <c:pt idx="458">
                  <c:v>-32.528683212346074</c:v>
                </c:pt>
                <c:pt idx="459">
                  <c:v>-32.696490917987887</c:v>
                </c:pt>
                <c:pt idx="460">
                  <c:v>-32.866959497346791</c:v>
                </c:pt>
                <c:pt idx="461">
                  <c:v>-33.040204713155525</c:v>
                </c:pt>
                <c:pt idx="462">
                  <c:v>-33.216339832690373</c:v>
                </c:pt>
                <c:pt idx="463">
                  <c:v>-33.395475347739001</c:v>
                </c:pt>
                <c:pt idx="464">
                  <c:v>-33.577718704562187</c:v>
                </c:pt>
                <c:pt idx="465">
                  <c:v>-33.763174045368011</c:v>
                </c:pt>
                <c:pt idx="466">
                  <c:v>-33.951941962788098</c:v>
                </c:pt>
                <c:pt idx="467">
                  <c:v>-34.144119268799841</c:v>
                </c:pt>
                <c:pt idx="468">
                  <c:v>-34.339798779482528</c:v>
                </c:pt>
                <c:pt idx="469">
                  <c:v>-34.539069116918093</c:v>
                </c:pt>
                <c:pt idx="470">
                  <c:v>-34.742014529460896</c:v>
                </c:pt>
                <c:pt idx="471">
                  <c:v>-34.948714731491727</c:v>
                </c:pt>
                <c:pt idx="472">
                  <c:v>-35.159244763656112</c:v>
                </c:pt>
                <c:pt idx="473">
                  <c:v>-35.373674874448447</c:v>
                </c:pt>
                <c:pt idx="474">
                  <c:v>-35.592070423860804</c:v>
                </c:pt>
                <c:pt idx="475">
                  <c:v>-35.814491809652793</c:v>
                </c:pt>
                <c:pt idx="476">
                  <c:v>-36.040994416634824</c:v>
                </c:pt>
                <c:pt idx="477">
                  <c:v>-36.271628589177915</c:v>
                </c:pt>
                <c:pt idx="478">
                  <c:v>-36.506439626984083</c:v>
                </c:pt>
                <c:pt idx="479">
                  <c:v>-36.745467803966761</c:v>
                </c:pt>
                <c:pt idx="480">
                  <c:v>-36.988748409903629</c:v>
                </c:pt>
                <c:pt idx="481">
                  <c:v>-37.23631181434569</c:v>
                </c:pt>
                <c:pt idx="482">
                  <c:v>-37.488183552082674</c:v>
                </c:pt>
                <c:pt idx="483">
                  <c:v>-37.744384429297575</c:v>
                </c:pt>
                <c:pt idx="484">
                  <c:v>-38.004930649379347</c:v>
                </c:pt>
                <c:pt idx="485">
                  <c:v>-38.269833957211233</c:v>
                </c:pt>
                <c:pt idx="486">
                  <c:v>-38.539101800617843</c:v>
                </c:pt>
                <c:pt idx="487">
                  <c:v>-38.812737507529363</c:v>
                </c:pt>
                <c:pt idx="488">
                  <c:v>-39.090740477316139</c:v>
                </c:pt>
                <c:pt idx="489">
                  <c:v>-39.373106384660481</c:v>
                </c:pt>
                <c:pt idx="490">
                  <c:v>-39.659827394261995</c:v>
                </c:pt>
                <c:pt idx="491">
                  <c:v>-39.95089238461955</c:v>
                </c:pt>
                <c:pt idx="492">
                  <c:v>-40.246287179103895</c:v>
                </c:pt>
                <c:pt idx="493">
                  <c:v>-40.545994782517177</c:v>
                </c:pt>
                <c:pt idx="494">
                  <c:v>-40.849995621342927</c:v>
                </c:pt>
                <c:pt idx="495">
                  <c:v>-41.158267785907029</c:v>
                </c:pt>
                <c:pt idx="496">
                  <c:v>-41.47078727270933</c:v>
                </c:pt>
                <c:pt idx="497">
                  <c:v>-41.787528225235128</c:v>
                </c:pt>
                <c:pt idx="498">
                  <c:v>-42.108463171621928</c:v>
                </c:pt>
                <c:pt idx="499">
                  <c:v>-42.433563257630837</c:v>
                </c:pt>
                <c:pt idx="500">
                  <c:v>-42.762798473462134</c:v>
                </c:pt>
                <c:pt idx="501">
                  <c:v>-43.096137873045414</c:v>
                </c:pt>
                <c:pt idx="502">
                  <c:v>-43.43354978454326</c:v>
                </c:pt>
                <c:pt idx="503">
                  <c:v>-43.775002010909525</c:v>
                </c:pt>
                <c:pt idx="504">
                  <c:v>-44.120462019460625</c:v>
                </c:pt>
                <c:pt idx="505">
                  <c:v>-44.469897119533435</c:v>
                </c:pt>
                <c:pt idx="506">
                  <c:v>-44.82327462741749</c:v>
                </c:pt>
                <c:pt idx="507">
                  <c:v>-45.180562017872418</c:v>
                </c:pt>
                <c:pt idx="508">
                  <c:v>-45.541727061655564</c:v>
                </c:pt>
                <c:pt idx="509">
                  <c:v>-45.906737948604686</c:v>
                </c:pt>
                <c:pt idx="510">
                  <c:v>-46.275563395933368</c:v>
                </c:pt>
                <c:pt idx="511">
                  <c:v>-46.648172741511551</c:v>
                </c:pt>
                <c:pt idx="512">
                  <c:v>-47.024536022013812</c:v>
                </c:pt>
                <c:pt idx="513">
                  <c:v>-47.404624035924002</c:v>
                </c:pt>
                <c:pt idx="514">
                  <c:v>-47.78840839149008</c:v>
                </c:pt>
                <c:pt idx="515">
                  <c:v>-48.175861539821618</c:v>
                </c:pt>
                <c:pt idx="516">
                  <c:v>-48.566956793421042</c:v>
                </c:pt>
                <c:pt idx="517">
                  <c:v>-48.961668330530735</c:v>
                </c:pt>
                <c:pt idx="518">
                  <c:v>-49.359971185765247</c:v>
                </c:pt>
                <c:pt idx="519">
                  <c:v>-49.761841227586885</c:v>
                </c:pt>
                <c:pt idx="520">
                  <c:v>-50.167255123257597</c:v>
                </c:pt>
                <c:pt idx="521">
                  <c:v>-50.576190291977873</c:v>
                </c:pt>
                <c:pt idx="522">
                  <c:v>-50.988624846994256</c:v>
                </c:pt>
                <c:pt idx="523">
                  <c:v>-51.404537527520702</c:v>
                </c:pt>
                <c:pt idx="524">
                  <c:v>-51.823907621382197</c:v>
                </c:pt>
                <c:pt idx="525">
                  <c:v>-52.246714879337048</c:v>
                </c:pt>
                <c:pt idx="526">
                  <c:v>-52.672939422087602</c:v>
                </c:pt>
                <c:pt idx="527">
                  <c:v>-53.102561641027947</c:v>
                </c:pt>
                <c:pt idx="528">
                  <c:v>-53.535562093807343</c:v>
                </c:pt>
                <c:pt idx="529">
                  <c:v>-53.971921395821518</c:v>
                </c:pt>
                <c:pt idx="530">
                  <c:v>-54.411620108748764</c:v>
                </c:pt>
                <c:pt idx="531">
                  <c:v>-54.854638627270269</c:v>
                </c:pt>
                <c:pt idx="532">
                  <c:v>-55.300957065099929</c:v>
                </c:pt>
                <c:pt idx="533">
                  <c:v>-55.750555141450775</c:v>
                </c:pt>
                <c:pt idx="534">
                  <c:v>-56.203412069032282</c:v>
                </c:pt>
                <c:pt idx="535">
                  <c:v>-56.659506444652543</c:v>
                </c:pt>
                <c:pt idx="536">
                  <c:v>-57.118816143453152</c:v>
                </c:pt>
                <c:pt idx="537">
                  <c:v>-57.581318217758252</c:v>
                </c:pt>
                <c:pt idx="538">
                  <c:v>-58.046988801454724</c:v>
                </c:pt>
                <c:pt idx="539">
                  <c:v>-58.515803020757815</c:v>
                </c:pt>
                <c:pt idx="540">
                  <c:v>-58.987734912133845</c:v>
                </c:pt>
                <c:pt idx="541">
                  <c:v>-59.462757348071122</c:v>
                </c:pt>
              </c:numCache>
            </c:numRef>
          </c:yVal>
          <c:smooth val="1"/>
          <c:extLst>
            <c:ext xmlns:c16="http://schemas.microsoft.com/office/drawing/2014/chart" uri="{C3380CC4-5D6E-409C-BE32-E72D297353CC}">
              <c16:uniqueId val="{00000000-681E-4A6D-8667-FCC119565DEF}"/>
            </c:ext>
          </c:extLst>
        </c:ser>
        <c:dLbls>
          <c:showLegendKey val="0"/>
          <c:showVal val="0"/>
          <c:showCatName val="0"/>
          <c:showSerName val="0"/>
          <c:showPercent val="0"/>
          <c:showBubbleSize val="0"/>
        </c:dLbls>
        <c:axId val="75975680"/>
        <c:axId val="76006528"/>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Loop_Modeling!$AU$19:$AU$560</c:f>
              <c:numCache>
                <c:formatCode>General</c:formatCode>
                <c:ptCount val="542"/>
                <c:pt idx="0">
                  <c:v>84.582269410802226</c:v>
                </c:pt>
                <c:pt idx="1">
                  <c:v>84.456891131696281</c:v>
                </c:pt>
                <c:pt idx="2">
                  <c:v>84.328650372960141</c:v>
                </c:pt>
                <c:pt idx="3">
                  <c:v>84.197484547370024</c:v>
                </c:pt>
                <c:pt idx="4">
                  <c:v>84.06332989546469</c:v>
                </c:pt>
                <c:pt idx="5">
                  <c:v>83.926121477851439</c:v>
                </c:pt>
                <c:pt idx="6">
                  <c:v>83.785793168640637</c:v>
                </c:pt>
                <c:pt idx="7">
                  <c:v>83.642277650113499</c:v>
                </c:pt>
                <c:pt idx="8">
                  <c:v>83.49550640874142</c:v>
                </c:pt>
                <c:pt idx="9">
                  <c:v>83.345409732677751</c:v>
                </c:pt>
                <c:pt idx="10">
                  <c:v>83.191916710853235</c:v>
                </c:pt>
                <c:pt idx="11">
                  <c:v>83.034955233814244</c:v>
                </c:pt>
                <c:pt idx="12">
                  <c:v>82.874451996449977</c:v>
                </c:pt>
                <c:pt idx="13">
                  <c:v>82.710332502765326</c:v>
                </c:pt>
                <c:pt idx="14">
                  <c:v>82.542521072864815</c:v>
                </c:pt>
                <c:pt idx="15">
                  <c:v>82.370940852320928</c:v>
                </c:pt>
                <c:pt idx="16">
                  <c:v>82.195513824113391</c:v>
                </c:pt>
                <c:pt idx="17">
                  <c:v>82.016160823332442</c:v>
                </c:pt>
                <c:pt idx="18">
                  <c:v>81.832801554851969</c:v>
                </c:pt>
                <c:pt idx="19">
                  <c:v>81.645354614188491</c:v>
                </c:pt>
                <c:pt idx="20">
                  <c:v>81.453737511772673</c:v>
                </c:pt>
                <c:pt idx="21">
                  <c:v>81.257866700871588</c:v>
                </c:pt>
                <c:pt idx="22">
                  <c:v>81.057657609411535</c:v>
                </c:pt>
                <c:pt idx="23">
                  <c:v>80.853024675961009</c:v>
                </c:pt>
                <c:pt idx="24">
                  <c:v>80.643881390148536</c:v>
                </c:pt>
                <c:pt idx="25">
                  <c:v>80.430140337796658</c:v>
                </c:pt>
                <c:pt idx="26">
                  <c:v>80.211713251070108</c:v>
                </c:pt>
                <c:pt idx="27">
                  <c:v>79.988511063941615</c:v>
                </c:pt>
                <c:pt idx="28">
                  <c:v>79.760443973296006</c:v>
                </c:pt>
                <c:pt idx="29">
                  <c:v>79.527421505997921</c:v>
                </c:pt>
                <c:pt idx="30">
                  <c:v>79.289352592261693</c:v>
                </c:pt>
                <c:pt idx="31">
                  <c:v>79.046145645670734</c:v>
                </c:pt>
                <c:pt idx="32">
                  <c:v>78.797708650200789</c:v>
                </c:pt>
                <c:pt idx="33">
                  <c:v>78.54394925461078</c:v>
                </c:pt>
                <c:pt idx="34">
                  <c:v>78.284774874567546</c:v>
                </c:pt>
                <c:pt idx="35">
                  <c:v>78.020092802879574</c:v>
                </c:pt>
                <c:pt idx="36">
                  <c:v>77.749810328213059</c:v>
                </c:pt>
                <c:pt idx="37">
                  <c:v>77.473834862668397</c:v>
                </c:pt>
                <c:pt idx="38">
                  <c:v>77.192074078590238</c:v>
                </c:pt>
                <c:pt idx="39">
                  <c:v>76.904436054981531</c:v>
                </c:pt>
                <c:pt idx="40">
                  <c:v>76.610829433886067</c:v>
                </c:pt>
                <c:pt idx="41">
                  <c:v>76.3111635870887</c:v>
                </c:pt>
                <c:pt idx="42">
                  <c:v>76.005348793476102</c:v>
                </c:pt>
                <c:pt idx="43">
                  <c:v>75.693296427373625</c:v>
                </c:pt>
                <c:pt idx="44">
                  <c:v>75.374919158158548</c:v>
                </c:pt>
                <c:pt idx="45">
                  <c:v>75.050131161418321</c:v>
                </c:pt>
                <c:pt idx="46">
                  <c:v>74.718848341889213</c:v>
                </c:pt>
                <c:pt idx="47">
                  <c:v>74.380988568375471</c:v>
                </c:pt>
                <c:pt idx="48">
                  <c:v>74.036471920800892</c:v>
                </c:pt>
                <c:pt idx="49">
                  <c:v>73.685220949492148</c:v>
                </c:pt>
                <c:pt idx="50">
                  <c:v>73.327160946740335</c:v>
                </c:pt>
                <c:pt idx="51">
                  <c:v>72.962220230613312</c:v>
                </c:pt>
                <c:pt idx="52">
                  <c:v>72.590330440925683</c:v>
                </c:pt>
                <c:pt idx="53">
                  <c:v>72.211426847182523</c:v>
                </c:pt>
                <c:pt idx="54">
                  <c:v>71.825448668232511</c:v>
                </c:pt>
                <c:pt idx="55">
                  <c:v>71.432339403258155</c:v>
                </c:pt>
                <c:pt idx="56">
                  <c:v>71.032047173629607</c:v>
                </c:pt>
                <c:pt idx="57">
                  <c:v>70.624525075029993</c:v>
                </c:pt>
                <c:pt idx="58">
                  <c:v>70.209731539134836</c:v>
                </c:pt>
                <c:pt idx="59">
                  <c:v>69.787630703999895</c:v>
                </c:pt>
                <c:pt idx="60">
                  <c:v>69.358192792163351</c:v>
                </c:pt>
                <c:pt idx="61">
                  <c:v>68.921394495329551</c:v>
                </c:pt>
                <c:pt idx="62">
                  <c:v>68.477219364339433</c:v>
                </c:pt>
                <c:pt idx="63">
                  <c:v>68.025658202977482</c:v>
                </c:pt>
                <c:pt idx="64">
                  <c:v>67.56670946400105</c:v>
                </c:pt>
                <c:pt idx="65">
                  <c:v>67.100379645608186</c:v>
                </c:pt>
                <c:pt idx="66">
                  <c:v>66.626683686394216</c:v>
                </c:pt>
                <c:pt idx="67">
                  <c:v>66.145645356680419</c:v>
                </c:pt>
                <c:pt idx="68">
                  <c:v>65.657297643931145</c:v>
                </c:pt>
                <c:pt idx="69">
                  <c:v>65.161683129819039</c:v>
                </c:pt>
                <c:pt idx="70">
                  <c:v>64.658854356345415</c:v>
                </c:pt>
                <c:pt idx="71">
                  <c:v>64.148874178283819</c:v>
                </c:pt>
                <c:pt idx="72">
                  <c:v>63.631816099083821</c:v>
                </c:pt>
                <c:pt idx="73">
                  <c:v>63.107764587268996</c:v>
                </c:pt>
                <c:pt idx="74">
                  <c:v>62.576815370266388</c:v>
                </c:pt>
                <c:pt idx="75">
                  <c:v>62.039075702543322</c:v>
                </c:pt>
                <c:pt idx="76">
                  <c:v>61.494664604886196</c:v>
                </c:pt>
                <c:pt idx="77">
                  <c:v>60.94371307164829</c:v>
                </c:pt>
                <c:pt idx="78">
                  <c:v>60.386364242813066</c:v>
                </c:pt>
                <c:pt idx="79">
                  <c:v>59.822773537788052</c:v>
                </c:pt>
                <c:pt idx="80">
                  <c:v>59.253108747932032</c:v>
                </c:pt>
                <c:pt idx="81">
                  <c:v>58.677550084967486</c:v>
                </c:pt>
                <c:pt idx="82">
                  <c:v>58.096290182605721</c:v>
                </c:pt>
                <c:pt idx="83">
                  <c:v>57.509534048936203</c:v>
                </c:pt>
                <c:pt idx="84">
                  <c:v>56.917498967405102</c:v>
                </c:pt>
                <c:pt idx="85">
                  <c:v>56.320414344511597</c:v>
                </c:pt>
                <c:pt idx="86">
                  <c:v>55.718521502707716</c:v>
                </c:pt>
                <c:pt idx="87">
                  <c:v>55.112073417380756</c:v>
                </c:pt>
                <c:pt idx="88">
                  <c:v>54.501334397216816</c:v>
                </c:pt>
                <c:pt idx="89">
                  <c:v>53.886579707716514</c:v>
                </c:pt>
                <c:pt idx="90">
                  <c:v>53.268095138112216</c:v>
                </c:pt>
                <c:pt idx="91">
                  <c:v>52.64617651245009</c:v>
                </c:pt>
                <c:pt idx="92">
                  <c:v>52.021129146124544</c:v>
                </c:pt>
                <c:pt idx="93">
                  <c:v>51.393267249683575</c:v>
                </c:pt>
                <c:pt idx="94">
                  <c:v>50.762913282257884</c:v>
                </c:pt>
                <c:pt idx="95">
                  <c:v>50.130397257492483</c:v>
                </c:pt>
                <c:pt idx="96">
                  <c:v>49.496056005363542</c:v>
                </c:pt>
                <c:pt idx="97">
                  <c:v>48.860232393754607</c:v>
                </c:pt>
                <c:pt idx="98">
                  <c:v>48.223274514107523</c:v>
                </c:pt>
                <c:pt idx="99">
                  <c:v>47.585534835882946</c:v>
                </c:pt>
                <c:pt idx="100">
                  <c:v>46.947369334919884</c:v>
                </c:pt>
                <c:pt idx="101">
                  <c:v>46.309136601094224</c:v>
                </c:pt>
                <c:pt idx="102">
                  <c:v>45.671196930918178</c:v>
                </c:pt>
                <c:pt idx="103">
                  <c:v>45.033911410911735</c:v>
                </c:pt>
                <c:pt idx="104">
                  <c:v>44.397640997674003</c:v>
                </c:pt>
                <c:pt idx="105">
                  <c:v>43.76274560064337</c:v>
                </c:pt>
                <c:pt idx="106">
                  <c:v>43.129583173486232</c:v>
                </c:pt>
                <c:pt idx="107">
                  <c:v>42.498508819961529</c:v>
                </c:pt>
                <c:pt idx="108">
                  <c:v>41.869873919943238</c:v>
                </c:pt>
                <c:pt idx="109">
                  <c:v>41.244025281027007</c:v>
                </c:pt>
                <c:pt idx="110">
                  <c:v>40.621304320872689</c:v>
                </c:pt>
                <c:pt idx="111">
                  <c:v>40.00204628506382</c:v>
                </c:pt>
                <c:pt idx="112">
                  <c:v>39.386579504867711</c:v>
                </c:pt>
                <c:pt idx="113">
                  <c:v>38.775224698834997</c:v>
                </c:pt>
                <c:pt idx="114">
                  <c:v>38.168294321697907</c:v>
                </c:pt>
                <c:pt idx="115">
                  <c:v>37.56609196351733</c:v>
                </c:pt>
                <c:pt idx="116">
                  <c:v>36.968911801513443</c:v>
                </c:pt>
                <c:pt idx="117">
                  <c:v>36.377038106471666</c:v>
                </c:pt>
                <c:pt idx="118">
                  <c:v>35.790744805096281</c:v>
                </c:pt>
                <c:pt idx="119">
                  <c:v>35.210295099142876</c:v>
                </c:pt>
                <c:pt idx="120">
                  <c:v>34.635941141660929</c:v>
                </c:pt>
                <c:pt idx="121">
                  <c:v>34.067923770178112</c:v>
                </c:pt>
                <c:pt idx="122">
                  <c:v>33.506472296202013</c:v>
                </c:pt>
                <c:pt idx="123">
                  <c:v>32.951804349966906</c:v>
                </c:pt>
                <c:pt idx="124">
                  <c:v>32.404125778976002</c:v>
                </c:pt>
                <c:pt idx="125">
                  <c:v>31.863630598511762</c:v>
                </c:pt>
                <c:pt idx="126">
                  <c:v>31.330500991981925</c:v>
                </c:pt>
                <c:pt idx="127">
                  <c:v>30.804907358694841</c:v>
                </c:pt>
                <c:pt idx="128">
                  <c:v>30.287008406414643</c:v>
                </c:pt>
                <c:pt idx="129">
                  <c:v>29.776951285874453</c:v>
                </c:pt>
                <c:pt idx="130">
                  <c:v>29.274871764272536</c:v>
                </c:pt>
                <c:pt idx="131">
                  <c:v>28.780894434670113</c:v>
                </c:pt>
                <c:pt idx="132">
                  <c:v>28.29513295815007</c:v>
                </c:pt>
                <c:pt idx="133">
                  <c:v>27.817690335561359</c:v>
                </c:pt>
                <c:pt idx="134">
                  <c:v>27.348659205679976</c:v>
                </c:pt>
                <c:pt idx="135">
                  <c:v>26.888122166655194</c:v>
                </c:pt>
                <c:pt idx="136">
                  <c:v>26.436152117664118</c:v>
                </c:pt>
                <c:pt idx="137">
                  <c:v>25.992812617794137</c:v>
                </c:pt>
                <c:pt idx="138">
                  <c:v>25.558158259273213</c:v>
                </c:pt>
                <c:pt idx="139">
                  <c:v>25.132235052287491</c:v>
                </c:pt>
                <c:pt idx="140">
                  <c:v>24.715080818782756</c:v>
                </c:pt>
                <c:pt idx="141">
                  <c:v>24.306725592767048</c:v>
                </c:pt>
                <c:pt idx="142">
                  <c:v>23.907192024821615</c:v>
                </c:pt>
                <c:pt idx="143">
                  <c:v>23.516495788661615</c:v>
                </c:pt>
                <c:pt idx="144">
                  <c:v>23.134645987776395</c:v>
                </c:pt>
                <c:pt idx="145">
                  <c:v>22.7616455603352</c:v>
                </c:pt>
                <c:pt idx="146">
                  <c:v>22.397491680711152</c:v>
                </c:pt>
                <c:pt idx="147">
                  <c:v>22.042176156148766</c:v>
                </c:pt>
                <c:pt idx="148">
                  <c:v>21.695685817248204</c:v>
                </c:pt>
                <c:pt idx="149">
                  <c:v>21.358002901102012</c:v>
                </c:pt>
                <c:pt idx="150">
                  <c:v>21.029105426067414</c:v>
                </c:pt>
                <c:pt idx="151">
                  <c:v>20.708967557292976</c:v>
                </c:pt>
                <c:pt idx="152">
                  <c:v>20.397559962257386</c:v>
                </c:pt>
                <c:pt idx="153">
                  <c:v>20.094850155699678</c:v>
                </c:pt>
                <c:pt idx="154">
                  <c:v>19.800802833435469</c:v>
                </c:pt>
                <c:pt idx="155">
                  <c:v>19.515380194665543</c:v>
                </c:pt>
                <c:pt idx="156">
                  <c:v>19.23854225247694</c:v>
                </c:pt>
                <c:pt idx="157">
                  <c:v>18.970247132329675</c:v>
                </c:pt>
                <c:pt idx="158">
                  <c:v>18.710451358403695</c:v>
                </c:pt>
                <c:pt idx="159">
                  <c:v>18.459110127753533</c:v>
                </c:pt>
                <c:pt idx="160">
                  <c:v>18.216177572283947</c:v>
                </c:pt>
                <c:pt idx="161">
                  <c:v>17.981607008616272</c:v>
                </c:pt>
                <c:pt idx="162">
                  <c:v>17.755351175969597</c:v>
                </c:pt>
                <c:pt idx="163">
                  <c:v>17.537362462220006</c:v>
                </c:pt>
                <c:pt idx="164">
                  <c:v>17.327593118342257</c:v>
                </c:pt>
                <c:pt idx="165">
                  <c:v>17.125995461467046</c:v>
                </c:pt>
                <c:pt idx="166">
                  <c:v>16.932522066816361</c:v>
                </c:pt>
                <c:pt idx="167">
                  <c:v>16.747125948795439</c:v>
                </c:pt>
                <c:pt idx="168">
                  <c:v>16.569760731539528</c:v>
                </c:pt>
                <c:pt idx="169">
                  <c:v>16.400380809225975</c:v>
                </c:pt>
                <c:pt idx="170">
                  <c:v>16.238941496464744</c:v>
                </c:pt>
                <c:pt idx="171">
                  <c:v>16.085399169092067</c:v>
                </c:pt>
                <c:pt idx="172">
                  <c:v>15.939711395686048</c:v>
                </c:pt>
                <c:pt idx="173">
                  <c:v>15.801837060126678</c:v>
                </c:pt>
                <c:pt idx="174">
                  <c:v>15.671736475513963</c:v>
                </c:pt>
                <c:pt idx="175">
                  <c:v>15.549371489753195</c:v>
                </c:pt>
                <c:pt idx="176">
                  <c:v>15.434705583109157</c:v>
                </c:pt>
                <c:pt idx="177">
                  <c:v>15.327703958014942</c:v>
                </c:pt>
                <c:pt idx="178">
                  <c:v>15.228333621416427</c:v>
                </c:pt>
                <c:pt idx="179">
                  <c:v>15.136563459911592</c:v>
                </c:pt>
                <c:pt idx="180">
                  <c:v>15.052364307937269</c:v>
                </c:pt>
                <c:pt idx="181">
                  <c:v>14.975709009232252</c:v>
                </c:pt>
                <c:pt idx="182">
                  <c:v>14.906572471794906</c:v>
                </c:pt>
                <c:pt idx="183">
                  <c:v>14.844931716532797</c:v>
                </c:pt>
                <c:pt idx="184">
                  <c:v>14.790765919783011</c:v>
                </c:pt>
                <c:pt idx="185">
                  <c:v>14.744056449866807</c:v>
                </c:pt>
                <c:pt idx="186">
                  <c:v>14.704786897818071</c:v>
                </c:pt>
                <c:pt idx="187">
                  <c:v>14.672943102408141</c:v>
                </c:pt>
                <c:pt idx="188">
                  <c:v>14.648513169570712</c:v>
                </c:pt>
                <c:pt idx="189">
                  <c:v>14.631487486307073</c:v>
                </c:pt>
                <c:pt idx="190">
                  <c:v>14.621858729133649</c:v>
                </c:pt>
                <c:pt idx="191">
                  <c:v>14.619621867112631</c:v>
                </c:pt>
                <c:pt idx="192">
                  <c:v>14.624774159487238</c:v>
                </c:pt>
                <c:pt idx="193">
                  <c:v>14.637315147919399</c:v>
                </c:pt>
                <c:pt idx="194">
                  <c:v>14.657246643309207</c:v>
                </c:pt>
                <c:pt idx="195">
                  <c:v>14.684572707155125</c:v>
                </c:pt>
                <c:pt idx="196">
                  <c:v>14.719299627392287</c:v>
                </c:pt>
                <c:pt idx="197">
                  <c:v>14.76143588862516</c:v>
                </c:pt>
                <c:pt idx="198">
                  <c:v>14.810992136651603</c:v>
                </c:pt>
                <c:pt idx="199">
                  <c:v>14.867981137157761</c:v>
                </c:pt>
                <c:pt idx="200">
                  <c:v>14.932417728436535</c:v>
                </c:pt>
                <c:pt idx="201">
                  <c:v>15.004318767970918</c:v>
                </c:pt>
                <c:pt idx="202">
                  <c:v>15.083703072700409</c:v>
                </c:pt>
                <c:pt idx="203">
                  <c:v>15.170591352770437</c:v>
                </c:pt>
                <c:pt idx="204">
                  <c:v>15.265006138547824</c:v>
                </c:pt>
                <c:pt idx="205">
                  <c:v>15.366971700669806</c:v>
                </c:pt>
                <c:pt idx="206">
                  <c:v>15.476513962874446</c:v>
                </c:pt>
                <c:pt idx="207">
                  <c:v>15.593660407349645</c:v>
                </c:pt>
                <c:pt idx="208">
                  <c:v>15.718439972320651</c:v>
                </c:pt>
                <c:pt idx="209">
                  <c:v>15.85088294158548</c:v>
                </c:pt>
                <c:pt idx="210">
                  <c:v>15.991020825696605</c:v>
                </c:pt>
                <c:pt idx="211">
                  <c:v>16.13888623447702</c:v>
                </c:pt>
                <c:pt idx="212">
                  <c:v>16.294512740554122</c:v>
                </c:pt>
                <c:pt idx="213">
                  <c:v>16.457934733587031</c:v>
                </c:pt>
                <c:pt idx="214">
                  <c:v>16.629187264863827</c:v>
                </c:pt>
                <c:pt idx="215">
                  <c:v>16.808305881943443</c:v>
                </c:pt>
                <c:pt idx="216">
                  <c:v>16.995326453023182</c:v>
                </c:pt>
                <c:pt idx="217">
                  <c:v>17.190284980717237</c:v>
                </c:pt>
                <c:pt idx="218">
                  <c:v>17.393217404946437</c:v>
                </c:pt>
                <c:pt idx="219">
                  <c:v>17.60415939465199</c:v>
                </c:pt>
                <c:pt idx="220">
                  <c:v>17.823146128067776</c:v>
                </c:pt>
                <c:pt idx="221">
                  <c:v>18.050212061312237</c:v>
                </c:pt>
                <c:pt idx="222">
                  <c:v>18.285390685087471</c:v>
                </c:pt>
                <c:pt idx="223">
                  <c:v>18.528714269316485</c:v>
                </c:pt>
                <c:pt idx="224">
                  <c:v>18.780213595587288</c:v>
                </c:pt>
                <c:pt idx="225">
                  <c:v>19.039917677323988</c:v>
                </c:pt>
                <c:pt idx="226">
                  <c:v>19.307853467664497</c:v>
                </c:pt>
                <c:pt idx="227">
                  <c:v>19.584045555085314</c:v>
                </c:pt>
                <c:pt idx="228">
                  <c:v>19.868515846890372</c:v>
                </c:pt>
                <c:pt idx="229">
                  <c:v>20.161283240759381</c:v>
                </c:pt>
                <c:pt idx="230">
                  <c:v>20.46236328464019</c:v>
                </c:pt>
                <c:pt idx="231">
                  <c:v>20.77176782536959</c:v>
                </c:pt>
                <c:pt idx="232">
                  <c:v>21.089504646511546</c:v>
                </c:pt>
                <c:pt idx="233">
                  <c:v>21.415577096020453</c:v>
                </c:pt>
                <c:pt idx="234">
                  <c:v>21.749983704454756</c:v>
                </c:pt>
                <c:pt idx="235">
                  <c:v>22.092717794605623</c:v>
                </c:pt>
                <c:pt idx="236">
                  <c:v>22.443767083541001</c:v>
                </c:pt>
                <c:pt idx="237">
                  <c:v>22.80311327821417</c:v>
                </c:pt>
                <c:pt idx="238">
                  <c:v>23.170731665937996</c:v>
                </c:pt>
                <c:pt idx="239">
                  <c:v>23.546590701188638</c:v>
                </c:pt>
                <c:pt idx="240">
                  <c:v>23.930651590362203</c:v>
                </c:pt>
                <c:pt idx="241">
                  <c:v>24.322867876278472</c:v>
                </c:pt>
                <c:pt idx="242">
                  <c:v>24.72318502438759</c:v>
                </c:pt>
                <c:pt idx="243">
                  <c:v>25.13154001280725</c:v>
                </c:pt>
                <c:pt idx="244">
                  <c:v>25.547860928481317</c:v>
                </c:pt>
                <c:pt idx="245">
                  <c:v>25.972066571905213</c:v>
                </c:pt>
                <c:pt idx="246">
                  <c:v>26.404066073017809</c:v>
                </c:pt>
                <c:pt idx="247">
                  <c:v>26.843758520997856</c:v>
                </c:pt>
                <c:pt idx="248">
                  <c:v>27.291032610826203</c:v>
                </c:pt>
                <c:pt idx="249">
                  <c:v>27.745766309589865</c:v>
                </c:pt>
                <c:pt idx="250">
                  <c:v>28.207826545581735</c:v>
                </c:pt>
                <c:pt idx="251">
                  <c:v>28.677068923327319</c:v>
                </c:pt>
                <c:pt idx="252">
                  <c:v>29.15333746769446</c:v>
                </c:pt>
                <c:pt idx="253">
                  <c:v>29.63646440025828</c:v>
                </c:pt>
                <c:pt idx="254">
                  <c:v>30.126269951064291</c:v>
                </c:pt>
                <c:pt idx="255">
                  <c:v>30.622562208867286</c:v>
                </c:pt>
                <c:pt idx="256">
                  <c:v>31.125137012830248</c:v>
                </c:pt>
                <c:pt idx="257">
                  <c:v>31.6337778885174</c:v>
                </c:pt>
                <c:pt idx="258">
                  <c:v>32.148256030837508</c:v>
                </c:pt>
                <c:pt idx="259">
                  <c:v>32.668330336363795</c:v>
                </c:pt>
                <c:pt idx="260">
                  <c:v>33.193747487189064</c:v>
                </c:pt>
                <c:pt idx="261">
                  <c:v>33.7242420881567</c:v>
                </c:pt>
                <c:pt idx="262">
                  <c:v>34.259536858957787</c:v>
                </c:pt>
                <c:pt idx="263">
                  <c:v>34.799342882190039</c:v>
                </c:pt>
                <c:pt idx="264">
                  <c:v>35.343359908041108</c:v>
                </c:pt>
                <c:pt idx="265">
                  <c:v>35.891276715799727</c:v>
                </c:pt>
                <c:pt idx="266">
                  <c:v>36.442771531908335</c:v>
                </c:pt>
                <c:pt idx="267">
                  <c:v>36.997512503756752</c:v>
                </c:pt>
                <c:pt idx="268">
                  <c:v>37.555158227899454</c:v>
                </c:pt>
                <c:pt idx="269">
                  <c:v>38.115358330836514</c:v>
                </c:pt>
                <c:pt idx="270">
                  <c:v>38.677754099967679</c:v>
                </c:pt>
                <c:pt idx="271">
                  <c:v>39.241979161817326</c:v>
                </c:pt>
                <c:pt idx="272">
                  <c:v>39.807660204096834</c:v>
                </c:pt>
                <c:pt idx="273">
                  <c:v>40.374417737712321</c:v>
                </c:pt>
                <c:pt idx="274">
                  <c:v>40.94186689436205</c:v>
                </c:pt>
                <c:pt idx="275">
                  <c:v>41.509618254968046</c:v>
                </c:pt>
                <c:pt idx="276">
                  <c:v>42.077278703822223</c:v>
                </c:pt>
                <c:pt idx="277">
                  <c:v>42.644452303026206</c:v>
                </c:pt>
                <c:pt idx="278">
                  <c:v>43.210741181568231</c:v>
                </c:pt>
                <c:pt idx="279">
                  <c:v>43.775746433189113</c:v>
                </c:pt>
                <c:pt idx="280">
                  <c:v>44.339069017094388</c:v>
                </c:pt>
                <c:pt idx="281">
                  <c:v>44.900310655527733</c:v>
                </c:pt>
                <c:pt idx="282">
                  <c:v>45.459074722253824</c:v>
                </c:pt>
                <c:pt idx="283">
                  <c:v>46.014967116106995</c:v>
                </c:pt>
                <c:pt idx="284">
                  <c:v>46.567597113936216</c:v>
                </c:pt>
                <c:pt idx="285">
                  <c:v>47.116578197516738</c:v>
                </c:pt>
                <c:pt idx="286">
                  <c:v>47.661528849299899</c:v>
                </c:pt>
                <c:pt idx="287">
                  <c:v>48.202073312230723</c:v>
                </c:pt>
                <c:pt idx="288">
                  <c:v>48.73784230926794</c:v>
                </c:pt>
                <c:pt idx="289">
                  <c:v>49.26847371869021</c:v>
                </c:pt>
                <c:pt idx="290">
                  <c:v>49.793613201749658</c:v>
                </c:pt>
                <c:pt idx="291">
                  <c:v>50.312914779746308</c:v>
                </c:pt>
                <c:pt idx="292">
                  <c:v>50.826041358119518</c:v>
                </c:pt>
                <c:pt idx="293">
                  <c:v>51.332665195678281</c:v>
                </c:pt>
                <c:pt idx="294">
                  <c:v>51.832468317638792</c:v>
                </c:pt>
                <c:pt idx="295">
                  <c:v>52.325142871651387</c:v>
                </c:pt>
                <c:pt idx="296">
                  <c:v>52.810391426517974</c:v>
                </c:pt>
                <c:pt idx="297">
                  <c:v>53.287927213787569</c:v>
                </c:pt>
                <c:pt idx="298">
                  <c:v>53.757474312885307</c:v>
                </c:pt>
                <c:pt idx="299">
                  <c:v>54.218767780857156</c:v>
                </c:pt>
                <c:pt idx="300">
                  <c:v>54.671553728214711</c:v>
                </c:pt>
                <c:pt idx="301">
                  <c:v>55.115589342713534</c:v>
                </c:pt>
                <c:pt idx="302">
                  <c:v>55.550642863220936</c:v>
                </c:pt>
                <c:pt idx="303">
                  <c:v>55.976493506100454</c:v>
                </c:pt>
                <c:pt idx="304">
                  <c:v>56.392931346762708</c:v>
                </c:pt>
                <c:pt idx="305">
                  <c:v>56.799757159231248</c:v>
                </c:pt>
                <c:pt idx="306">
                  <c:v>57.196782216702182</c:v>
                </c:pt>
                <c:pt idx="307">
                  <c:v>57.583828056192374</c:v>
                </c:pt>
                <c:pt idx="308">
                  <c:v>57.960726210422933</c:v>
                </c:pt>
                <c:pt idx="309">
                  <c:v>58.327317910127505</c:v>
                </c:pt>
                <c:pt idx="310">
                  <c:v>58.683453759956933</c:v>
                </c:pt>
                <c:pt idx="311">
                  <c:v>59.028993391123564</c:v>
                </c:pt>
                <c:pt idx="312">
                  <c:v>59.363805093867462</c:v>
                </c:pt>
                <c:pt idx="313">
                  <c:v>59.687765432736491</c:v>
                </c:pt>
                <c:pt idx="314">
                  <c:v>60.000758847568378</c:v>
                </c:pt>
                <c:pt idx="315">
                  <c:v>60.302677242941542</c:v>
                </c:pt>
                <c:pt idx="316">
                  <c:v>60.593419568719476</c:v>
                </c:pt>
                <c:pt idx="317">
                  <c:v>60.872891394170495</c:v>
                </c:pt>
                <c:pt idx="318">
                  <c:v>61.141004477985142</c:v>
                </c:pt>
                <c:pt idx="319">
                  <c:v>61.397676336355993</c:v>
                </c:pt>
                <c:pt idx="320">
                  <c:v>61.64282981111419</c:v>
                </c:pt>
                <c:pt idx="321">
                  <c:v>61.87639263976093</c:v>
                </c:pt>
                <c:pt idx="322">
                  <c:v>62.09829702905845</c:v>
                </c:pt>
                <c:pt idx="323">
                  <c:v>62.308479233695451</c:v>
                </c:pt>
                <c:pt idx="324">
                  <c:v>62.506879141375151</c:v>
                </c:pt>
                <c:pt idx="325">
                  <c:v>62.693439865531396</c:v>
                </c:pt>
                <c:pt idx="326">
                  <c:v>62.868107346728692</c:v>
                </c:pt>
                <c:pt idx="327">
                  <c:v>63.030829963670911</c:v>
                </c:pt>
                <c:pt idx="328">
                  <c:v>63.18155815460986</c:v>
                </c:pt>
                <c:pt idx="329">
                  <c:v>63.32024404982851</c:v>
                </c:pt>
                <c:pt idx="330">
                  <c:v>63.446841115761316</c:v>
                </c:pt>
                <c:pt idx="331">
                  <c:v>63.561303811210358</c:v>
                </c:pt>
                <c:pt idx="332">
                  <c:v>63.663587256026787</c:v>
                </c:pt>
                <c:pt idx="333">
                  <c:v>63.753646912539054</c:v>
                </c:pt>
                <c:pt idx="334">
                  <c:v>63.83143827993274</c:v>
                </c:pt>
                <c:pt idx="335">
                  <c:v>63.896916601728215</c:v>
                </c:pt>
                <c:pt idx="336">
                  <c:v>63.950036586429022</c:v>
                </c:pt>
                <c:pt idx="337">
                  <c:v>63.990752141379396</c:v>
                </c:pt>
                <c:pt idx="338">
                  <c:v>64.019016119810544</c:v>
                </c:pt>
                <c:pt idx="339">
                  <c:v>64.034780081029567</c:v>
                </c:pt>
                <c:pt idx="340">
                  <c:v>64.037994063672372</c:v>
                </c:pt>
                <c:pt idx="341">
                  <c:v>64.028606371912446</c:v>
                </c:pt>
                <c:pt idx="342">
                  <c:v>64.006563374510066</c:v>
                </c:pt>
                <c:pt idx="343">
                  <c:v>63.971809316564567</c:v>
                </c:pt>
                <c:pt idx="344">
                  <c:v>63.924286143831303</c:v>
                </c:pt>
                <c:pt idx="345">
                  <c:v>63.863933339455912</c:v>
                </c:pt>
                <c:pt idx="346">
                  <c:v>63.79068777298852</c:v>
                </c:pt>
                <c:pt idx="347">
                  <c:v>63.704483561534126</c:v>
                </c:pt>
                <c:pt idx="348">
                  <c:v>63.605251942912496</c:v>
                </c:pt>
                <c:pt idx="349">
                  <c:v>63.492921160709386</c:v>
                </c:pt>
                <c:pt idx="350">
                  <c:v>63.367416361110571</c:v>
                </c:pt>
                <c:pt idx="351">
                  <c:v>63.228659501434571</c:v>
                </c:pt>
                <c:pt idx="352">
                  <c:v>63.076569270286164</c:v>
                </c:pt>
                <c:pt idx="353">
                  <c:v>62.911061019287075</c:v>
                </c:pt>
                <c:pt idx="354">
                  <c:v>62.732046706344455</c:v>
                </c:pt>
                <c:pt idx="355">
                  <c:v>62.539434850454427</c:v>
                </c:pt>
                <c:pt idx="356">
                  <c:v>62.333130498049087</c:v>
                </c:pt>
                <c:pt idx="357">
                  <c:v>62.113035200927044</c:v>
                </c:pt>
                <c:pt idx="358">
                  <c:v>61.879047005823587</c:v>
                </c:pt>
                <c:pt idx="359">
                  <c:v>61.631060455703555</c:v>
                </c:pt>
                <c:pt idx="360">
                  <c:v>61.3689666028814</c:v>
                </c:pt>
                <c:pt idx="361">
                  <c:v>61.092653034093992</c:v>
                </c:pt>
                <c:pt idx="362">
                  <c:v>60.802003907673416</c:v>
                </c:pt>
                <c:pt idx="363">
                  <c:v>60.496900002984411</c:v>
                </c:pt>
                <c:pt idx="364">
                  <c:v>60.177218782310732</c:v>
                </c:pt>
                <c:pt idx="365">
                  <c:v>59.842834465389885</c:v>
                </c:pt>
                <c:pt idx="366">
                  <c:v>59.493618116807454</c:v>
                </c:pt>
                <c:pt idx="367">
                  <c:v>59.129437746474657</c:v>
                </c:pt>
                <c:pt idx="368">
                  <c:v>58.750158423417666</c:v>
                </c:pt>
                <c:pt idx="369">
                  <c:v>58.355642403116455</c:v>
                </c:pt>
                <c:pt idx="370">
                  <c:v>57.945749268624823</c:v>
                </c:pt>
                <c:pt idx="371">
                  <c:v>57.520336085702425</c:v>
                </c:pt>
                <c:pt idx="372">
                  <c:v>57.079257572182577</c:v>
                </c:pt>
                <c:pt idx="373">
                  <c:v>56.622366281783016</c:v>
                </c:pt>
                <c:pt idx="374">
                  <c:v>56.149512802547903</c:v>
                </c:pt>
                <c:pt idx="375">
                  <c:v>55.66054597008619</c:v>
                </c:pt>
                <c:pt idx="376">
                  <c:v>55.155313095739103</c:v>
                </c:pt>
                <c:pt idx="377">
                  <c:v>54.633660209772053</c:v>
                </c:pt>
                <c:pt idx="378">
                  <c:v>54.095432319636402</c:v>
                </c:pt>
                <c:pt idx="379">
                  <c:v>53.540473683305279</c:v>
                </c:pt>
                <c:pt idx="380">
                  <c:v>52.968628097612537</c:v>
                </c:pt>
                <c:pt idx="381">
                  <c:v>52.379739201469903</c:v>
                </c:pt>
                <c:pt idx="382">
                  <c:v>51.773650793749084</c:v>
                </c:pt>
                <c:pt idx="383">
                  <c:v>51.150207165541126</c:v>
                </c:pt>
                <c:pt idx="384">
                  <c:v>50.509253446404337</c:v>
                </c:pt>
                <c:pt idx="385">
                  <c:v>49.850635964117195</c:v>
                </c:pt>
                <c:pt idx="386">
                  <c:v>49.174202617340178</c:v>
                </c:pt>
                <c:pt idx="387">
                  <c:v>48.479803260475009</c:v>
                </c:pt>
                <c:pt idx="388">
                  <c:v>47.767290099887653</c:v>
                </c:pt>
                <c:pt idx="389">
                  <c:v>47.036518100530081</c:v>
                </c:pt>
                <c:pt idx="390">
                  <c:v>46.287345401863213</c:v>
                </c:pt>
                <c:pt idx="391">
                  <c:v>45.519633741838774</c:v>
                </c:pt>
                <c:pt idx="392">
                  <c:v>44.73324888756575</c:v>
                </c:pt>
                <c:pt idx="393">
                  <c:v>43.928061071129967</c:v>
                </c:pt>
                <c:pt idx="394">
                  <c:v>43.103945428907679</c:v>
                </c:pt>
                <c:pt idx="395">
                  <c:v>42.26078244255757</c:v>
                </c:pt>
                <c:pt idx="396">
                  <c:v>41.398458379754267</c:v>
                </c:pt>
                <c:pt idx="397">
                  <c:v>40.516865732586346</c:v>
                </c:pt>
                <c:pt idx="398">
                  <c:v>39.615903651431353</c:v>
                </c:pt>
                <c:pt idx="399">
                  <c:v>38.695478372006413</c:v>
                </c:pt>
                <c:pt idx="400">
                  <c:v>37.755503633212832</c:v>
                </c:pt>
                <c:pt idx="401">
                  <c:v>36.795901083307939</c:v>
                </c:pt>
                <c:pt idx="402">
                  <c:v>35.816600671902286</c:v>
                </c:pt>
                <c:pt idx="403">
                  <c:v>34.817541025241972</c:v>
                </c:pt>
                <c:pt idx="404">
                  <c:v>33.79866980225183</c:v>
                </c:pt>
                <c:pt idx="405">
                  <c:v>32.759944028837118</c:v>
                </c:pt>
                <c:pt idx="406">
                  <c:v>31.701330408019079</c:v>
                </c:pt>
                <c:pt idx="407">
                  <c:v>30.622805603578101</c:v>
                </c:pt>
                <c:pt idx="408">
                  <c:v>29.524356495019475</c:v>
                </c:pt>
                <c:pt idx="409">
                  <c:v>28.405980401857761</c:v>
                </c:pt>
                <c:pt idx="410">
                  <c:v>27.267685275434228</c:v>
                </c:pt>
                <c:pt idx="411">
                  <c:v>26.109489856747192</c:v>
                </c:pt>
                <c:pt idx="412">
                  <c:v>24.931423799056077</c:v>
                </c:pt>
                <c:pt idx="413">
                  <c:v>23.733527754379644</c:v>
                </c:pt>
                <c:pt idx="414">
                  <c:v>22.515853423357402</c:v>
                </c:pt>
                <c:pt idx="415">
                  <c:v>21.278463568352084</c:v>
                </c:pt>
                <c:pt idx="416">
                  <c:v>20.021431990102673</c:v>
                </c:pt>
                <c:pt idx="417">
                  <c:v>18.744843468675807</c:v>
                </c:pt>
                <c:pt idx="418">
                  <c:v>17.448793669938201</c:v>
                </c:pt>
                <c:pt idx="419">
                  <c:v>16.133389019231927</c:v>
                </c:pt>
                <c:pt idx="420">
                  <c:v>14.798746544418638</c:v>
                </c:pt>
                <c:pt idx="421">
                  <c:v>13.444993690907916</c:v>
                </c:pt>
                <c:pt idx="422">
                  <c:v>12.072268111747917</c:v>
                </c:pt>
                <c:pt idx="423">
                  <c:v>10.680717436250772</c:v>
                </c:pt>
                <c:pt idx="424">
                  <c:v>9.2704990210383222</c:v>
                </c:pt>
                <c:pt idx="425">
                  <c:v>7.841779687710372</c:v>
                </c:pt>
                <c:pt idx="426">
                  <c:v>6.3947354516227728</c:v>
                </c:pt>
                <c:pt idx="427">
                  <c:v>4.9295512465105276</c:v>
                </c:pt>
                <c:pt idx="428">
                  <c:v>3.4464206498102503</c:v>
                </c:pt>
                <c:pt idx="429">
                  <c:v>1.945545613637981</c:v>
                </c:pt>
                <c:pt idx="430">
                  <c:v>0.42713620638032351</c:v>
                </c:pt>
                <c:pt idx="431">
                  <c:v>-1.1085896302581049</c:v>
                </c:pt>
                <c:pt idx="432">
                  <c:v>-2.6614063040446787</c:v>
                </c:pt>
                <c:pt idx="433">
                  <c:v>-4.231080770434553</c:v>
                </c:pt>
                <c:pt idx="434">
                  <c:v>-5.8173727021213386</c:v>
                </c:pt>
                <c:pt idx="435">
                  <c:v>-7.4200346262868653</c:v>
                </c:pt>
                <c:pt idx="436">
                  <c:v>-9.0388120264118985</c:v>
                </c:pt>
                <c:pt idx="437">
                  <c:v>-10.673443406099409</c:v>
                </c:pt>
                <c:pt idx="438">
                  <c:v>-12.323660313026805</c:v>
                </c:pt>
                <c:pt idx="439">
                  <c:v>-13.989187321827909</c:v>
                </c:pt>
                <c:pt idx="440">
                  <c:v>-15.669741975498498</c:v>
                </c:pt>
                <c:pt idx="441">
                  <c:v>-17.365034685685156</c:v>
                </c:pt>
                <c:pt idx="442">
                  <c:v>-19.074768593053999</c:v>
                </c:pt>
                <c:pt idx="443">
                  <c:v>-20.798639389752886</c:v>
                </c:pt>
                <c:pt idx="444">
                  <c:v>-22.536335106827384</c:v>
                </c:pt>
                <c:pt idx="445">
                  <c:v>-24.28753587024006</c:v>
                </c:pt>
                <c:pt idx="446">
                  <c:v>-26.051913629946391</c:v>
                </c:pt>
                <c:pt idx="447">
                  <c:v>-27.829131867208229</c:v>
                </c:pt>
                <c:pt idx="448">
                  <c:v>-29.618845286012018</c:v>
                </c:pt>
                <c:pt idx="449">
                  <c:v>-31.420699495083579</c:v>
                </c:pt>
                <c:pt idx="450">
                  <c:v>-33.234330687506507</c:v>
                </c:pt>
                <c:pt idx="451">
                  <c:v>-35.059365325418064</c:v>
                </c:pt>
                <c:pt idx="452">
                  <c:v>-36.895419837581734</c:v>
                </c:pt>
                <c:pt idx="453">
                  <c:v>-38.742100337880139</c:v>
                </c:pt>
                <c:pt idx="454">
                  <c:v>-40.599002372881664</c:v>
                </c:pt>
                <c:pt idx="455">
                  <c:v>-42.465710706644607</c:v>
                </c:pt>
                <c:pt idx="456">
                  <c:v>-44.341799150769397</c:v>
                </c:pt>
                <c:pt idx="457">
                  <c:v>-46.2268304474971</c:v>
                </c:pt>
                <c:pt idx="458">
                  <c:v>-48.120356213222813</c:v>
                </c:pt>
                <c:pt idx="459">
                  <c:v>-50.021916949329871</c:v>
                </c:pt>
                <c:pt idx="460">
                  <c:v>-51.931042126606677</c:v>
                </c:pt>
                <c:pt idx="461">
                  <c:v>-53.847250348772569</c:v>
                </c:pt>
                <c:pt idx="462">
                  <c:v>-55.770049599805319</c:v>
                </c:pt>
                <c:pt idx="463">
                  <c:v>-57.698937578820832</c:v>
                </c:pt>
                <c:pt idx="464">
                  <c:v>-59.633402125232891</c:v>
                </c:pt>
                <c:pt idx="465">
                  <c:v>-61.57292173583847</c:v>
                </c:pt>
                <c:pt idx="466">
                  <c:v>-63.516966174327038</c:v>
                </c:pt>
                <c:pt idx="467">
                  <c:v>-65.464997172539015</c:v>
                </c:pt>
                <c:pt idx="468">
                  <c:v>-67.416469221582147</c:v>
                </c:pt>
                <c:pt idx="469">
                  <c:v>-69.370830449739202</c:v>
                </c:pt>
                <c:pt idx="470">
                  <c:v>-71.327523582893619</c:v>
                </c:pt>
                <c:pt idx="471">
                  <c:v>-73.285986982069105</c:v>
                </c:pt>
                <c:pt idx="472">
                  <c:v>-75.245655751570311</c:v>
                </c:pt>
                <c:pt idx="473">
                  <c:v>-77.205962910217764</c:v>
                </c:pt>
                <c:pt idx="474">
                  <c:v>-79.166340617213649</c:v>
                </c:pt>
                <c:pt idx="475">
                  <c:v>-81.126221443364457</c:v>
                </c:pt>
                <c:pt idx="476">
                  <c:v>-83.085039677680172</c:v>
                </c:pt>
                <c:pt idx="477">
                  <c:v>-85.042232658786816</c:v>
                </c:pt>
                <c:pt idx="478">
                  <c:v>-86.997242120151739</c:v>
                </c:pt>
                <c:pt idx="479">
                  <c:v>-88.949515537832951</c:v>
                </c:pt>
                <c:pt idx="480">
                  <c:v>-90.898507469308129</c:v>
                </c:pt>
                <c:pt idx="481">
                  <c:v>-92.843680871958256</c:v>
                </c:pt>
                <c:pt idx="482">
                  <c:v>-94.784508389922919</c:v>
                </c:pt>
                <c:pt idx="483">
                  <c:v>-96.720473598340945</c:v>
                </c:pt>
                <c:pt idx="484">
                  <c:v>-98.651072194436978</c:v>
                </c:pt>
                <c:pt idx="485">
                  <c:v>-100.57581312545886</c:v>
                </c:pt>
                <c:pt idx="486">
                  <c:v>-102.49421964415987</c:v>
                </c:pt>
                <c:pt idx="487">
                  <c:v>-104.40583028330113</c:v>
                </c:pt>
                <c:pt idx="488">
                  <c:v>-106.31019974150435</c:v>
                </c:pt>
                <c:pt idx="489">
                  <c:v>-108.20689967375367</c:v>
                </c:pt>
                <c:pt idx="490">
                  <c:v>-110.09551938082619</c:v>
                </c:pt>
                <c:pt idx="491">
                  <c:v>-111.97566639297897</c:v>
                </c:pt>
                <c:pt idx="492">
                  <c:v>-113.84696694429273</c:v>
                </c:pt>
                <c:pt idx="493">
                  <c:v>-115.70906633514301</c:v>
                </c:pt>
                <c:pt idx="494">
                  <c:v>-117.56162918134842</c:v>
                </c:pt>
                <c:pt idx="495">
                  <c:v>-119.40433954959096</c:v>
                </c:pt>
                <c:pt idx="496">
                  <c:v>-121.23690097973714</c:v>
                </c:pt>
                <c:pt idx="497">
                  <c:v>-123.05903639564832</c:v>
                </c:pt>
                <c:pt idx="498">
                  <c:v>-124.87048790702161</c:v>
                </c:pt>
                <c:pt idx="499">
                  <c:v>-126.67101650564535</c:v>
                </c:pt>
                <c:pt idx="500">
                  <c:v>-128.46040166026961</c:v>
                </c:pt>
                <c:pt idx="501">
                  <c:v>-130.23844081501605</c:v>
                </c:pt>
                <c:pt idx="502">
                  <c:v>-132.0049487969132</c:v>
                </c:pt>
                <c:pt idx="503">
                  <c:v>-133.7597571387106</c:v>
                </c:pt>
                <c:pt idx="504">
                  <c:v>-135.50271332364915</c:v>
                </c:pt>
                <c:pt idx="505">
                  <c:v>-137.23367995927643</c:v>
                </c:pt>
                <c:pt idx="506">
                  <c:v>-138.95253388776251</c:v>
                </c:pt>
                <c:pt idx="507">
                  <c:v>-140.65916524044502</c:v>
                </c:pt>
                <c:pt idx="508">
                  <c:v>-142.3534764445638</c:v>
                </c:pt>
                <c:pt idx="509">
                  <c:v>-144.03538119027641</c:v>
                </c:pt>
                <c:pt idx="510">
                  <c:v>-145.70480336614625</c:v>
                </c:pt>
                <c:pt idx="511">
                  <c:v>-147.36167597132874</c:v>
                </c:pt>
                <c:pt idx="512">
                  <c:v>-149.00594001264332</c:v>
                </c:pt>
                <c:pt idx="513">
                  <c:v>-150.63754339466601</c:v>
                </c:pt>
                <c:pt idx="514">
                  <c:v>-152.25643981082894</c:v>
                </c:pt>
                <c:pt idx="515">
                  <c:v>-153.86258764337259</c:v>
                </c:pt>
                <c:pt idx="516">
                  <c:v>-155.45594887976952</c:v>
                </c:pt>
                <c:pt idx="517">
                  <c:v>-157.03648805299656</c:v>
                </c:pt>
                <c:pt idx="518">
                  <c:v>-158.60417121273926</c:v>
                </c:pt>
                <c:pt idx="519">
                  <c:v>-160.1589649342927</c:v>
                </c:pt>
                <c:pt idx="520">
                  <c:v>-161.70083537155841</c:v>
                </c:pt>
                <c:pt idx="521">
                  <c:v>-163.22974736013686</c:v>
                </c:pt>
                <c:pt idx="522">
                  <c:v>-164.74566357609086</c:v>
                </c:pt>
                <c:pt idx="523">
                  <c:v>-166.24854375548827</c:v>
                </c:pt>
                <c:pt idx="524">
                  <c:v>-167.73834397933746</c:v>
                </c:pt>
                <c:pt idx="525">
                  <c:v>-169.21501602799538</c:v>
                </c:pt>
                <c:pt idx="526">
                  <c:v>-170.67850680857987</c:v>
                </c:pt>
                <c:pt idx="527">
                  <c:v>-172.12875785833862</c:v>
                </c:pt>
                <c:pt idx="528">
                  <c:v>-173.56570492629288</c:v>
                </c:pt>
                <c:pt idx="529">
                  <c:v>-174.98927763488717</c:v>
                </c:pt>
                <c:pt idx="530">
                  <c:v>-176.39939922267621</c:v>
                </c:pt>
                <c:pt idx="531">
                  <c:v>-177.79598636846933</c:v>
                </c:pt>
                <c:pt idx="532">
                  <c:v>-179.17894909664477</c:v>
                </c:pt>
                <c:pt idx="533">
                  <c:v>179.45180923729905</c:v>
                </c:pt>
                <c:pt idx="534">
                  <c:v>178.09639188257464</c:v>
                </c:pt>
                <c:pt idx="535">
                  <c:v>176.75490855258226</c:v>
                </c:pt>
                <c:pt idx="536">
                  <c:v>175.42747521093997</c:v>
                </c:pt>
                <c:pt idx="537">
                  <c:v>174.11421378758203</c:v>
                </c:pt>
                <c:pt idx="538">
                  <c:v>172.81525182902718</c:v>
                </c:pt>
                <c:pt idx="539">
                  <c:v>171.53072208745039</c:v>
                </c:pt>
                <c:pt idx="540">
                  <c:v>170.26076205368201</c:v>
                </c:pt>
                <c:pt idx="541">
                  <c:v>169.00551343969229</c:v>
                </c:pt>
              </c:numCache>
            </c:numRef>
          </c:yVal>
          <c:smooth val="1"/>
          <c:extLst>
            <c:ext xmlns:c16="http://schemas.microsoft.com/office/drawing/2014/chart" uri="{C3380CC4-5D6E-409C-BE32-E72D297353CC}">
              <c16:uniqueId val="{00000001-681E-4A6D-8667-FCC119565DEF}"/>
            </c:ext>
          </c:extLst>
        </c:ser>
        <c:dLbls>
          <c:showLegendKey val="0"/>
          <c:showVal val="0"/>
          <c:showCatName val="0"/>
          <c:showSerName val="0"/>
          <c:showPercent val="0"/>
          <c:showBubbleSize val="0"/>
        </c:dLbls>
        <c:axId val="76010240"/>
        <c:axId val="76008448"/>
      </c:scatterChart>
      <c:valAx>
        <c:axId val="7597568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76006528"/>
        <c:crosses val="autoZero"/>
        <c:crossBetween val="midCat"/>
      </c:valAx>
      <c:valAx>
        <c:axId val="76006528"/>
        <c:scaling>
          <c:orientation val="minMax"/>
          <c:max val="80"/>
          <c:min val="-8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75975680"/>
        <c:crosses val="autoZero"/>
        <c:crossBetween val="midCat"/>
        <c:majorUnit val="20"/>
        <c:minorUnit val="10"/>
      </c:valAx>
      <c:valAx>
        <c:axId val="76008448"/>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76010240"/>
        <c:crosses val="max"/>
        <c:crossBetween val="midCat"/>
        <c:majorUnit val="90"/>
        <c:minorUnit val="45"/>
      </c:valAx>
      <c:valAx>
        <c:axId val="76010240"/>
        <c:scaling>
          <c:logBase val="10"/>
          <c:orientation val="minMax"/>
        </c:scaling>
        <c:delete val="1"/>
        <c:axPos val="b"/>
        <c:numFmt formatCode="0.00" sourceLinked="1"/>
        <c:majorTickMark val="out"/>
        <c:minorTickMark val="none"/>
        <c:tickLblPos val="nextTo"/>
        <c:crossAx val="76008448"/>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Eff_vs_IOUT!$AZ$7:$AZ$157</c:f>
              <c:numCache>
                <c:formatCode>General</c:formatCode>
                <c:ptCount val="151"/>
                <c:pt idx="0">
                  <c:v>0</c:v>
                </c:pt>
                <c:pt idx="1">
                  <c:v>2E-3</c:v>
                </c:pt>
                <c:pt idx="2">
                  <c:v>4.0000000000000001E-3</c:v>
                </c:pt>
                <c:pt idx="3">
                  <c:v>6.0000000000000001E-3</c:v>
                </c:pt>
                <c:pt idx="4">
                  <c:v>8.0000000000000002E-3</c:v>
                </c:pt>
                <c:pt idx="5">
                  <c:v>0.01</c:v>
                </c:pt>
                <c:pt idx="6">
                  <c:v>1.2E-2</c:v>
                </c:pt>
                <c:pt idx="7">
                  <c:v>1.4E-2</c:v>
                </c:pt>
                <c:pt idx="8">
                  <c:v>1.6E-2</c:v>
                </c:pt>
                <c:pt idx="9">
                  <c:v>1.8000000000000002E-2</c:v>
                </c:pt>
                <c:pt idx="10">
                  <c:v>0.02</c:v>
                </c:pt>
                <c:pt idx="11">
                  <c:v>2.1999999999999999E-2</c:v>
                </c:pt>
                <c:pt idx="12">
                  <c:v>2.4E-2</c:v>
                </c:pt>
                <c:pt idx="13">
                  <c:v>2.6000000000000002E-2</c:v>
                </c:pt>
                <c:pt idx="14">
                  <c:v>2.8000000000000001E-2</c:v>
                </c:pt>
                <c:pt idx="15">
                  <c:v>0.03</c:v>
                </c:pt>
                <c:pt idx="16">
                  <c:v>3.2000000000000001E-2</c:v>
                </c:pt>
                <c:pt idx="17">
                  <c:v>3.4000000000000002E-2</c:v>
                </c:pt>
                <c:pt idx="18">
                  <c:v>3.6000000000000004E-2</c:v>
                </c:pt>
                <c:pt idx="19">
                  <c:v>3.7999999999999999E-2</c:v>
                </c:pt>
                <c:pt idx="20">
                  <c:v>0.04</c:v>
                </c:pt>
                <c:pt idx="21">
                  <c:v>4.2000000000000003E-2</c:v>
                </c:pt>
                <c:pt idx="22">
                  <c:v>4.3999999999999997E-2</c:v>
                </c:pt>
                <c:pt idx="23">
                  <c:v>4.5999999999999999E-2</c:v>
                </c:pt>
                <c:pt idx="24">
                  <c:v>4.8000000000000001E-2</c:v>
                </c:pt>
                <c:pt idx="25">
                  <c:v>0.05</c:v>
                </c:pt>
                <c:pt idx="26">
                  <c:v>5.2000000000000005E-2</c:v>
                </c:pt>
                <c:pt idx="27">
                  <c:v>5.3999999999999999E-2</c:v>
                </c:pt>
                <c:pt idx="28">
                  <c:v>5.6000000000000001E-2</c:v>
                </c:pt>
                <c:pt idx="29">
                  <c:v>5.8000000000000003E-2</c:v>
                </c:pt>
                <c:pt idx="30">
                  <c:v>0.06</c:v>
                </c:pt>
                <c:pt idx="31">
                  <c:v>6.2E-2</c:v>
                </c:pt>
                <c:pt idx="32">
                  <c:v>6.4000000000000001E-2</c:v>
                </c:pt>
                <c:pt idx="33">
                  <c:v>6.6000000000000003E-2</c:v>
                </c:pt>
                <c:pt idx="34">
                  <c:v>6.8000000000000005E-2</c:v>
                </c:pt>
                <c:pt idx="35">
                  <c:v>7.0000000000000007E-2</c:v>
                </c:pt>
                <c:pt idx="36">
                  <c:v>7.2000000000000008E-2</c:v>
                </c:pt>
                <c:pt idx="37">
                  <c:v>7.3999999999999996E-2</c:v>
                </c:pt>
                <c:pt idx="38">
                  <c:v>7.5999999999999998E-2</c:v>
                </c:pt>
                <c:pt idx="39">
                  <c:v>7.8E-2</c:v>
                </c:pt>
                <c:pt idx="40">
                  <c:v>0.08</c:v>
                </c:pt>
                <c:pt idx="41">
                  <c:v>8.2000000000000003E-2</c:v>
                </c:pt>
                <c:pt idx="42">
                  <c:v>8.4000000000000005E-2</c:v>
                </c:pt>
                <c:pt idx="43">
                  <c:v>8.6000000000000007E-2</c:v>
                </c:pt>
                <c:pt idx="44">
                  <c:v>8.7999999999999995E-2</c:v>
                </c:pt>
                <c:pt idx="45">
                  <c:v>0.09</c:v>
                </c:pt>
                <c:pt idx="46">
                  <c:v>9.1999999999999998E-2</c:v>
                </c:pt>
                <c:pt idx="47">
                  <c:v>9.4E-2</c:v>
                </c:pt>
                <c:pt idx="48">
                  <c:v>9.6000000000000002E-2</c:v>
                </c:pt>
                <c:pt idx="49">
                  <c:v>9.8000000000000004E-2</c:v>
                </c:pt>
                <c:pt idx="50">
                  <c:v>0.1</c:v>
                </c:pt>
                <c:pt idx="51">
                  <c:v>0.10200000000000001</c:v>
                </c:pt>
                <c:pt idx="52">
                  <c:v>0.10400000000000001</c:v>
                </c:pt>
                <c:pt idx="53">
                  <c:v>0.106</c:v>
                </c:pt>
                <c:pt idx="54">
                  <c:v>0.108</c:v>
                </c:pt>
                <c:pt idx="55">
                  <c:v>0.11</c:v>
                </c:pt>
                <c:pt idx="56">
                  <c:v>0.112</c:v>
                </c:pt>
                <c:pt idx="57">
                  <c:v>0.114</c:v>
                </c:pt>
                <c:pt idx="58">
                  <c:v>0.11600000000000001</c:v>
                </c:pt>
                <c:pt idx="59">
                  <c:v>0.11800000000000001</c:v>
                </c:pt>
                <c:pt idx="60">
                  <c:v>0.12</c:v>
                </c:pt>
                <c:pt idx="61">
                  <c:v>0.122</c:v>
                </c:pt>
                <c:pt idx="62">
                  <c:v>0.124</c:v>
                </c:pt>
                <c:pt idx="63">
                  <c:v>0.126</c:v>
                </c:pt>
                <c:pt idx="64">
                  <c:v>0.128</c:v>
                </c:pt>
                <c:pt idx="65">
                  <c:v>0.13</c:v>
                </c:pt>
                <c:pt idx="66">
                  <c:v>0.13200000000000001</c:v>
                </c:pt>
                <c:pt idx="67">
                  <c:v>0.13400000000000001</c:v>
                </c:pt>
                <c:pt idx="68">
                  <c:v>0.13600000000000001</c:v>
                </c:pt>
                <c:pt idx="69">
                  <c:v>0.13800000000000001</c:v>
                </c:pt>
                <c:pt idx="70">
                  <c:v>0.14000000000000001</c:v>
                </c:pt>
                <c:pt idx="71">
                  <c:v>0.14200000000000002</c:v>
                </c:pt>
                <c:pt idx="72">
                  <c:v>0.14400000000000002</c:v>
                </c:pt>
                <c:pt idx="73">
                  <c:v>0.14599999999999999</c:v>
                </c:pt>
                <c:pt idx="74">
                  <c:v>0.14799999999999999</c:v>
                </c:pt>
                <c:pt idx="75">
                  <c:v>0.15</c:v>
                </c:pt>
                <c:pt idx="76">
                  <c:v>0.152</c:v>
                </c:pt>
                <c:pt idx="77">
                  <c:v>0.154</c:v>
                </c:pt>
                <c:pt idx="78">
                  <c:v>0.156</c:v>
                </c:pt>
                <c:pt idx="79">
                  <c:v>0.158</c:v>
                </c:pt>
                <c:pt idx="80">
                  <c:v>0.16</c:v>
                </c:pt>
                <c:pt idx="81">
                  <c:v>0.16200000000000001</c:v>
                </c:pt>
                <c:pt idx="82">
                  <c:v>0.16400000000000001</c:v>
                </c:pt>
                <c:pt idx="83">
                  <c:v>0.16600000000000001</c:v>
                </c:pt>
                <c:pt idx="84">
                  <c:v>0.16800000000000001</c:v>
                </c:pt>
                <c:pt idx="85">
                  <c:v>0.17</c:v>
                </c:pt>
                <c:pt idx="86">
                  <c:v>0.17200000000000001</c:v>
                </c:pt>
                <c:pt idx="87">
                  <c:v>0.17400000000000002</c:v>
                </c:pt>
                <c:pt idx="88">
                  <c:v>0.17599999999999999</c:v>
                </c:pt>
                <c:pt idx="89">
                  <c:v>0.17799999999999999</c:v>
                </c:pt>
                <c:pt idx="90">
                  <c:v>0.18</c:v>
                </c:pt>
                <c:pt idx="91">
                  <c:v>0.182</c:v>
                </c:pt>
                <c:pt idx="92">
                  <c:v>0.184</c:v>
                </c:pt>
                <c:pt idx="93">
                  <c:v>0.186</c:v>
                </c:pt>
                <c:pt idx="94">
                  <c:v>0.188</c:v>
                </c:pt>
                <c:pt idx="95">
                  <c:v>0.19</c:v>
                </c:pt>
                <c:pt idx="96">
                  <c:v>0.192</c:v>
                </c:pt>
                <c:pt idx="97">
                  <c:v>0.19400000000000001</c:v>
                </c:pt>
                <c:pt idx="98">
                  <c:v>0.19600000000000001</c:v>
                </c:pt>
                <c:pt idx="99">
                  <c:v>0.19800000000000001</c:v>
                </c:pt>
                <c:pt idx="100">
                  <c:v>0.2</c:v>
                </c:pt>
                <c:pt idx="101">
                  <c:v>0.20200000000000001</c:v>
                </c:pt>
                <c:pt idx="102">
                  <c:v>0.20400000000000001</c:v>
                </c:pt>
                <c:pt idx="103">
                  <c:v>0.20600000000000002</c:v>
                </c:pt>
                <c:pt idx="104">
                  <c:v>0.20800000000000002</c:v>
                </c:pt>
                <c:pt idx="105">
                  <c:v>0.21</c:v>
                </c:pt>
                <c:pt idx="106">
                  <c:v>0.21199999999999999</c:v>
                </c:pt>
                <c:pt idx="107">
                  <c:v>0.214</c:v>
                </c:pt>
                <c:pt idx="108">
                  <c:v>0.216</c:v>
                </c:pt>
                <c:pt idx="109">
                  <c:v>0.218</c:v>
                </c:pt>
                <c:pt idx="110">
                  <c:v>0.22</c:v>
                </c:pt>
                <c:pt idx="111">
                  <c:v>0.222</c:v>
                </c:pt>
                <c:pt idx="112">
                  <c:v>0.224</c:v>
                </c:pt>
                <c:pt idx="113">
                  <c:v>0.22600000000000001</c:v>
                </c:pt>
                <c:pt idx="114">
                  <c:v>0.22800000000000001</c:v>
                </c:pt>
                <c:pt idx="115">
                  <c:v>0.23</c:v>
                </c:pt>
                <c:pt idx="116">
                  <c:v>0.23200000000000001</c:v>
                </c:pt>
                <c:pt idx="117">
                  <c:v>0.23400000000000001</c:v>
                </c:pt>
                <c:pt idx="118">
                  <c:v>0.23600000000000002</c:v>
                </c:pt>
                <c:pt idx="119">
                  <c:v>0.23800000000000002</c:v>
                </c:pt>
                <c:pt idx="120">
                  <c:v>0.24</c:v>
                </c:pt>
                <c:pt idx="121">
                  <c:v>0.24199999999999999</c:v>
                </c:pt>
                <c:pt idx="122">
                  <c:v>0.24399999999999999</c:v>
                </c:pt>
                <c:pt idx="123">
                  <c:v>0.246</c:v>
                </c:pt>
                <c:pt idx="124">
                  <c:v>0.248</c:v>
                </c:pt>
                <c:pt idx="125">
                  <c:v>0.25</c:v>
                </c:pt>
                <c:pt idx="126">
                  <c:v>0.252</c:v>
                </c:pt>
                <c:pt idx="127">
                  <c:v>0.254</c:v>
                </c:pt>
                <c:pt idx="128">
                  <c:v>0.25600000000000001</c:v>
                </c:pt>
                <c:pt idx="129">
                  <c:v>0.25800000000000001</c:v>
                </c:pt>
                <c:pt idx="130">
                  <c:v>0.26</c:v>
                </c:pt>
                <c:pt idx="131">
                  <c:v>0.26200000000000001</c:v>
                </c:pt>
                <c:pt idx="132">
                  <c:v>0.26400000000000001</c:v>
                </c:pt>
                <c:pt idx="133">
                  <c:v>0.26600000000000001</c:v>
                </c:pt>
                <c:pt idx="134">
                  <c:v>0.26800000000000002</c:v>
                </c:pt>
                <c:pt idx="135">
                  <c:v>0.27</c:v>
                </c:pt>
                <c:pt idx="136">
                  <c:v>0.27200000000000002</c:v>
                </c:pt>
                <c:pt idx="137">
                  <c:v>0.27400000000000002</c:v>
                </c:pt>
                <c:pt idx="138">
                  <c:v>0.27600000000000002</c:v>
                </c:pt>
                <c:pt idx="139">
                  <c:v>0.27800000000000002</c:v>
                </c:pt>
                <c:pt idx="140">
                  <c:v>0.28000000000000003</c:v>
                </c:pt>
                <c:pt idx="141">
                  <c:v>0.28200000000000003</c:v>
                </c:pt>
                <c:pt idx="142">
                  <c:v>0.28400000000000003</c:v>
                </c:pt>
                <c:pt idx="143">
                  <c:v>0.28600000000000003</c:v>
                </c:pt>
                <c:pt idx="144">
                  <c:v>0.28800000000000003</c:v>
                </c:pt>
                <c:pt idx="145">
                  <c:v>0.28999999999999998</c:v>
                </c:pt>
                <c:pt idx="146">
                  <c:v>0.29199999999999998</c:v>
                </c:pt>
                <c:pt idx="147">
                  <c:v>0.29399999999999998</c:v>
                </c:pt>
                <c:pt idx="148">
                  <c:v>0.29599999999999999</c:v>
                </c:pt>
                <c:pt idx="149">
                  <c:v>0.29799999999999999</c:v>
                </c:pt>
                <c:pt idx="150">
                  <c:v>0.3</c:v>
                </c:pt>
              </c:numCache>
            </c:numRef>
          </c:xVal>
          <c:yVal>
            <c:numRef>
              <c:f>Eff_vs_IOUT!$CA$7:$CA$157</c:f>
              <c:numCache>
                <c:formatCode>General</c:formatCode>
                <c:ptCount val="151"/>
                <c:pt idx="0">
                  <c:v>0</c:v>
                </c:pt>
                <c:pt idx="1">
                  <c:v>12.174544723050632</c:v>
                </c:pt>
                <c:pt idx="2">
                  <c:v>21.485246389593058</c:v>
                </c:pt>
                <c:pt idx="3">
                  <c:v>28.83596902001057</c:v>
                </c:pt>
                <c:pt idx="4">
                  <c:v>34.786480811227449</c:v>
                </c:pt>
                <c:pt idx="5">
                  <c:v>39.70194227597927</c:v>
                </c:pt>
                <c:pt idx="6">
                  <c:v>43.830707269231596</c:v>
                </c:pt>
                <c:pt idx="7">
                  <c:v>47.347566278372696</c:v>
                </c:pt>
                <c:pt idx="8">
                  <c:v>50.379104164272057</c:v>
                </c:pt>
                <c:pt idx="9">
                  <c:v>53.019245728315788</c:v>
                </c:pt>
                <c:pt idx="10">
                  <c:v>55.339150172244409</c:v>
                </c:pt>
                <c:pt idx="11">
                  <c:v>57.393714121134167</c:v>
                </c:pt>
                <c:pt idx="12">
                  <c:v>59.225966074827838</c:v>
                </c:pt>
                <c:pt idx="13">
                  <c:v>60.870109012879368</c:v>
                </c:pt>
                <c:pt idx="14">
                  <c:v>62.353672651689841</c:v>
                </c:pt>
                <c:pt idx="15">
                  <c:v>63.699065174099587</c:v>
                </c:pt>
                <c:pt idx="16">
                  <c:v>64.924711227193896</c:v>
                </c:pt>
                <c:pt idx="17">
                  <c:v>66.045899406715549</c:v>
                </c:pt>
                <c:pt idx="18">
                  <c:v>67.075422219198629</c:v>
                </c:pt>
                <c:pt idx="19">
                  <c:v>68.024065480819203</c:v>
                </c:pt>
                <c:pt idx="20">
                  <c:v>68.900986919393731</c:v>
                </c:pt>
                <c:pt idx="21">
                  <c:v>69.714012179145442</c:v>
                </c:pt>
                <c:pt idx="22">
                  <c:v>70.469868513184025</c:v>
                </c:pt>
                <c:pt idx="23">
                  <c:v>71.174370948285315</c:v>
                </c:pt>
                <c:pt idx="24">
                  <c:v>71.832571829049527</c:v>
                </c:pt>
                <c:pt idx="25">
                  <c:v>72.44888187873805</c:v>
                </c:pt>
                <c:pt idx="26">
                  <c:v>73.027168911242796</c:v>
                </c:pt>
                <c:pt idx="27">
                  <c:v>73.570838863818793</c:v>
                </c:pt>
                <c:pt idx="28">
                  <c:v>74.082902737480126</c:v>
                </c:pt>
                <c:pt idx="29">
                  <c:v>74.539686454578842</c:v>
                </c:pt>
                <c:pt idx="30">
                  <c:v>74.994882586746414</c:v>
                </c:pt>
                <c:pt idx="31">
                  <c:v>75.425584689893896</c:v>
                </c:pt>
                <c:pt idx="32">
                  <c:v>75.833699496117646</c:v>
                </c:pt>
                <c:pt idx="33">
                  <c:v>76.220940710826184</c:v>
                </c:pt>
                <c:pt idx="34">
                  <c:v>76.588852835801049</c:v>
                </c:pt>
                <c:pt idx="35">
                  <c:v>76.938831549002956</c:v>
                </c:pt>
                <c:pt idx="36">
                  <c:v>77.272141208080257</c:v>
                </c:pt>
                <c:pt idx="37">
                  <c:v>77.589929940297793</c:v>
                </c:pt>
                <c:pt idx="38">
                  <c:v>77.893242698443672</c:v>
                </c:pt>
                <c:pt idx="39">
                  <c:v>78.183032595553584</c:v>
                </c:pt>
                <c:pt idx="40">
                  <c:v>78.460170777485615</c:v>
                </c:pt>
                <c:pt idx="41">
                  <c:v>78.725455048762981</c:v>
                </c:pt>
                <c:pt idx="42">
                  <c:v>78.97961743157876</c:v>
                </c:pt>
                <c:pt idx="43">
                  <c:v>79.223330808790521</c:v>
                </c:pt>
                <c:pt idx="44">
                  <c:v>79.457214777844669</c:v>
                </c:pt>
                <c:pt idx="45">
                  <c:v>79.681840822856657</c:v>
                </c:pt>
                <c:pt idx="46">
                  <c:v>79.897736895737935</c:v>
                </c:pt>
                <c:pt idx="47">
                  <c:v>80.105391483672435</c:v>
                </c:pt>
                <c:pt idx="48">
                  <c:v>80.305257228900643</c:v>
                </c:pt>
                <c:pt idx="49">
                  <c:v>80.497754157264552</c:v>
                </c:pt>
                <c:pt idx="50">
                  <c:v>80.683272563974313</c:v>
                </c:pt>
                <c:pt idx="51">
                  <c:v>80.862175598317492</c:v>
                </c:pt>
                <c:pt idx="52">
                  <c:v>81.034801583326725</c:v>
                </c:pt>
                <c:pt idx="53">
                  <c:v>81.201466101581019</c:v>
                </c:pt>
                <c:pt idx="54">
                  <c:v>81.36246387419331</c:v>
                </c:pt>
                <c:pt idx="55">
                  <c:v>81.518070456520064</c:v>
                </c:pt>
                <c:pt idx="56">
                  <c:v>81.668543771115239</c:v>
                </c:pt>
                <c:pt idx="57">
                  <c:v>81.814125495866975</c:v>
                </c:pt>
                <c:pt idx="58">
                  <c:v>81.955042323030483</c:v>
                </c:pt>
                <c:pt idx="59">
                  <c:v>82.091507102951795</c:v>
                </c:pt>
                <c:pt idx="60">
                  <c:v>82.223719884617893</c:v>
                </c:pt>
                <c:pt idx="61">
                  <c:v>82.3518688637308</c:v>
                </c:pt>
                <c:pt idx="62">
                  <c:v>82.476131247753813</c:v>
                </c:pt>
                <c:pt idx="63">
                  <c:v>82.596674046291113</c:v>
                </c:pt>
                <c:pt idx="64">
                  <c:v>82.713654794212971</c:v>
                </c:pt>
                <c:pt idx="65">
                  <c:v>82.827222214109824</c:v>
                </c:pt>
                <c:pt idx="66">
                  <c:v>82.937516823931972</c:v>
                </c:pt>
                <c:pt idx="67">
                  <c:v>83.04467149503472</c:v>
                </c:pt>
                <c:pt idx="68">
                  <c:v>83.14881196528772</c:v>
                </c:pt>
                <c:pt idx="69">
                  <c:v>83.250057311414224</c:v>
                </c:pt>
                <c:pt idx="70">
                  <c:v>83.348520384290325</c:v>
                </c:pt>
                <c:pt idx="71">
                  <c:v>83.444308210548868</c:v>
                </c:pt>
                <c:pt idx="72">
                  <c:v>83.537522363492727</c:v>
                </c:pt>
                <c:pt idx="73">
                  <c:v>83.628259306018762</c:v>
                </c:pt>
                <c:pt idx="74">
                  <c:v>83.716610707986462</c:v>
                </c:pt>
                <c:pt idx="75">
                  <c:v>83.802663740225526</c:v>
                </c:pt>
                <c:pt idx="76">
                  <c:v>83.886501347164298</c:v>
                </c:pt>
                <c:pt idx="77">
                  <c:v>83.968202499871197</c:v>
                </c:pt>
                <c:pt idx="78">
                  <c:v>84.047842431131244</c:v>
                </c:pt>
                <c:pt idx="79">
                  <c:v>84.125492854028607</c:v>
                </c:pt>
                <c:pt idx="80">
                  <c:v>84.201222165369416</c:v>
                </c:pt>
                <c:pt idx="81">
                  <c:v>84.27509563515757</c:v>
                </c:pt>
                <c:pt idx="82">
                  <c:v>84.347175583226687</c:v>
                </c:pt>
                <c:pt idx="83">
                  <c:v>84.417521544032368</c:v>
                </c:pt>
                <c:pt idx="84">
                  <c:v>84.486190420520629</c:v>
                </c:pt>
                <c:pt idx="85">
                  <c:v>84.553236627907751</c:v>
                </c:pt>
                <c:pt idx="86">
                  <c:v>84.618712228135578</c:v>
                </c:pt>
                <c:pt idx="87">
                  <c:v>84.682667055699255</c:v>
                </c:pt>
                <c:pt idx="88">
                  <c:v>84.745148835487555</c:v>
                </c:pt>
                <c:pt idx="89">
                  <c:v>84.806203293220165</c:v>
                </c:pt>
                <c:pt idx="90">
                  <c:v>84.865874259019492</c:v>
                </c:pt>
                <c:pt idx="91">
                  <c:v>84.924203764609672</c:v>
                </c:pt>
                <c:pt idx="92">
                  <c:v>84.981232134595473</c:v>
                </c:pt>
                <c:pt idx="93">
                  <c:v>85.036998072237722</c:v>
                </c:pt>
                <c:pt idx="94">
                  <c:v>85.091538740108433</c:v>
                </c:pt>
                <c:pt idx="95">
                  <c:v>85.144889835978717</c:v>
                </c:pt>
                <c:pt idx="96">
                  <c:v>85.197085664265089</c:v>
                </c:pt>
                <c:pt idx="97">
                  <c:v>85.248159203334367</c:v>
                </c:pt>
                <c:pt idx="98">
                  <c:v>85.298142168944679</c:v>
                </c:pt>
                <c:pt idx="99">
                  <c:v>85.347065074078969</c:v>
                </c:pt>
                <c:pt idx="100">
                  <c:v>85.394957285407898</c:v>
                </c:pt>
                <c:pt idx="101">
                  <c:v>85.44184707660169</c:v>
                </c:pt>
                <c:pt idx="102">
                  <c:v>85.487761678694312</c:v>
                </c:pt>
                <c:pt idx="103">
                  <c:v>85.532727327688121</c:v>
                </c:pt>
                <c:pt idx="104">
                  <c:v>85.576769309574146</c:v>
                </c:pt>
                <c:pt idx="105">
                  <c:v>85.619912002929937</c:v>
                </c:pt>
                <c:pt idx="106">
                  <c:v>85.662178919245633</c:v>
                </c:pt>
                <c:pt idx="107">
                  <c:v>85.703592741118769</c:v>
                </c:pt>
                <c:pt idx="108">
                  <c:v>85.744175358447677</c:v>
                </c:pt>
                <c:pt idx="109">
                  <c:v>85.783947902744842</c:v>
                </c:pt>
                <c:pt idx="110">
                  <c:v>85.822930779683475</c:v>
                </c:pt>
                <c:pt idx="111">
                  <c:v>85.86114369998208</c:v>
                </c:pt>
                <c:pt idx="112">
                  <c:v>85.898605708725526</c:v>
                </c:pt>
                <c:pt idx="113">
                  <c:v>85.935335213214074</c:v>
                </c:pt>
                <c:pt idx="114">
                  <c:v>85.971350009425905</c:v>
                </c:pt>
                <c:pt idx="115">
                  <c:v>86.006667307172876</c:v>
                </c:pt>
                <c:pt idx="116">
                  <c:v>86.041303754024469</c:v>
                </c:pt>
                <c:pt idx="117">
                  <c:v>86.075275458069427</c:v>
                </c:pt>
                <c:pt idx="118">
                  <c:v>86.108598009580575</c:v>
                </c:pt>
                <c:pt idx="119">
                  <c:v>86.141286501644032</c:v>
                </c:pt>
                <c:pt idx="120">
                  <c:v>86.173355549809997</c:v>
                </c:pt>
                <c:pt idx="121">
                  <c:v>86.204819310819019</c:v>
                </c:pt>
                <c:pt idx="122">
                  <c:v>86.235691500453697</c:v>
                </c:pt>
                <c:pt idx="123">
                  <c:v>86.265985410563701</c:v>
                </c:pt>
                <c:pt idx="124">
                  <c:v>86.295713925307851</c:v>
                </c:pt>
                <c:pt idx="125">
                  <c:v>86.32488953665532</c:v>
                </c:pt>
                <c:pt idx="126">
                  <c:v>86.353524359184945</c:v>
                </c:pt>
                <c:pt idx="127">
                  <c:v>86.381630144219358</c:v>
                </c:pt>
                <c:pt idx="128">
                  <c:v>86.409218293328848</c:v>
                </c:pt>
                <c:pt idx="129">
                  <c:v>86.436299871237154</c:v>
                </c:pt>
                <c:pt idx="130">
                  <c:v>86.462885618160115</c:v>
                </c:pt>
                <c:pt idx="131">
                  <c:v>86.488985961605962</c:v>
                </c:pt>
                <c:pt idx="132">
                  <c:v>86.514611027664358</c:v>
                </c:pt>
                <c:pt idx="133">
                  <c:v>86.539770651810073</c:v>
                </c:pt>
                <c:pt idx="134">
                  <c:v>86.56447438924522</c:v>
                </c:pt>
                <c:pt idx="135">
                  <c:v>86.58873152480308</c:v>
                </c:pt>
                <c:pt idx="136">
                  <c:v>86.612551082434834</c:v>
                </c:pt>
                <c:pt idx="137">
                  <c:v>86.635941834299885</c:v>
                </c:pt>
                <c:pt idx="138">
                  <c:v>86.658912309478524</c:v>
                </c:pt>
                <c:pt idx="139">
                  <c:v>86.681470802325492</c:v>
                </c:pt>
                <c:pt idx="140">
                  <c:v>86.703625380481469</c:v>
                </c:pt>
                <c:pt idx="141">
                  <c:v>86.725383892558526</c:v>
                </c:pt>
                <c:pt idx="142">
                  <c:v>86.746753975515361</c:v>
                </c:pt>
                <c:pt idx="143">
                  <c:v>86.767743061736198</c:v>
                </c:pt>
                <c:pt idx="144">
                  <c:v>86.788358385827934</c:v>
                </c:pt>
                <c:pt idx="145">
                  <c:v>86.808606991147641</c:v>
                </c:pt>
                <c:pt idx="146">
                  <c:v>86.828495736073791</c:v>
                </c:pt>
                <c:pt idx="147">
                  <c:v>86.848031300031778</c:v>
                </c:pt>
                <c:pt idx="148">
                  <c:v>86.867220189286101</c:v>
                </c:pt>
                <c:pt idx="149">
                  <c:v>86.886068742508485</c:v>
                </c:pt>
                <c:pt idx="150">
                  <c:v>86.904583136133041</c:v>
                </c:pt>
              </c:numCache>
            </c:numRef>
          </c:yVal>
          <c:smooth val="0"/>
          <c:extLst>
            <c:ext xmlns:c16="http://schemas.microsoft.com/office/drawing/2014/chart" uri="{C3380CC4-5D6E-409C-BE32-E72D297353CC}">
              <c16:uniqueId val="{00000000-EE40-4D4A-8FA1-41721E446D03}"/>
            </c:ext>
          </c:extLst>
        </c:ser>
        <c:dLbls>
          <c:showLegendKey val="0"/>
          <c:showVal val="0"/>
          <c:showCatName val="0"/>
          <c:showSerName val="0"/>
          <c:showPercent val="0"/>
          <c:showBubbleSize val="0"/>
        </c:dLbls>
        <c:axId val="76121600"/>
        <c:axId val="76123136"/>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Eff_vs_IOUT!$AZ$7:$AZ$157</c:f>
              <c:numCache>
                <c:formatCode>General</c:formatCode>
                <c:ptCount val="151"/>
                <c:pt idx="0">
                  <c:v>0</c:v>
                </c:pt>
                <c:pt idx="1">
                  <c:v>2E-3</c:v>
                </c:pt>
                <c:pt idx="2">
                  <c:v>4.0000000000000001E-3</c:v>
                </c:pt>
                <c:pt idx="3">
                  <c:v>6.0000000000000001E-3</c:v>
                </c:pt>
                <c:pt idx="4">
                  <c:v>8.0000000000000002E-3</c:v>
                </c:pt>
                <c:pt idx="5">
                  <c:v>0.01</c:v>
                </c:pt>
                <c:pt idx="6">
                  <c:v>1.2E-2</c:v>
                </c:pt>
                <c:pt idx="7">
                  <c:v>1.4E-2</c:v>
                </c:pt>
                <c:pt idx="8">
                  <c:v>1.6E-2</c:v>
                </c:pt>
                <c:pt idx="9">
                  <c:v>1.8000000000000002E-2</c:v>
                </c:pt>
                <c:pt idx="10">
                  <c:v>0.02</c:v>
                </c:pt>
                <c:pt idx="11">
                  <c:v>2.1999999999999999E-2</c:v>
                </c:pt>
                <c:pt idx="12">
                  <c:v>2.4E-2</c:v>
                </c:pt>
                <c:pt idx="13">
                  <c:v>2.6000000000000002E-2</c:v>
                </c:pt>
                <c:pt idx="14">
                  <c:v>2.8000000000000001E-2</c:v>
                </c:pt>
                <c:pt idx="15">
                  <c:v>0.03</c:v>
                </c:pt>
                <c:pt idx="16">
                  <c:v>3.2000000000000001E-2</c:v>
                </c:pt>
                <c:pt idx="17">
                  <c:v>3.4000000000000002E-2</c:v>
                </c:pt>
                <c:pt idx="18">
                  <c:v>3.6000000000000004E-2</c:v>
                </c:pt>
                <c:pt idx="19">
                  <c:v>3.7999999999999999E-2</c:v>
                </c:pt>
                <c:pt idx="20">
                  <c:v>0.04</c:v>
                </c:pt>
                <c:pt idx="21">
                  <c:v>4.2000000000000003E-2</c:v>
                </c:pt>
                <c:pt idx="22">
                  <c:v>4.3999999999999997E-2</c:v>
                </c:pt>
                <c:pt idx="23">
                  <c:v>4.5999999999999999E-2</c:v>
                </c:pt>
                <c:pt idx="24">
                  <c:v>4.8000000000000001E-2</c:v>
                </c:pt>
                <c:pt idx="25">
                  <c:v>0.05</c:v>
                </c:pt>
                <c:pt idx="26">
                  <c:v>5.2000000000000005E-2</c:v>
                </c:pt>
                <c:pt idx="27">
                  <c:v>5.3999999999999999E-2</c:v>
                </c:pt>
                <c:pt idx="28">
                  <c:v>5.6000000000000001E-2</c:v>
                </c:pt>
                <c:pt idx="29">
                  <c:v>5.8000000000000003E-2</c:v>
                </c:pt>
                <c:pt idx="30">
                  <c:v>0.06</c:v>
                </c:pt>
                <c:pt idx="31">
                  <c:v>6.2E-2</c:v>
                </c:pt>
                <c:pt idx="32">
                  <c:v>6.4000000000000001E-2</c:v>
                </c:pt>
                <c:pt idx="33">
                  <c:v>6.6000000000000003E-2</c:v>
                </c:pt>
                <c:pt idx="34">
                  <c:v>6.8000000000000005E-2</c:v>
                </c:pt>
                <c:pt idx="35">
                  <c:v>7.0000000000000007E-2</c:v>
                </c:pt>
                <c:pt idx="36">
                  <c:v>7.2000000000000008E-2</c:v>
                </c:pt>
                <c:pt idx="37">
                  <c:v>7.3999999999999996E-2</c:v>
                </c:pt>
                <c:pt idx="38">
                  <c:v>7.5999999999999998E-2</c:v>
                </c:pt>
                <c:pt idx="39">
                  <c:v>7.8E-2</c:v>
                </c:pt>
                <c:pt idx="40">
                  <c:v>0.08</c:v>
                </c:pt>
                <c:pt idx="41">
                  <c:v>8.2000000000000003E-2</c:v>
                </c:pt>
                <c:pt idx="42">
                  <c:v>8.4000000000000005E-2</c:v>
                </c:pt>
                <c:pt idx="43">
                  <c:v>8.6000000000000007E-2</c:v>
                </c:pt>
                <c:pt idx="44">
                  <c:v>8.7999999999999995E-2</c:v>
                </c:pt>
                <c:pt idx="45">
                  <c:v>0.09</c:v>
                </c:pt>
                <c:pt idx="46">
                  <c:v>9.1999999999999998E-2</c:v>
                </c:pt>
                <c:pt idx="47">
                  <c:v>9.4E-2</c:v>
                </c:pt>
                <c:pt idx="48">
                  <c:v>9.6000000000000002E-2</c:v>
                </c:pt>
                <c:pt idx="49">
                  <c:v>9.8000000000000004E-2</c:v>
                </c:pt>
                <c:pt idx="50">
                  <c:v>0.1</c:v>
                </c:pt>
                <c:pt idx="51">
                  <c:v>0.10200000000000001</c:v>
                </c:pt>
                <c:pt idx="52">
                  <c:v>0.10400000000000001</c:v>
                </c:pt>
                <c:pt idx="53">
                  <c:v>0.106</c:v>
                </c:pt>
                <c:pt idx="54">
                  <c:v>0.108</c:v>
                </c:pt>
                <c:pt idx="55">
                  <c:v>0.11</c:v>
                </c:pt>
                <c:pt idx="56">
                  <c:v>0.112</c:v>
                </c:pt>
                <c:pt idx="57">
                  <c:v>0.114</c:v>
                </c:pt>
                <c:pt idx="58">
                  <c:v>0.11600000000000001</c:v>
                </c:pt>
                <c:pt idx="59">
                  <c:v>0.11800000000000001</c:v>
                </c:pt>
                <c:pt idx="60">
                  <c:v>0.12</c:v>
                </c:pt>
                <c:pt idx="61">
                  <c:v>0.122</c:v>
                </c:pt>
                <c:pt idx="62">
                  <c:v>0.124</c:v>
                </c:pt>
                <c:pt idx="63">
                  <c:v>0.126</c:v>
                </c:pt>
                <c:pt idx="64">
                  <c:v>0.128</c:v>
                </c:pt>
                <c:pt idx="65">
                  <c:v>0.13</c:v>
                </c:pt>
                <c:pt idx="66">
                  <c:v>0.13200000000000001</c:v>
                </c:pt>
                <c:pt idx="67">
                  <c:v>0.13400000000000001</c:v>
                </c:pt>
                <c:pt idx="68">
                  <c:v>0.13600000000000001</c:v>
                </c:pt>
                <c:pt idx="69">
                  <c:v>0.13800000000000001</c:v>
                </c:pt>
                <c:pt idx="70">
                  <c:v>0.14000000000000001</c:v>
                </c:pt>
                <c:pt idx="71">
                  <c:v>0.14200000000000002</c:v>
                </c:pt>
                <c:pt idx="72">
                  <c:v>0.14400000000000002</c:v>
                </c:pt>
                <c:pt idx="73">
                  <c:v>0.14599999999999999</c:v>
                </c:pt>
                <c:pt idx="74">
                  <c:v>0.14799999999999999</c:v>
                </c:pt>
                <c:pt idx="75">
                  <c:v>0.15</c:v>
                </c:pt>
                <c:pt idx="76">
                  <c:v>0.152</c:v>
                </c:pt>
                <c:pt idx="77">
                  <c:v>0.154</c:v>
                </c:pt>
                <c:pt idx="78">
                  <c:v>0.156</c:v>
                </c:pt>
                <c:pt idx="79">
                  <c:v>0.158</c:v>
                </c:pt>
                <c:pt idx="80">
                  <c:v>0.16</c:v>
                </c:pt>
                <c:pt idx="81">
                  <c:v>0.16200000000000001</c:v>
                </c:pt>
                <c:pt idx="82">
                  <c:v>0.16400000000000001</c:v>
                </c:pt>
                <c:pt idx="83">
                  <c:v>0.16600000000000001</c:v>
                </c:pt>
                <c:pt idx="84">
                  <c:v>0.16800000000000001</c:v>
                </c:pt>
                <c:pt idx="85">
                  <c:v>0.17</c:v>
                </c:pt>
                <c:pt idx="86">
                  <c:v>0.17200000000000001</c:v>
                </c:pt>
                <c:pt idx="87">
                  <c:v>0.17400000000000002</c:v>
                </c:pt>
                <c:pt idx="88">
                  <c:v>0.17599999999999999</c:v>
                </c:pt>
                <c:pt idx="89">
                  <c:v>0.17799999999999999</c:v>
                </c:pt>
                <c:pt idx="90">
                  <c:v>0.18</c:v>
                </c:pt>
                <c:pt idx="91">
                  <c:v>0.182</c:v>
                </c:pt>
                <c:pt idx="92">
                  <c:v>0.184</c:v>
                </c:pt>
                <c:pt idx="93">
                  <c:v>0.186</c:v>
                </c:pt>
                <c:pt idx="94">
                  <c:v>0.188</c:v>
                </c:pt>
                <c:pt idx="95">
                  <c:v>0.19</c:v>
                </c:pt>
                <c:pt idx="96">
                  <c:v>0.192</c:v>
                </c:pt>
                <c:pt idx="97">
                  <c:v>0.19400000000000001</c:v>
                </c:pt>
                <c:pt idx="98">
                  <c:v>0.19600000000000001</c:v>
                </c:pt>
                <c:pt idx="99">
                  <c:v>0.19800000000000001</c:v>
                </c:pt>
                <c:pt idx="100">
                  <c:v>0.2</c:v>
                </c:pt>
                <c:pt idx="101">
                  <c:v>0.20200000000000001</c:v>
                </c:pt>
                <c:pt idx="102">
                  <c:v>0.20400000000000001</c:v>
                </c:pt>
                <c:pt idx="103">
                  <c:v>0.20600000000000002</c:v>
                </c:pt>
                <c:pt idx="104">
                  <c:v>0.20800000000000002</c:v>
                </c:pt>
                <c:pt idx="105">
                  <c:v>0.21</c:v>
                </c:pt>
                <c:pt idx="106">
                  <c:v>0.21199999999999999</c:v>
                </c:pt>
                <c:pt idx="107">
                  <c:v>0.214</c:v>
                </c:pt>
                <c:pt idx="108">
                  <c:v>0.216</c:v>
                </c:pt>
                <c:pt idx="109">
                  <c:v>0.218</c:v>
                </c:pt>
                <c:pt idx="110">
                  <c:v>0.22</c:v>
                </c:pt>
                <c:pt idx="111">
                  <c:v>0.222</c:v>
                </c:pt>
                <c:pt idx="112">
                  <c:v>0.224</c:v>
                </c:pt>
                <c:pt idx="113">
                  <c:v>0.22600000000000001</c:v>
                </c:pt>
                <c:pt idx="114">
                  <c:v>0.22800000000000001</c:v>
                </c:pt>
                <c:pt idx="115">
                  <c:v>0.23</c:v>
                </c:pt>
                <c:pt idx="116">
                  <c:v>0.23200000000000001</c:v>
                </c:pt>
                <c:pt idx="117">
                  <c:v>0.23400000000000001</c:v>
                </c:pt>
                <c:pt idx="118">
                  <c:v>0.23600000000000002</c:v>
                </c:pt>
                <c:pt idx="119">
                  <c:v>0.23800000000000002</c:v>
                </c:pt>
                <c:pt idx="120">
                  <c:v>0.24</c:v>
                </c:pt>
                <c:pt idx="121">
                  <c:v>0.24199999999999999</c:v>
                </c:pt>
                <c:pt idx="122">
                  <c:v>0.24399999999999999</c:v>
                </c:pt>
                <c:pt idx="123">
                  <c:v>0.246</c:v>
                </c:pt>
                <c:pt idx="124">
                  <c:v>0.248</c:v>
                </c:pt>
                <c:pt idx="125">
                  <c:v>0.25</c:v>
                </c:pt>
                <c:pt idx="126">
                  <c:v>0.252</c:v>
                </c:pt>
                <c:pt idx="127">
                  <c:v>0.254</c:v>
                </c:pt>
                <c:pt idx="128">
                  <c:v>0.25600000000000001</c:v>
                </c:pt>
                <c:pt idx="129">
                  <c:v>0.25800000000000001</c:v>
                </c:pt>
                <c:pt idx="130">
                  <c:v>0.26</c:v>
                </c:pt>
                <c:pt idx="131">
                  <c:v>0.26200000000000001</c:v>
                </c:pt>
                <c:pt idx="132">
                  <c:v>0.26400000000000001</c:v>
                </c:pt>
                <c:pt idx="133">
                  <c:v>0.26600000000000001</c:v>
                </c:pt>
                <c:pt idx="134">
                  <c:v>0.26800000000000002</c:v>
                </c:pt>
                <c:pt idx="135">
                  <c:v>0.27</c:v>
                </c:pt>
                <c:pt idx="136">
                  <c:v>0.27200000000000002</c:v>
                </c:pt>
                <c:pt idx="137">
                  <c:v>0.27400000000000002</c:v>
                </c:pt>
                <c:pt idx="138">
                  <c:v>0.27600000000000002</c:v>
                </c:pt>
                <c:pt idx="139">
                  <c:v>0.27800000000000002</c:v>
                </c:pt>
                <c:pt idx="140">
                  <c:v>0.28000000000000003</c:v>
                </c:pt>
                <c:pt idx="141">
                  <c:v>0.28200000000000003</c:v>
                </c:pt>
                <c:pt idx="142">
                  <c:v>0.28400000000000003</c:v>
                </c:pt>
                <c:pt idx="143">
                  <c:v>0.28600000000000003</c:v>
                </c:pt>
                <c:pt idx="144">
                  <c:v>0.28800000000000003</c:v>
                </c:pt>
                <c:pt idx="145">
                  <c:v>0.28999999999999998</c:v>
                </c:pt>
                <c:pt idx="146">
                  <c:v>0.29199999999999998</c:v>
                </c:pt>
                <c:pt idx="147">
                  <c:v>0.29399999999999998</c:v>
                </c:pt>
                <c:pt idx="148">
                  <c:v>0.29599999999999999</c:v>
                </c:pt>
                <c:pt idx="149">
                  <c:v>0.29799999999999999</c:v>
                </c:pt>
                <c:pt idx="150">
                  <c:v>0.3</c:v>
                </c:pt>
              </c:numCache>
            </c:numRef>
          </c:xVal>
          <c:yVal>
            <c:numRef>
              <c:f>Eff_vs_IOUT!$BP$7:$BP$157</c:f>
              <c:numCache>
                <c:formatCode>General</c:formatCode>
                <c:ptCount val="151"/>
                <c:pt idx="0">
                  <c:v>0</c:v>
                </c:pt>
                <c:pt idx="1">
                  <c:v>1.051861617641466E-2</c:v>
                </c:pt>
                <c:pt idx="2">
                  <c:v>2.1052802587318901E-2</c:v>
                </c:pt>
                <c:pt idx="3">
                  <c:v>3.1597276848897002E-2</c:v>
                </c:pt>
                <c:pt idx="4">
                  <c:v>4.2150187047627942E-2</c:v>
                </c:pt>
                <c:pt idx="5">
                  <c:v>5.2710479474662369E-2</c:v>
                </c:pt>
                <c:pt idx="6">
                  <c:v>6.327745411721683E-2</c:v>
                </c:pt>
                <c:pt idx="7">
                  <c:v>7.3850605050435308E-2</c:v>
                </c:pt>
                <c:pt idx="8">
                  <c:v>8.4429546437377476E-2</c:v>
                </c:pt>
                <c:pt idx="9">
                  <c:v>9.5013972803076746E-2</c:v>
                </c:pt>
                <c:pt idx="10">
                  <c:v>0.1056036355278184</c:v>
                </c:pt>
                <c:pt idx="11">
                  <c:v>0.11619832792915062</c:v>
                </c:pt>
                <c:pt idx="12">
                  <c:v>0.12679787527916703</c:v>
                </c:pt>
                <c:pt idx="13">
                  <c:v>0.13740212784030226</c:v>
                </c:pt>
                <c:pt idx="14">
                  <c:v>0.14801095584075152</c:v>
                </c:pt>
                <c:pt idx="15">
                  <c:v>0.15862424574726844</c:v>
                </c:pt>
                <c:pt idx="16">
                  <c:v>0.16924189743512744</c:v>
                </c:pt>
                <c:pt idx="17">
                  <c:v>0.17986382199617248</c:v>
                </c:pt>
                <c:pt idx="18">
                  <c:v>0.1904899400117262</c:v>
                </c:pt>
                <c:pt idx="19">
                  <c:v>0.20112018017128611</c:v>
                </c:pt>
                <c:pt idx="20">
                  <c:v>0.21175447815315657</c:v>
                </c:pt>
                <c:pt idx="21">
                  <c:v>0.22239277570671154</c:v>
                </c:pt>
                <c:pt idx="22">
                  <c:v>0.23303501989209852</c:v>
                </c:pt>
                <c:pt idx="23">
                  <c:v>0.24368116244445814</c:v>
                </c:pt>
                <c:pt idx="24">
                  <c:v>0.25433115923775895</c:v>
                </c:pt>
                <c:pt idx="25">
                  <c:v>0.26498496982916014</c:v>
                </c:pt>
                <c:pt idx="26">
                  <c:v>0.27564255706909191</c:v>
                </c:pt>
                <c:pt idx="27">
                  <c:v>0.28630388676543156</c:v>
                </c:pt>
                <c:pt idx="28">
                  <c:v>0.29696892739256442</c:v>
                </c:pt>
                <c:pt idx="29">
                  <c:v>0.30898417856268073</c:v>
                </c:pt>
                <c:pt idx="30">
                  <c:v>0.31975878679677838</c:v>
                </c:pt>
                <c:pt idx="31">
                  <c:v>0.33054372433297974</c:v>
                </c:pt>
                <c:pt idx="32">
                  <c:v>0.34133906350131932</c:v>
                </c:pt>
                <c:pt idx="33">
                  <c:v>0.35214487673430028</c:v>
                </c:pt>
                <c:pt idx="34">
                  <c:v>0.36296123656689427</c:v>
                </c:pt>
                <c:pt idx="35">
                  <c:v>0.37378821563654135</c:v>
                </c:pt>
                <c:pt idx="36">
                  <c:v>0.38462588668315023</c:v>
                </c:pt>
                <c:pt idx="37">
                  <c:v>0.39547432254909826</c:v>
                </c:pt>
                <c:pt idx="38">
                  <c:v>0.40633359617923115</c:v>
                </c:pt>
                <c:pt idx="39">
                  <c:v>0.41720378062086344</c:v>
                </c:pt>
                <c:pt idx="40">
                  <c:v>0.42808494902377775</c:v>
                </c:pt>
                <c:pt idx="41">
                  <c:v>0.43897717464022573</c:v>
                </c:pt>
                <c:pt idx="42">
                  <c:v>0.44988053082492729</c:v>
                </c:pt>
                <c:pt idx="43">
                  <c:v>0.46079509103507083</c:v>
                </c:pt>
                <c:pt idx="44">
                  <c:v>0.47172092883031341</c:v>
                </c:pt>
                <c:pt idx="45">
                  <c:v>0.48265811787278068</c:v>
                </c:pt>
                <c:pt idx="46">
                  <c:v>0.493606731927067</c:v>
                </c:pt>
                <c:pt idx="47">
                  <c:v>0.50456684486023473</c:v>
                </c:pt>
                <c:pt idx="48">
                  <c:v>0.51553853064181521</c:v>
                </c:pt>
                <c:pt idx="49">
                  <c:v>0.52652186334380813</c:v>
                </c:pt>
                <c:pt idx="50">
                  <c:v>0.53751691714068206</c:v>
                </c:pt>
                <c:pt idx="51">
                  <c:v>0.54852376630937349</c:v>
                </c:pt>
                <c:pt idx="52">
                  <c:v>0.55954248522928818</c:v>
                </c:pt>
                <c:pt idx="53">
                  <c:v>0.57057314838229956</c:v>
                </c:pt>
                <c:pt idx="54">
                  <c:v>0.58161583035275077</c:v>
                </c:pt>
                <c:pt idx="55">
                  <c:v>0.59267060582745223</c:v>
                </c:pt>
                <c:pt idx="56">
                  <c:v>0.60373754959568393</c:v>
                </c:pt>
                <c:pt idx="57">
                  <c:v>0.61481673654919389</c:v>
                </c:pt>
                <c:pt idx="58">
                  <c:v>0.62590824168219861</c:v>
                </c:pt>
                <c:pt idx="59">
                  <c:v>0.63701214009138329</c:v>
                </c:pt>
                <c:pt idx="60">
                  <c:v>0.64812850697590174</c:v>
                </c:pt>
                <c:pt idx="61">
                  <c:v>0.65925741763737622</c:v>
                </c:pt>
                <c:pt idx="62">
                  <c:v>0.6703989474798977</c:v>
                </c:pt>
                <c:pt idx="63">
                  <c:v>0.68155317201002519</c:v>
                </c:pt>
                <c:pt idx="64">
                  <c:v>0.69272016683678683</c:v>
                </c:pt>
                <c:pt idx="65">
                  <c:v>0.70390000767167915</c:v>
                </c:pt>
                <c:pt idx="66">
                  <c:v>0.71509277032866692</c:v>
                </c:pt>
                <c:pt idx="67">
                  <c:v>0.72629853072418393</c:v>
                </c:pt>
                <c:pt idx="68">
                  <c:v>0.73751736487713204</c:v>
                </c:pt>
                <c:pt idx="69">
                  <c:v>0.74874934890888178</c:v>
                </c:pt>
                <c:pt idx="70">
                  <c:v>0.75999455904327262</c:v>
                </c:pt>
                <c:pt idx="71">
                  <c:v>0.77125307160661194</c:v>
                </c:pt>
                <c:pt idx="72">
                  <c:v>0.78252496302767627</c:v>
                </c:pt>
                <c:pt idx="73">
                  <c:v>0.79381030983771017</c:v>
                </c:pt>
                <c:pt idx="74">
                  <c:v>0.80510918867042702</c:v>
                </c:pt>
                <c:pt idx="75">
                  <c:v>0.8164216762620089</c:v>
                </c:pt>
                <c:pt idx="76">
                  <c:v>0.82774784945110591</c:v>
                </c:pt>
                <c:pt idx="77">
                  <c:v>0.83908778517883742</c:v>
                </c:pt>
                <c:pt idx="78">
                  <c:v>0.85044156048879038</c:v>
                </c:pt>
                <c:pt idx="79">
                  <c:v>0.86180925252702134</c:v>
                </c:pt>
                <c:pt idx="80">
                  <c:v>0.87319093854205432</c:v>
                </c:pt>
                <c:pt idx="81">
                  <c:v>0.88458669588488303</c:v>
                </c:pt>
                <c:pt idx="82">
                  <c:v>0.8959966020089688</c:v>
                </c:pt>
                <c:pt idx="83">
                  <c:v>0.90742073447024219</c:v>
                </c:pt>
                <c:pt idx="84">
                  <c:v>0.91885917092710145</c:v>
                </c:pt>
                <c:pt idx="85">
                  <c:v>0.93031198914041424</c:v>
                </c:pt>
                <c:pt idx="86">
                  <c:v>0.9417792669735161</c:v>
                </c:pt>
                <c:pt idx="87">
                  <c:v>0.95326108239221163</c:v>
                </c:pt>
                <c:pt idx="88">
                  <c:v>0.96475751346477367</c:v>
                </c:pt>
                <c:pt idx="89">
                  <c:v>0.97626863836194389</c:v>
                </c:pt>
                <c:pt idx="90">
                  <c:v>0.98779453535693185</c:v>
                </c:pt>
                <c:pt idx="91">
                  <c:v>0.99933528282541684</c:v>
                </c:pt>
                <c:pt idx="92">
                  <c:v>1.0108909592455453</c:v>
                </c:pt>
                <c:pt idx="93">
                  <c:v>1.022461643197933</c:v>
                </c:pt>
                <c:pt idx="94">
                  <c:v>1.0340474133656643</c:v>
                </c:pt>
                <c:pt idx="95">
                  <c:v>1.0456483485342918</c:v>
                </c:pt>
                <c:pt idx="96">
                  <c:v>1.0572645275918364</c:v>
                </c:pt>
                <c:pt idx="97">
                  <c:v>1.0688960295287886</c:v>
                </c:pt>
                <c:pt idx="98">
                  <c:v>1.0805429334381063</c:v>
                </c:pt>
                <c:pt idx="99">
                  <c:v>1.0922053185152165</c:v>
                </c:pt>
                <c:pt idx="100">
                  <c:v>1.103883264058015</c:v>
                </c:pt>
                <c:pt idx="101">
                  <c:v>1.115576849466865</c:v>
                </c:pt>
                <c:pt idx="102">
                  <c:v>1.1272861542445995</c:v>
                </c:pt>
                <c:pt idx="103">
                  <c:v>1.1390112579965197</c:v>
                </c:pt>
                <c:pt idx="104">
                  <c:v>1.1507522404303949</c:v>
                </c:pt>
                <c:pt idx="105">
                  <c:v>1.1625091813564632</c:v>
                </c:pt>
                <c:pt idx="106">
                  <c:v>1.1742821606874312</c:v>
                </c:pt>
                <c:pt idx="107">
                  <c:v>1.1860712584384749</c:v>
                </c:pt>
                <c:pt idx="108">
                  <c:v>1.1978765547272372</c:v>
                </c:pt>
                <c:pt idx="109">
                  <c:v>1.2096981297738312</c:v>
                </c:pt>
                <c:pt idx="110">
                  <c:v>1.2215360639008366</c:v>
                </c:pt>
                <c:pt idx="111">
                  <c:v>1.2333904375333042</c:v>
                </c:pt>
                <c:pt idx="112">
                  <c:v>1.2452613311987504</c:v>
                </c:pt>
                <c:pt idx="113">
                  <c:v>1.2571488255271634</c:v>
                </c:pt>
                <c:pt idx="114">
                  <c:v>1.2690530012509968</c:v>
                </c:pt>
                <c:pt idx="115">
                  <c:v>1.2809739392051753</c:v>
                </c:pt>
                <c:pt idx="116">
                  <c:v>1.2929117203270899</c:v>
                </c:pt>
                <c:pt idx="117">
                  <c:v>1.3048664256566018</c:v>
                </c:pt>
                <c:pt idx="118">
                  <c:v>1.3168381363360402</c:v>
                </c:pt>
                <c:pt idx="119">
                  <c:v>1.3288269336102032</c:v>
                </c:pt>
                <c:pt idx="120">
                  <c:v>1.3408328988263563</c:v>
                </c:pt>
                <c:pt idx="121">
                  <c:v>1.352856113434235</c:v>
                </c:pt>
                <c:pt idx="122">
                  <c:v>1.3648966589860421</c:v>
                </c:pt>
                <c:pt idx="123">
                  <c:v>1.37695461713645</c:v>
                </c:pt>
                <c:pt idx="124">
                  <c:v>1.3890300696425992</c:v>
                </c:pt>
                <c:pt idx="125">
                  <c:v>1.4011230983640981</c:v>
                </c:pt>
                <c:pt idx="126">
                  <c:v>1.4132337852630248</c:v>
                </c:pt>
                <c:pt idx="127">
                  <c:v>1.4253622124039249</c:v>
                </c:pt>
                <c:pt idx="128">
                  <c:v>1.4375084619538134</c:v>
                </c:pt>
                <c:pt idx="129">
                  <c:v>1.4496726161821736</c:v>
                </c:pt>
                <c:pt idx="130">
                  <c:v>1.4618547574609568</c:v>
                </c:pt>
                <c:pt idx="131">
                  <c:v>1.4740549682645836</c:v>
                </c:pt>
                <c:pt idx="132">
                  <c:v>1.4862733311699421</c:v>
                </c:pt>
                <c:pt idx="133">
                  <c:v>1.4985099288563908</c:v>
                </c:pt>
                <c:pt idx="134">
                  <c:v>1.5107648441057544</c:v>
                </c:pt>
                <c:pt idx="135">
                  <c:v>1.5230381598023282</c:v>
                </c:pt>
                <c:pt idx="136">
                  <c:v>1.5353299589328744</c:v>
                </c:pt>
                <c:pt idx="137">
                  <c:v>1.5476403245866248</c:v>
                </c:pt>
                <c:pt idx="138">
                  <c:v>1.5599693399552801</c:v>
                </c:pt>
                <c:pt idx="139">
                  <c:v>1.5723170883330078</c:v>
                </c:pt>
                <c:pt idx="140">
                  <c:v>1.5846836531164463</c:v>
                </c:pt>
                <c:pt idx="141">
                  <c:v>1.5970691178047001</c:v>
                </c:pt>
                <c:pt idx="142">
                  <c:v>1.6094735659993433</c:v>
                </c:pt>
                <c:pt idx="143">
                  <c:v>1.6218970814044202</c:v>
                </c:pt>
                <c:pt idx="144">
                  <c:v>1.6343397478264403</c:v>
                </c:pt>
                <c:pt idx="145">
                  <c:v>1.6468016491743847</c:v>
                </c:pt>
                <c:pt idx="146">
                  <c:v>1.659282869459701</c:v>
                </c:pt>
                <c:pt idx="147">
                  <c:v>1.6717834927963067</c:v>
                </c:pt>
                <c:pt idx="148">
                  <c:v>1.6843036034005869</c:v>
                </c:pt>
                <c:pt idx="149">
                  <c:v>1.6968432855913962</c:v>
                </c:pt>
                <c:pt idx="150">
                  <c:v>1.7094026237900564</c:v>
                </c:pt>
              </c:numCache>
            </c:numRef>
          </c:yVal>
          <c:smooth val="1"/>
          <c:extLst>
            <c:ext xmlns:c16="http://schemas.microsoft.com/office/drawing/2014/chart" uri="{C3380CC4-5D6E-409C-BE32-E72D297353CC}">
              <c16:uniqueId val="{00000001-EE40-4D4A-8FA1-41721E446D03}"/>
            </c:ext>
          </c:extLst>
        </c:ser>
        <c:ser>
          <c:idx val="2"/>
          <c:order val="2"/>
          <c:tx>
            <c:v>Diode</c:v>
          </c:tx>
          <c:spPr>
            <a:ln>
              <a:solidFill>
                <a:schemeClr val="bg2">
                  <a:lumMod val="50000"/>
                </a:schemeClr>
              </a:solidFill>
              <a:prstDash val="sysDash"/>
            </a:ln>
          </c:spPr>
          <c:marker>
            <c:symbol val="none"/>
          </c:marker>
          <c:xVal>
            <c:numRef>
              <c:f>Eff_vs_IOUT!$AZ$7:$AZ$157</c:f>
              <c:numCache>
                <c:formatCode>General</c:formatCode>
                <c:ptCount val="151"/>
                <c:pt idx="0">
                  <c:v>0</c:v>
                </c:pt>
                <c:pt idx="1">
                  <c:v>2E-3</c:v>
                </c:pt>
                <c:pt idx="2">
                  <c:v>4.0000000000000001E-3</c:v>
                </c:pt>
                <c:pt idx="3">
                  <c:v>6.0000000000000001E-3</c:v>
                </c:pt>
                <c:pt idx="4">
                  <c:v>8.0000000000000002E-3</c:v>
                </c:pt>
                <c:pt idx="5">
                  <c:v>0.01</c:v>
                </c:pt>
                <c:pt idx="6">
                  <c:v>1.2E-2</c:v>
                </c:pt>
                <c:pt idx="7">
                  <c:v>1.4E-2</c:v>
                </c:pt>
                <c:pt idx="8">
                  <c:v>1.6E-2</c:v>
                </c:pt>
                <c:pt idx="9">
                  <c:v>1.8000000000000002E-2</c:v>
                </c:pt>
                <c:pt idx="10">
                  <c:v>0.02</c:v>
                </c:pt>
                <c:pt idx="11">
                  <c:v>2.1999999999999999E-2</c:v>
                </c:pt>
                <c:pt idx="12">
                  <c:v>2.4E-2</c:v>
                </c:pt>
                <c:pt idx="13">
                  <c:v>2.6000000000000002E-2</c:v>
                </c:pt>
                <c:pt idx="14">
                  <c:v>2.8000000000000001E-2</c:v>
                </c:pt>
                <c:pt idx="15">
                  <c:v>0.03</c:v>
                </c:pt>
                <c:pt idx="16">
                  <c:v>3.2000000000000001E-2</c:v>
                </c:pt>
                <c:pt idx="17">
                  <c:v>3.4000000000000002E-2</c:v>
                </c:pt>
                <c:pt idx="18">
                  <c:v>3.6000000000000004E-2</c:v>
                </c:pt>
                <c:pt idx="19">
                  <c:v>3.7999999999999999E-2</c:v>
                </c:pt>
                <c:pt idx="20">
                  <c:v>0.04</c:v>
                </c:pt>
                <c:pt idx="21">
                  <c:v>4.2000000000000003E-2</c:v>
                </c:pt>
                <c:pt idx="22">
                  <c:v>4.3999999999999997E-2</c:v>
                </c:pt>
                <c:pt idx="23">
                  <c:v>4.5999999999999999E-2</c:v>
                </c:pt>
                <c:pt idx="24">
                  <c:v>4.8000000000000001E-2</c:v>
                </c:pt>
                <c:pt idx="25">
                  <c:v>0.05</c:v>
                </c:pt>
                <c:pt idx="26">
                  <c:v>5.2000000000000005E-2</c:v>
                </c:pt>
                <c:pt idx="27">
                  <c:v>5.3999999999999999E-2</c:v>
                </c:pt>
                <c:pt idx="28">
                  <c:v>5.6000000000000001E-2</c:v>
                </c:pt>
                <c:pt idx="29">
                  <c:v>5.8000000000000003E-2</c:v>
                </c:pt>
                <c:pt idx="30">
                  <c:v>0.06</c:v>
                </c:pt>
                <c:pt idx="31">
                  <c:v>6.2E-2</c:v>
                </c:pt>
                <c:pt idx="32">
                  <c:v>6.4000000000000001E-2</c:v>
                </c:pt>
                <c:pt idx="33">
                  <c:v>6.6000000000000003E-2</c:v>
                </c:pt>
                <c:pt idx="34">
                  <c:v>6.8000000000000005E-2</c:v>
                </c:pt>
                <c:pt idx="35">
                  <c:v>7.0000000000000007E-2</c:v>
                </c:pt>
                <c:pt idx="36">
                  <c:v>7.2000000000000008E-2</c:v>
                </c:pt>
                <c:pt idx="37">
                  <c:v>7.3999999999999996E-2</c:v>
                </c:pt>
                <c:pt idx="38">
                  <c:v>7.5999999999999998E-2</c:v>
                </c:pt>
                <c:pt idx="39">
                  <c:v>7.8E-2</c:v>
                </c:pt>
                <c:pt idx="40">
                  <c:v>0.08</c:v>
                </c:pt>
                <c:pt idx="41">
                  <c:v>8.2000000000000003E-2</c:v>
                </c:pt>
                <c:pt idx="42">
                  <c:v>8.4000000000000005E-2</c:v>
                </c:pt>
                <c:pt idx="43">
                  <c:v>8.6000000000000007E-2</c:v>
                </c:pt>
                <c:pt idx="44">
                  <c:v>8.7999999999999995E-2</c:v>
                </c:pt>
                <c:pt idx="45">
                  <c:v>0.09</c:v>
                </c:pt>
                <c:pt idx="46">
                  <c:v>9.1999999999999998E-2</c:v>
                </c:pt>
                <c:pt idx="47">
                  <c:v>9.4E-2</c:v>
                </c:pt>
                <c:pt idx="48">
                  <c:v>9.6000000000000002E-2</c:v>
                </c:pt>
                <c:pt idx="49">
                  <c:v>9.8000000000000004E-2</c:v>
                </c:pt>
                <c:pt idx="50">
                  <c:v>0.1</c:v>
                </c:pt>
                <c:pt idx="51">
                  <c:v>0.10200000000000001</c:v>
                </c:pt>
                <c:pt idx="52">
                  <c:v>0.10400000000000001</c:v>
                </c:pt>
                <c:pt idx="53">
                  <c:v>0.106</c:v>
                </c:pt>
                <c:pt idx="54">
                  <c:v>0.108</c:v>
                </c:pt>
                <c:pt idx="55">
                  <c:v>0.11</c:v>
                </c:pt>
                <c:pt idx="56">
                  <c:v>0.112</c:v>
                </c:pt>
                <c:pt idx="57">
                  <c:v>0.114</c:v>
                </c:pt>
                <c:pt idx="58">
                  <c:v>0.11600000000000001</c:v>
                </c:pt>
                <c:pt idx="59">
                  <c:v>0.11800000000000001</c:v>
                </c:pt>
                <c:pt idx="60">
                  <c:v>0.12</c:v>
                </c:pt>
                <c:pt idx="61">
                  <c:v>0.122</c:v>
                </c:pt>
                <c:pt idx="62">
                  <c:v>0.124</c:v>
                </c:pt>
                <c:pt idx="63">
                  <c:v>0.126</c:v>
                </c:pt>
                <c:pt idx="64">
                  <c:v>0.128</c:v>
                </c:pt>
                <c:pt idx="65">
                  <c:v>0.13</c:v>
                </c:pt>
                <c:pt idx="66">
                  <c:v>0.13200000000000001</c:v>
                </c:pt>
                <c:pt idx="67">
                  <c:v>0.13400000000000001</c:v>
                </c:pt>
                <c:pt idx="68">
                  <c:v>0.13600000000000001</c:v>
                </c:pt>
                <c:pt idx="69">
                  <c:v>0.13800000000000001</c:v>
                </c:pt>
                <c:pt idx="70">
                  <c:v>0.14000000000000001</c:v>
                </c:pt>
                <c:pt idx="71">
                  <c:v>0.14200000000000002</c:v>
                </c:pt>
                <c:pt idx="72">
                  <c:v>0.14400000000000002</c:v>
                </c:pt>
                <c:pt idx="73">
                  <c:v>0.14599999999999999</c:v>
                </c:pt>
                <c:pt idx="74">
                  <c:v>0.14799999999999999</c:v>
                </c:pt>
                <c:pt idx="75">
                  <c:v>0.15</c:v>
                </c:pt>
                <c:pt idx="76">
                  <c:v>0.152</c:v>
                </c:pt>
                <c:pt idx="77">
                  <c:v>0.154</c:v>
                </c:pt>
                <c:pt idx="78">
                  <c:v>0.156</c:v>
                </c:pt>
                <c:pt idx="79">
                  <c:v>0.158</c:v>
                </c:pt>
                <c:pt idx="80">
                  <c:v>0.16</c:v>
                </c:pt>
                <c:pt idx="81">
                  <c:v>0.16200000000000001</c:v>
                </c:pt>
                <c:pt idx="82">
                  <c:v>0.16400000000000001</c:v>
                </c:pt>
                <c:pt idx="83">
                  <c:v>0.16600000000000001</c:v>
                </c:pt>
                <c:pt idx="84">
                  <c:v>0.16800000000000001</c:v>
                </c:pt>
                <c:pt idx="85">
                  <c:v>0.17</c:v>
                </c:pt>
                <c:pt idx="86">
                  <c:v>0.17200000000000001</c:v>
                </c:pt>
                <c:pt idx="87">
                  <c:v>0.17400000000000002</c:v>
                </c:pt>
                <c:pt idx="88">
                  <c:v>0.17599999999999999</c:v>
                </c:pt>
                <c:pt idx="89">
                  <c:v>0.17799999999999999</c:v>
                </c:pt>
                <c:pt idx="90">
                  <c:v>0.18</c:v>
                </c:pt>
                <c:pt idx="91">
                  <c:v>0.182</c:v>
                </c:pt>
                <c:pt idx="92">
                  <c:v>0.184</c:v>
                </c:pt>
                <c:pt idx="93">
                  <c:v>0.186</c:v>
                </c:pt>
                <c:pt idx="94">
                  <c:v>0.188</c:v>
                </c:pt>
                <c:pt idx="95">
                  <c:v>0.19</c:v>
                </c:pt>
                <c:pt idx="96">
                  <c:v>0.192</c:v>
                </c:pt>
                <c:pt idx="97">
                  <c:v>0.19400000000000001</c:v>
                </c:pt>
                <c:pt idx="98">
                  <c:v>0.19600000000000001</c:v>
                </c:pt>
                <c:pt idx="99">
                  <c:v>0.19800000000000001</c:v>
                </c:pt>
                <c:pt idx="100">
                  <c:v>0.2</c:v>
                </c:pt>
                <c:pt idx="101">
                  <c:v>0.20200000000000001</c:v>
                </c:pt>
                <c:pt idx="102">
                  <c:v>0.20400000000000001</c:v>
                </c:pt>
                <c:pt idx="103">
                  <c:v>0.20600000000000002</c:v>
                </c:pt>
                <c:pt idx="104">
                  <c:v>0.20800000000000002</c:v>
                </c:pt>
                <c:pt idx="105">
                  <c:v>0.21</c:v>
                </c:pt>
                <c:pt idx="106">
                  <c:v>0.21199999999999999</c:v>
                </c:pt>
                <c:pt idx="107">
                  <c:v>0.214</c:v>
                </c:pt>
                <c:pt idx="108">
                  <c:v>0.216</c:v>
                </c:pt>
                <c:pt idx="109">
                  <c:v>0.218</c:v>
                </c:pt>
                <c:pt idx="110">
                  <c:v>0.22</c:v>
                </c:pt>
                <c:pt idx="111">
                  <c:v>0.222</c:v>
                </c:pt>
                <c:pt idx="112">
                  <c:v>0.224</c:v>
                </c:pt>
                <c:pt idx="113">
                  <c:v>0.22600000000000001</c:v>
                </c:pt>
                <c:pt idx="114">
                  <c:v>0.22800000000000001</c:v>
                </c:pt>
                <c:pt idx="115">
                  <c:v>0.23</c:v>
                </c:pt>
                <c:pt idx="116">
                  <c:v>0.23200000000000001</c:v>
                </c:pt>
                <c:pt idx="117">
                  <c:v>0.23400000000000001</c:v>
                </c:pt>
                <c:pt idx="118">
                  <c:v>0.23600000000000002</c:v>
                </c:pt>
                <c:pt idx="119">
                  <c:v>0.23800000000000002</c:v>
                </c:pt>
                <c:pt idx="120">
                  <c:v>0.24</c:v>
                </c:pt>
                <c:pt idx="121">
                  <c:v>0.24199999999999999</c:v>
                </c:pt>
                <c:pt idx="122">
                  <c:v>0.24399999999999999</c:v>
                </c:pt>
                <c:pt idx="123">
                  <c:v>0.246</c:v>
                </c:pt>
                <c:pt idx="124">
                  <c:v>0.248</c:v>
                </c:pt>
                <c:pt idx="125">
                  <c:v>0.25</c:v>
                </c:pt>
                <c:pt idx="126">
                  <c:v>0.252</c:v>
                </c:pt>
                <c:pt idx="127">
                  <c:v>0.254</c:v>
                </c:pt>
                <c:pt idx="128">
                  <c:v>0.25600000000000001</c:v>
                </c:pt>
                <c:pt idx="129">
                  <c:v>0.25800000000000001</c:v>
                </c:pt>
                <c:pt idx="130">
                  <c:v>0.26</c:v>
                </c:pt>
                <c:pt idx="131">
                  <c:v>0.26200000000000001</c:v>
                </c:pt>
                <c:pt idx="132">
                  <c:v>0.26400000000000001</c:v>
                </c:pt>
                <c:pt idx="133">
                  <c:v>0.26600000000000001</c:v>
                </c:pt>
                <c:pt idx="134">
                  <c:v>0.26800000000000002</c:v>
                </c:pt>
                <c:pt idx="135">
                  <c:v>0.27</c:v>
                </c:pt>
                <c:pt idx="136">
                  <c:v>0.27200000000000002</c:v>
                </c:pt>
                <c:pt idx="137">
                  <c:v>0.27400000000000002</c:v>
                </c:pt>
                <c:pt idx="138">
                  <c:v>0.27600000000000002</c:v>
                </c:pt>
                <c:pt idx="139">
                  <c:v>0.27800000000000002</c:v>
                </c:pt>
                <c:pt idx="140">
                  <c:v>0.28000000000000003</c:v>
                </c:pt>
                <c:pt idx="141">
                  <c:v>0.28200000000000003</c:v>
                </c:pt>
                <c:pt idx="142">
                  <c:v>0.28400000000000003</c:v>
                </c:pt>
                <c:pt idx="143">
                  <c:v>0.28600000000000003</c:v>
                </c:pt>
                <c:pt idx="144">
                  <c:v>0.28800000000000003</c:v>
                </c:pt>
                <c:pt idx="145">
                  <c:v>0.28999999999999998</c:v>
                </c:pt>
                <c:pt idx="146">
                  <c:v>0.29199999999999998</c:v>
                </c:pt>
                <c:pt idx="147">
                  <c:v>0.29399999999999998</c:v>
                </c:pt>
                <c:pt idx="148">
                  <c:v>0.29599999999999999</c:v>
                </c:pt>
                <c:pt idx="149">
                  <c:v>0.29799999999999999</c:v>
                </c:pt>
                <c:pt idx="150">
                  <c:v>0.3</c:v>
                </c:pt>
              </c:numCache>
            </c:numRef>
          </c:xVal>
          <c:yVal>
            <c:numRef>
              <c:f>Eff_vs_IOUT!$BU$7:$BU$157</c:f>
              <c:numCache>
                <c:formatCode>General</c:formatCode>
                <c:ptCount val="151"/>
                <c:pt idx="0">
                  <c:v>0.75525000000000009</c:v>
                </c:pt>
                <c:pt idx="1">
                  <c:v>0.75609000000000004</c:v>
                </c:pt>
                <c:pt idx="2">
                  <c:v>0.7569300000000001</c:v>
                </c:pt>
                <c:pt idx="3">
                  <c:v>0.75777000000000005</c:v>
                </c:pt>
                <c:pt idx="4">
                  <c:v>0.75861000000000012</c:v>
                </c:pt>
                <c:pt idx="5">
                  <c:v>0.75945000000000007</c:v>
                </c:pt>
                <c:pt idx="6">
                  <c:v>0.76029000000000013</c:v>
                </c:pt>
                <c:pt idx="7">
                  <c:v>0.76113000000000008</c:v>
                </c:pt>
                <c:pt idx="8">
                  <c:v>0.76197000000000004</c:v>
                </c:pt>
                <c:pt idx="9">
                  <c:v>0.7628100000000001</c:v>
                </c:pt>
                <c:pt idx="10">
                  <c:v>0.76365000000000005</c:v>
                </c:pt>
                <c:pt idx="11">
                  <c:v>0.76449000000000011</c:v>
                </c:pt>
                <c:pt idx="12">
                  <c:v>0.76533000000000007</c:v>
                </c:pt>
                <c:pt idx="13">
                  <c:v>0.76617000000000013</c:v>
                </c:pt>
                <c:pt idx="14">
                  <c:v>0.76701000000000008</c:v>
                </c:pt>
                <c:pt idx="15">
                  <c:v>0.76785000000000003</c:v>
                </c:pt>
                <c:pt idx="16">
                  <c:v>0.7686900000000001</c:v>
                </c:pt>
                <c:pt idx="17">
                  <c:v>0.76953000000000005</c:v>
                </c:pt>
                <c:pt idx="18">
                  <c:v>0.77037000000000011</c:v>
                </c:pt>
                <c:pt idx="19">
                  <c:v>0.77121000000000006</c:v>
                </c:pt>
                <c:pt idx="20">
                  <c:v>0.77205000000000013</c:v>
                </c:pt>
                <c:pt idx="21">
                  <c:v>0.77289000000000008</c:v>
                </c:pt>
                <c:pt idx="22">
                  <c:v>0.77373000000000014</c:v>
                </c:pt>
                <c:pt idx="23">
                  <c:v>0.77457000000000009</c:v>
                </c:pt>
                <c:pt idx="24">
                  <c:v>0.77541000000000004</c:v>
                </c:pt>
                <c:pt idx="25">
                  <c:v>0.77625000000000011</c:v>
                </c:pt>
                <c:pt idx="26">
                  <c:v>0.77709000000000006</c:v>
                </c:pt>
                <c:pt idx="27">
                  <c:v>0.77793000000000012</c:v>
                </c:pt>
                <c:pt idx="28">
                  <c:v>0.77877000000000007</c:v>
                </c:pt>
                <c:pt idx="29">
                  <c:v>0.77961000000000014</c:v>
                </c:pt>
                <c:pt idx="30">
                  <c:v>0.78045000000000009</c:v>
                </c:pt>
                <c:pt idx="31">
                  <c:v>0.78129000000000004</c:v>
                </c:pt>
                <c:pt idx="32">
                  <c:v>0.7821300000000001</c:v>
                </c:pt>
                <c:pt idx="33">
                  <c:v>0.78297000000000005</c:v>
                </c:pt>
                <c:pt idx="34">
                  <c:v>0.78381000000000012</c:v>
                </c:pt>
                <c:pt idx="35">
                  <c:v>0.78465000000000007</c:v>
                </c:pt>
                <c:pt idx="36">
                  <c:v>0.78549000000000013</c:v>
                </c:pt>
                <c:pt idx="37">
                  <c:v>0.78633000000000008</c:v>
                </c:pt>
                <c:pt idx="38">
                  <c:v>0.78717000000000004</c:v>
                </c:pt>
                <c:pt idx="39">
                  <c:v>0.7880100000000001</c:v>
                </c:pt>
                <c:pt idx="40">
                  <c:v>0.78885000000000005</c:v>
                </c:pt>
                <c:pt idx="41">
                  <c:v>0.78969000000000011</c:v>
                </c:pt>
                <c:pt idx="42">
                  <c:v>0.79053000000000007</c:v>
                </c:pt>
                <c:pt idx="43">
                  <c:v>0.79137000000000013</c:v>
                </c:pt>
                <c:pt idx="44">
                  <c:v>0.79221000000000008</c:v>
                </c:pt>
                <c:pt idx="45">
                  <c:v>0.79305000000000003</c:v>
                </c:pt>
                <c:pt idx="46">
                  <c:v>0.7938900000000001</c:v>
                </c:pt>
                <c:pt idx="47">
                  <c:v>0.79473000000000005</c:v>
                </c:pt>
                <c:pt idx="48">
                  <c:v>0.79557000000000011</c:v>
                </c:pt>
                <c:pt idx="49">
                  <c:v>0.79641000000000006</c:v>
                </c:pt>
                <c:pt idx="50">
                  <c:v>0.79725000000000013</c:v>
                </c:pt>
                <c:pt idx="51">
                  <c:v>0.79809000000000008</c:v>
                </c:pt>
                <c:pt idx="52">
                  <c:v>0.79893000000000014</c:v>
                </c:pt>
                <c:pt idx="53">
                  <c:v>0.79977000000000009</c:v>
                </c:pt>
                <c:pt idx="54">
                  <c:v>0.80061000000000004</c:v>
                </c:pt>
                <c:pt idx="55">
                  <c:v>0.80145000000000011</c:v>
                </c:pt>
                <c:pt idx="56">
                  <c:v>0.80229000000000006</c:v>
                </c:pt>
                <c:pt idx="57">
                  <c:v>0.80313000000000012</c:v>
                </c:pt>
                <c:pt idx="58">
                  <c:v>0.80397000000000007</c:v>
                </c:pt>
                <c:pt idx="59">
                  <c:v>0.80481000000000014</c:v>
                </c:pt>
                <c:pt idx="60">
                  <c:v>0.80565000000000009</c:v>
                </c:pt>
                <c:pt idx="61">
                  <c:v>0.80649000000000004</c:v>
                </c:pt>
                <c:pt idx="62">
                  <c:v>0.8073300000000001</c:v>
                </c:pt>
                <c:pt idx="63">
                  <c:v>0.80817000000000005</c:v>
                </c:pt>
                <c:pt idx="64">
                  <c:v>0.80901000000000012</c:v>
                </c:pt>
                <c:pt idx="65">
                  <c:v>0.80985000000000007</c:v>
                </c:pt>
                <c:pt idx="66">
                  <c:v>0.81069000000000013</c:v>
                </c:pt>
                <c:pt idx="67">
                  <c:v>0.81153000000000008</c:v>
                </c:pt>
                <c:pt idx="68">
                  <c:v>0.81237000000000004</c:v>
                </c:pt>
                <c:pt idx="69">
                  <c:v>0.8132100000000001</c:v>
                </c:pt>
                <c:pt idx="70">
                  <c:v>0.81405000000000005</c:v>
                </c:pt>
                <c:pt idx="71">
                  <c:v>0.81489000000000011</c:v>
                </c:pt>
                <c:pt idx="72">
                  <c:v>0.81573000000000007</c:v>
                </c:pt>
                <c:pt idx="73">
                  <c:v>0.81657000000000013</c:v>
                </c:pt>
                <c:pt idx="74">
                  <c:v>0.81741000000000008</c:v>
                </c:pt>
                <c:pt idx="75">
                  <c:v>0.81825000000000014</c:v>
                </c:pt>
                <c:pt idx="76">
                  <c:v>0.8190900000000001</c:v>
                </c:pt>
                <c:pt idx="77">
                  <c:v>0.81993000000000005</c:v>
                </c:pt>
                <c:pt idx="78">
                  <c:v>0.82077000000000011</c:v>
                </c:pt>
                <c:pt idx="79">
                  <c:v>0.82161000000000006</c:v>
                </c:pt>
                <c:pt idx="80">
                  <c:v>0.82245000000000013</c:v>
                </c:pt>
                <c:pt idx="81">
                  <c:v>0.82329000000000008</c:v>
                </c:pt>
                <c:pt idx="82">
                  <c:v>0.82413000000000003</c:v>
                </c:pt>
                <c:pt idx="83">
                  <c:v>0.82497000000000009</c:v>
                </c:pt>
                <c:pt idx="84">
                  <c:v>0.82581000000000004</c:v>
                </c:pt>
                <c:pt idx="85">
                  <c:v>0.82665000000000011</c:v>
                </c:pt>
                <c:pt idx="86">
                  <c:v>0.82749000000000006</c:v>
                </c:pt>
                <c:pt idx="87">
                  <c:v>0.82833000000000012</c:v>
                </c:pt>
                <c:pt idx="88">
                  <c:v>0.82917000000000007</c:v>
                </c:pt>
                <c:pt idx="89">
                  <c:v>0.83001000000000014</c:v>
                </c:pt>
                <c:pt idx="90">
                  <c:v>0.83085000000000009</c:v>
                </c:pt>
                <c:pt idx="91">
                  <c:v>0.83169000000000004</c:v>
                </c:pt>
                <c:pt idx="92">
                  <c:v>0.8325300000000001</c:v>
                </c:pt>
                <c:pt idx="93">
                  <c:v>0.83337000000000006</c:v>
                </c:pt>
                <c:pt idx="94">
                  <c:v>0.83421000000000012</c:v>
                </c:pt>
                <c:pt idx="95">
                  <c:v>0.83505000000000007</c:v>
                </c:pt>
                <c:pt idx="96">
                  <c:v>0.83589000000000013</c:v>
                </c:pt>
                <c:pt idx="97">
                  <c:v>0.83673000000000008</c:v>
                </c:pt>
                <c:pt idx="98">
                  <c:v>0.83757000000000015</c:v>
                </c:pt>
                <c:pt idx="99">
                  <c:v>0.8384100000000001</c:v>
                </c:pt>
                <c:pt idx="100">
                  <c:v>0.83925000000000005</c:v>
                </c:pt>
                <c:pt idx="101">
                  <c:v>0.84009000000000011</c:v>
                </c:pt>
                <c:pt idx="102">
                  <c:v>0.84093000000000007</c:v>
                </c:pt>
                <c:pt idx="103">
                  <c:v>0.84177000000000013</c:v>
                </c:pt>
                <c:pt idx="104">
                  <c:v>0.84261000000000008</c:v>
                </c:pt>
                <c:pt idx="105">
                  <c:v>0.84345000000000003</c:v>
                </c:pt>
                <c:pt idx="106">
                  <c:v>0.8442900000000001</c:v>
                </c:pt>
                <c:pt idx="107">
                  <c:v>0.84513000000000005</c:v>
                </c:pt>
                <c:pt idx="108">
                  <c:v>0.84597000000000011</c:v>
                </c:pt>
                <c:pt idx="109">
                  <c:v>0.84681000000000006</c:v>
                </c:pt>
                <c:pt idx="110">
                  <c:v>0.84765000000000013</c:v>
                </c:pt>
                <c:pt idx="111">
                  <c:v>0.84849000000000008</c:v>
                </c:pt>
                <c:pt idx="112">
                  <c:v>0.84933000000000014</c:v>
                </c:pt>
                <c:pt idx="113">
                  <c:v>0.85017000000000009</c:v>
                </c:pt>
                <c:pt idx="114">
                  <c:v>0.85101000000000004</c:v>
                </c:pt>
                <c:pt idx="115">
                  <c:v>0.85185000000000011</c:v>
                </c:pt>
                <c:pt idx="116">
                  <c:v>0.85269000000000006</c:v>
                </c:pt>
                <c:pt idx="117">
                  <c:v>0.85353000000000012</c:v>
                </c:pt>
                <c:pt idx="118">
                  <c:v>0.85437000000000007</c:v>
                </c:pt>
                <c:pt idx="119">
                  <c:v>0.85521000000000014</c:v>
                </c:pt>
                <c:pt idx="120">
                  <c:v>0.85605000000000009</c:v>
                </c:pt>
                <c:pt idx="121">
                  <c:v>0.85689000000000004</c:v>
                </c:pt>
                <c:pt idx="122">
                  <c:v>0.8577300000000001</c:v>
                </c:pt>
                <c:pt idx="123">
                  <c:v>0.85857000000000006</c:v>
                </c:pt>
                <c:pt idx="124">
                  <c:v>0.85941000000000012</c:v>
                </c:pt>
                <c:pt idx="125">
                  <c:v>0.86025000000000007</c:v>
                </c:pt>
                <c:pt idx="126">
                  <c:v>0.86109000000000013</c:v>
                </c:pt>
                <c:pt idx="127">
                  <c:v>0.86193000000000008</c:v>
                </c:pt>
                <c:pt idx="128">
                  <c:v>0.86277000000000004</c:v>
                </c:pt>
                <c:pt idx="129">
                  <c:v>0.8636100000000001</c:v>
                </c:pt>
                <c:pt idx="130">
                  <c:v>0.86445000000000005</c:v>
                </c:pt>
                <c:pt idx="131">
                  <c:v>0.86529000000000011</c:v>
                </c:pt>
                <c:pt idx="132">
                  <c:v>0.86613000000000007</c:v>
                </c:pt>
                <c:pt idx="133">
                  <c:v>0.86697000000000013</c:v>
                </c:pt>
                <c:pt idx="134">
                  <c:v>0.86781000000000008</c:v>
                </c:pt>
                <c:pt idx="135">
                  <c:v>0.86865000000000014</c:v>
                </c:pt>
                <c:pt idx="136">
                  <c:v>0.8694900000000001</c:v>
                </c:pt>
                <c:pt idx="137">
                  <c:v>0.87033000000000005</c:v>
                </c:pt>
                <c:pt idx="138">
                  <c:v>0.87117000000000011</c:v>
                </c:pt>
                <c:pt idx="139">
                  <c:v>0.87201000000000006</c:v>
                </c:pt>
                <c:pt idx="140">
                  <c:v>0.87285000000000013</c:v>
                </c:pt>
                <c:pt idx="141">
                  <c:v>0.87369000000000008</c:v>
                </c:pt>
                <c:pt idx="142">
                  <c:v>0.87453000000000014</c:v>
                </c:pt>
                <c:pt idx="143">
                  <c:v>0.87537000000000009</c:v>
                </c:pt>
                <c:pt idx="144">
                  <c:v>0.87621000000000016</c:v>
                </c:pt>
                <c:pt idx="145">
                  <c:v>0.87705000000000011</c:v>
                </c:pt>
                <c:pt idx="146">
                  <c:v>0.87789000000000006</c:v>
                </c:pt>
                <c:pt idx="147">
                  <c:v>0.87873000000000012</c:v>
                </c:pt>
                <c:pt idx="148">
                  <c:v>0.87957000000000007</c:v>
                </c:pt>
                <c:pt idx="149">
                  <c:v>0.88041000000000014</c:v>
                </c:pt>
                <c:pt idx="150">
                  <c:v>0.88125000000000009</c:v>
                </c:pt>
              </c:numCache>
            </c:numRef>
          </c:yVal>
          <c:smooth val="1"/>
          <c:extLst>
            <c:ext xmlns:c16="http://schemas.microsoft.com/office/drawing/2014/chart" uri="{C3380CC4-5D6E-409C-BE32-E72D297353CC}">
              <c16:uniqueId val="{00000002-EE40-4D4A-8FA1-41721E446D03}"/>
            </c:ext>
          </c:extLst>
        </c:ser>
        <c:ser>
          <c:idx val="3"/>
          <c:order val="3"/>
          <c:tx>
            <c:v>RCS</c:v>
          </c:tx>
          <c:spPr>
            <a:ln>
              <a:solidFill>
                <a:schemeClr val="accent5">
                  <a:lumMod val="75000"/>
                </a:schemeClr>
              </a:solidFill>
              <a:prstDash val="lgDashDotDot"/>
            </a:ln>
          </c:spPr>
          <c:marker>
            <c:symbol val="none"/>
          </c:marker>
          <c:xVal>
            <c:numRef>
              <c:f>Eff_vs_IOUT!$AZ$7:$AZ$157</c:f>
              <c:numCache>
                <c:formatCode>General</c:formatCode>
                <c:ptCount val="151"/>
                <c:pt idx="0">
                  <c:v>0</c:v>
                </c:pt>
                <c:pt idx="1">
                  <c:v>2E-3</c:v>
                </c:pt>
                <c:pt idx="2">
                  <c:v>4.0000000000000001E-3</c:v>
                </c:pt>
                <c:pt idx="3">
                  <c:v>6.0000000000000001E-3</c:v>
                </c:pt>
                <c:pt idx="4">
                  <c:v>8.0000000000000002E-3</c:v>
                </c:pt>
                <c:pt idx="5">
                  <c:v>0.01</c:v>
                </c:pt>
                <c:pt idx="6">
                  <c:v>1.2E-2</c:v>
                </c:pt>
                <c:pt idx="7">
                  <c:v>1.4E-2</c:v>
                </c:pt>
                <c:pt idx="8">
                  <c:v>1.6E-2</c:v>
                </c:pt>
                <c:pt idx="9">
                  <c:v>1.8000000000000002E-2</c:v>
                </c:pt>
                <c:pt idx="10">
                  <c:v>0.02</c:v>
                </c:pt>
                <c:pt idx="11">
                  <c:v>2.1999999999999999E-2</c:v>
                </c:pt>
                <c:pt idx="12">
                  <c:v>2.4E-2</c:v>
                </c:pt>
                <c:pt idx="13">
                  <c:v>2.6000000000000002E-2</c:v>
                </c:pt>
                <c:pt idx="14">
                  <c:v>2.8000000000000001E-2</c:v>
                </c:pt>
                <c:pt idx="15">
                  <c:v>0.03</c:v>
                </c:pt>
                <c:pt idx="16">
                  <c:v>3.2000000000000001E-2</c:v>
                </c:pt>
                <c:pt idx="17">
                  <c:v>3.4000000000000002E-2</c:v>
                </c:pt>
                <c:pt idx="18">
                  <c:v>3.6000000000000004E-2</c:v>
                </c:pt>
                <c:pt idx="19">
                  <c:v>3.7999999999999999E-2</c:v>
                </c:pt>
                <c:pt idx="20">
                  <c:v>0.04</c:v>
                </c:pt>
                <c:pt idx="21">
                  <c:v>4.2000000000000003E-2</c:v>
                </c:pt>
                <c:pt idx="22">
                  <c:v>4.3999999999999997E-2</c:v>
                </c:pt>
                <c:pt idx="23">
                  <c:v>4.5999999999999999E-2</c:v>
                </c:pt>
                <c:pt idx="24">
                  <c:v>4.8000000000000001E-2</c:v>
                </c:pt>
                <c:pt idx="25">
                  <c:v>0.05</c:v>
                </c:pt>
                <c:pt idx="26">
                  <c:v>5.2000000000000005E-2</c:v>
                </c:pt>
                <c:pt idx="27">
                  <c:v>5.3999999999999999E-2</c:v>
                </c:pt>
                <c:pt idx="28">
                  <c:v>5.6000000000000001E-2</c:v>
                </c:pt>
                <c:pt idx="29">
                  <c:v>5.8000000000000003E-2</c:v>
                </c:pt>
                <c:pt idx="30">
                  <c:v>0.06</c:v>
                </c:pt>
                <c:pt idx="31">
                  <c:v>6.2E-2</c:v>
                </c:pt>
                <c:pt idx="32">
                  <c:v>6.4000000000000001E-2</c:v>
                </c:pt>
                <c:pt idx="33">
                  <c:v>6.6000000000000003E-2</c:v>
                </c:pt>
                <c:pt idx="34">
                  <c:v>6.8000000000000005E-2</c:v>
                </c:pt>
                <c:pt idx="35">
                  <c:v>7.0000000000000007E-2</c:v>
                </c:pt>
                <c:pt idx="36">
                  <c:v>7.2000000000000008E-2</c:v>
                </c:pt>
                <c:pt idx="37">
                  <c:v>7.3999999999999996E-2</c:v>
                </c:pt>
                <c:pt idx="38">
                  <c:v>7.5999999999999998E-2</c:v>
                </c:pt>
                <c:pt idx="39">
                  <c:v>7.8E-2</c:v>
                </c:pt>
                <c:pt idx="40">
                  <c:v>0.08</c:v>
                </c:pt>
                <c:pt idx="41">
                  <c:v>8.2000000000000003E-2</c:v>
                </c:pt>
                <c:pt idx="42">
                  <c:v>8.4000000000000005E-2</c:v>
                </c:pt>
                <c:pt idx="43">
                  <c:v>8.6000000000000007E-2</c:v>
                </c:pt>
                <c:pt idx="44">
                  <c:v>8.7999999999999995E-2</c:v>
                </c:pt>
                <c:pt idx="45">
                  <c:v>0.09</c:v>
                </c:pt>
                <c:pt idx="46">
                  <c:v>9.1999999999999998E-2</c:v>
                </c:pt>
                <c:pt idx="47">
                  <c:v>9.4E-2</c:v>
                </c:pt>
                <c:pt idx="48">
                  <c:v>9.6000000000000002E-2</c:v>
                </c:pt>
                <c:pt idx="49">
                  <c:v>9.8000000000000004E-2</c:v>
                </c:pt>
                <c:pt idx="50">
                  <c:v>0.1</c:v>
                </c:pt>
                <c:pt idx="51">
                  <c:v>0.10200000000000001</c:v>
                </c:pt>
                <c:pt idx="52">
                  <c:v>0.10400000000000001</c:v>
                </c:pt>
                <c:pt idx="53">
                  <c:v>0.106</c:v>
                </c:pt>
                <c:pt idx="54">
                  <c:v>0.108</c:v>
                </c:pt>
                <c:pt idx="55">
                  <c:v>0.11</c:v>
                </c:pt>
                <c:pt idx="56">
                  <c:v>0.112</c:v>
                </c:pt>
                <c:pt idx="57">
                  <c:v>0.114</c:v>
                </c:pt>
                <c:pt idx="58">
                  <c:v>0.11600000000000001</c:v>
                </c:pt>
                <c:pt idx="59">
                  <c:v>0.11800000000000001</c:v>
                </c:pt>
                <c:pt idx="60">
                  <c:v>0.12</c:v>
                </c:pt>
                <c:pt idx="61">
                  <c:v>0.122</c:v>
                </c:pt>
                <c:pt idx="62">
                  <c:v>0.124</c:v>
                </c:pt>
                <c:pt idx="63">
                  <c:v>0.126</c:v>
                </c:pt>
                <c:pt idx="64">
                  <c:v>0.128</c:v>
                </c:pt>
                <c:pt idx="65">
                  <c:v>0.13</c:v>
                </c:pt>
                <c:pt idx="66">
                  <c:v>0.13200000000000001</c:v>
                </c:pt>
                <c:pt idx="67">
                  <c:v>0.13400000000000001</c:v>
                </c:pt>
                <c:pt idx="68">
                  <c:v>0.13600000000000001</c:v>
                </c:pt>
                <c:pt idx="69">
                  <c:v>0.13800000000000001</c:v>
                </c:pt>
                <c:pt idx="70">
                  <c:v>0.14000000000000001</c:v>
                </c:pt>
                <c:pt idx="71">
                  <c:v>0.14200000000000002</c:v>
                </c:pt>
                <c:pt idx="72">
                  <c:v>0.14400000000000002</c:v>
                </c:pt>
                <c:pt idx="73">
                  <c:v>0.14599999999999999</c:v>
                </c:pt>
                <c:pt idx="74">
                  <c:v>0.14799999999999999</c:v>
                </c:pt>
                <c:pt idx="75">
                  <c:v>0.15</c:v>
                </c:pt>
                <c:pt idx="76">
                  <c:v>0.152</c:v>
                </c:pt>
                <c:pt idx="77">
                  <c:v>0.154</c:v>
                </c:pt>
                <c:pt idx="78">
                  <c:v>0.156</c:v>
                </c:pt>
                <c:pt idx="79">
                  <c:v>0.158</c:v>
                </c:pt>
                <c:pt idx="80">
                  <c:v>0.16</c:v>
                </c:pt>
                <c:pt idx="81">
                  <c:v>0.16200000000000001</c:v>
                </c:pt>
                <c:pt idx="82">
                  <c:v>0.16400000000000001</c:v>
                </c:pt>
                <c:pt idx="83">
                  <c:v>0.16600000000000001</c:v>
                </c:pt>
                <c:pt idx="84">
                  <c:v>0.16800000000000001</c:v>
                </c:pt>
                <c:pt idx="85">
                  <c:v>0.17</c:v>
                </c:pt>
                <c:pt idx="86">
                  <c:v>0.17200000000000001</c:v>
                </c:pt>
                <c:pt idx="87">
                  <c:v>0.17400000000000002</c:v>
                </c:pt>
                <c:pt idx="88">
                  <c:v>0.17599999999999999</c:v>
                </c:pt>
                <c:pt idx="89">
                  <c:v>0.17799999999999999</c:v>
                </c:pt>
                <c:pt idx="90">
                  <c:v>0.18</c:v>
                </c:pt>
                <c:pt idx="91">
                  <c:v>0.182</c:v>
                </c:pt>
                <c:pt idx="92">
                  <c:v>0.184</c:v>
                </c:pt>
                <c:pt idx="93">
                  <c:v>0.186</c:v>
                </c:pt>
                <c:pt idx="94">
                  <c:v>0.188</c:v>
                </c:pt>
                <c:pt idx="95">
                  <c:v>0.19</c:v>
                </c:pt>
                <c:pt idx="96">
                  <c:v>0.192</c:v>
                </c:pt>
                <c:pt idx="97">
                  <c:v>0.19400000000000001</c:v>
                </c:pt>
                <c:pt idx="98">
                  <c:v>0.19600000000000001</c:v>
                </c:pt>
                <c:pt idx="99">
                  <c:v>0.19800000000000001</c:v>
                </c:pt>
                <c:pt idx="100">
                  <c:v>0.2</c:v>
                </c:pt>
                <c:pt idx="101">
                  <c:v>0.20200000000000001</c:v>
                </c:pt>
                <c:pt idx="102">
                  <c:v>0.20400000000000001</c:v>
                </c:pt>
                <c:pt idx="103">
                  <c:v>0.20600000000000002</c:v>
                </c:pt>
                <c:pt idx="104">
                  <c:v>0.20800000000000002</c:v>
                </c:pt>
                <c:pt idx="105">
                  <c:v>0.21</c:v>
                </c:pt>
                <c:pt idx="106">
                  <c:v>0.21199999999999999</c:v>
                </c:pt>
                <c:pt idx="107">
                  <c:v>0.214</c:v>
                </c:pt>
                <c:pt idx="108">
                  <c:v>0.216</c:v>
                </c:pt>
                <c:pt idx="109">
                  <c:v>0.218</c:v>
                </c:pt>
                <c:pt idx="110">
                  <c:v>0.22</c:v>
                </c:pt>
                <c:pt idx="111">
                  <c:v>0.222</c:v>
                </c:pt>
                <c:pt idx="112">
                  <c:v>0.224</c:v>
                </c:pt>
                <c:pt idx="113">
                  <c:v>0.22600000000000001</c:v>
                </c:pt>
                <c:pt idx="114">
                  <c:v>0.22800000000000001</c:v>
                </c:pt>
                <c:pt idx="115">
                  <c:v>0.23</c:v>
                </c:pt>
                <c:pt idx="116">
                  <c:v>0.23200000000000001</c:v>
                </c:pt>
                <c:pt idx="117">
                  <c:v>0.23400000000000001</c:v>
                </c:pt>
                <c:pt idx="118">
                  <c:v>0.23600000000000002</c:v>
                </c:pt>
                <c:pt idx="119">
                  <c:v>0.23800000000000002</c:v>
                </c:pt>
                <c:pt idx="120">
                  <c:v>0.24</c:v>
                </c:pt>
                <c:pt idx="121">
                  <c:v>0.24199999999999999</c:v>
                </c:pt>
                <c:pt idx="122">
                  <c:v>0.24399999999999999</c:v>
                </c:pt>
                <c:pt idx="123">
                  <c:v>0.246</c:v>
                </c:pt>
                <c:pt idx="124">
                  <c:v>0.248</c:v>
                </c:pt>
                <c:pt idx="125">
                  <c:v>0.25</c:v>
                </c:pt>
                <c:pt idx="126">
                  <c:v>0.252</c:v>
                </c:pt>
                <c:pt idx="127">
                  <c:v>0.254</c:v>
                </c:pt>
                <c:pt idx="128">
                  <c:v>0.25600000000000001</c:v>
                </c:pt>
                <c:pt idx="129">
                  <c:v>0.25800000000000001</c:v>
                </c:pt>
                <c:pt idx="130">
                  <c:v>0.26</c:v>
                </c:pt>
                <c:pt idx="131">
                  <c:v>0.26200000000000001</c:v>
                </c:pt>
                <c:pt idx="132">
                  <c:v>0.26400000000000001</c:v>
                </c:pt>
                <c:pt idx="133">
                  <c:v>0.26600000000000001</c:v>
                </c:pt>
                <c:pt idx="134">
                  <c:v>0.26800000000000002</c:v>
                </c:pt>
                <c:pt idx="135">
                  <c:v>0.27</c:v>
                </c:pt>
                <c:pt idx="136">
                  <c:v>0.27200000000000002</c:v>
                </c:pt>
                <c:pt idx="137">
                  <c:v>0.27400000000000002</c:v>
                </c:pt>
                <c:pt idx="138">
                  <c:v>0.27600000000000002</c:v>
                </c:pt>
                <c:pt idx="139">
                  <c:v>0.27800000000000002</c:v>
                </c:pt>
                <c:pt idx="140">
                  <c:v>0.28000000000000003</c:v>
                </c:pt>
                <c:pt idx="141">
                  <c:v>0.28200000000000003</c:v>
                </c:pt>
                <c:pt idx="142">
                  <c:v>0.28400000000000003</c:v>
                </c:pt>
                <c:pt idx="143">
                  <c:v>0.28600000000000003</c:v>
                </c:pt>
                <c:pt idx="144">
                  <c:v>0.28800000000000003</c:v>
                </c:pt>
                <c:pt idx="145">
                  <c:v>0.28999999999999998</c:v>
                </c:pt>
                <c:pt idx="146">
                  <c:v>0.29199999999999998</c:v>
                </c:pt>
                <c:pt idx="147">
                  <c:v>0.29399999999999998</c:v>
                </c:pt>
                <c:pt idx="148">
                  <c:v>0.29599999999999999</c:v>
                </c:pt>
                <c:pt idx="149">
                  <c:v>0.29799999999999999</c:v>
                </c:pt>
                <c:pt idx="150">
                  <c:v>0.3</c:v>
                </c:pt>
              </c:numCache>
            </c:numRef>
          </c:xVal>
          <c:yVal>
            <c:numRef>
              <c:f>Eff_vs_IOUT!$BV$7:$BV$157</c:f>
              <c:numCache>
                <c:formatCode>General</c:formatCode>
                <c:ptCount val="1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numCache>
            </c:numRef>
          </c:yVal>
          <c:smooth val="1"/>
          <c:extLst>
            <c:ext xmlns:c16="http://schemas.microsoft.com/office/drawing/2014/chart" uri="{C3380CC4-5D6E-409C-BE32-E72D297353CC}">
              <c16:uniqueId val="{00000003-EE40-4D4A-8FA1-41721E446D03}"/>
            </c:ext>
          </c:extLst>
        </c:ser>
        <c:dLbls>
          <c:showLegendKey val="0"/>
          <c:showVal val="0"/>
          <c:showCatName val="0"/>
          <c:showSerName val="0"/>
          <c:showPercent val="0"/>
          <c:showBubbleSize val="0"/>
        </c:dLbls>
        <c:axId val="76131328"/>
        <c:axId val="76129408"/>
      </c:scatterChart>
      <c:valAx>
        <c:axId val="76121600"/>
        <c:scaling>
          <c:orientation val="minMax"/>
        </c:scaling>
        <c:delete val="0"/>
        <c:axPos val="b"/>
        <c:majorGridlines/>
        <c:numFmt formatCode="General" sourceLinked="1"/>
        <c:majorTickMark val="out"/>
        <c:minorTickMark val="none"/>
        <c:tickLblPos val="nextTo"/>
        <c:crossAx val="76123136"/>
        <c:crosses val="autoZero"/>
        <c:crossBetween val="midCat"/>
      </c:valAx>
      <c:valAx>
        <c:axId val="76123136"/>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76121600"/>
        <c:crosses val="autoZero"/>
        <c:crossBetween val="midCat"/>
      </c:valAx>
      <c:valAx>
        <c:axId val="76129408"/>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76131328"/>
        <c:crosses val="max"/>
        <c:crossBetween val="midCat"/>
      </c:valAx>
      <c:valAx>
        <c:axId val="76131328"/>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76129408"/>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H$8" max="45" noThreeD="1" page="10" val="15"/>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3.gif"/><Relationship Id="rId1" Type="http://schemas.openxmlformats.org/officeDocument/2006/relationships/hyperlink" Target="http://www.ti.com" TargetMode="External"/></Relationships>
</file>

<file path=xl/drawings/_rels/drawing5.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6.xml"/><Relationship Id="rId5" Type="http://schemas.openxmlformats.org/officeDocument/2006/relationships/chart" Target="../charts/chart8.xml"/><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image" Target="../media/image9.emf"/><Relationship Id="rId2" Type="http://schemas.openxmlformats.org/officeDocument/2006/relationships/image" Target="../media/image8.png"/><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5.vml.rels><?xml version="1.0" encoding="UTF-8" standalone="yes"?>
<Relationships xmlns="http://schemas.openxmlformats.org/package/2006/relationships"><Relationship Id="rId3" Type="http://schemas.openxmlformats.org/officeDocument/2006/relationships/image" Target="../media/image12.emf"/><Relationship Id="rId2" Type="http://schemas.openxmlformats.org/officeDocument/2006/relationships/image" Target="../media/image11.emf"/><Relationship Id="rId1" Type="http://schemas.openxmlformats.org/officeDocument/2006/relationships/image" Target="../media/image10.emf"/><Relationship Id="rId4" Type="http://schemas.openxmlformats.org/officeDocument/2006/relationships/image" Target="../media/image1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0</xdr:colOff>
          <xdr:row>6</xdr:row>
          <xdr:rowOff>0</xdr:rowOff>
        </xdr:from>
        <xdr:to>
          <xdr:col>25</xdr:col>
          <xdr:colOff>494598</xdr:colOff>
          <xdr:row>37</xdr:row>
          <xdr:rowOff>67236</xdr:rowOff>
        </xdr:to>
        <xdr:pic>
          <xdr:nvPicPr>
            <xdr:cNvPr id="17" name="Picture 16">
              <a:extLst>
                <a:ext uri="{FF2B5EF4-FFF2-40B4-BE49-F238E27FC236}">
                  <a16:creationId xmlns:a16="http://schemas.microsoft.com/office/drawing/2014/main" id="{00000000-0008-0000-0000-000011000000}"/>
                </a:ext>
              </a:extLst>
            </xdr:cNvPr>
            <xdr:cNvPicPr>
              <a:picLocks noChangeAspect="1" noChangeArrowheads="1"/>
              <a:extLst>
                <a:ext uri="{84589F7E-364E-4C9E-8A38-B11213B215E9}">
                  <a14:cameraTool cellRange="display_Sch" spid="_x0000_s1133"/>
                </a:ext>
              </a:extLst>
            </xdr:cNvPicPr>
          </xdr:nvPicPr>
          <xdr:blipFill>
            <a:blip xmlns:r="http://schemas.openxmlformats.org/officeDocument/2006/relationships" r:embed="rId1"/>
            <a:srcRect/>
            <a:stretch>
              <a:fillRect/>
            </a:stretch>
          </xdr:blipFill>
          <xdr:spPr bwMode="auto">
            <a:xfrm>
              <a:off x="6152029" y="1557618"/>
              <a:ext cx="8697304" cy="618564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9</xdr:col>
      <xdr:colOff>22860</xdr:colOff>
      <xdr:row>45</xdr:row>
      <xdr:rowOff>1</xdr:rowOff>
    </xdr:from>
    <xdr:to>
      <xdr:col>25</xdr:col>
      <xdr:colOff>589189</xdr:colOff>
      <xdr:row>66</xdr:row>
      <xdr:rowOff>175261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22861</xdr:colOff>
      <xdr:row>69</xdr:row>
      <xdr:rowOff>7620</xdr:rowOff>
    </xdr:from>
    <xdr:to>
      <xdr:col>25</xdr:col>
      <xdr:colOff>600637</xdr:colOff>
      <xdr:row>93</xdr:row>
      <xdr:rowOff>163286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xdr:from>
          <xdr:col>7</xdr:col>
          <xdr:colOff>502920</xdr:colOff>
          <xdr:row>51</xdr:row>
          <xdr:rowOff>0</xdr:rowOff>
        </xdr:from>
        <xdr:to>
          <xdr:col>8</xdr:col>
          <xdr:colOff>7620</xdr:colOff>
          <xdr:row>53</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14</xdr:col>
      <xdr:colOff>134501</xdr:colOff>
      <xdr:row>44</xdr:row>
      <xdr:rowOff>62752</xdr:rowOff>
    </xdr:from>
    <xdr:to>
      <xdr:col>15</xdr:col>
      <xdr:colOff>484124</xdr:colOff>
      <xdr:row>46</xdr:row>
      <xdr:rowOff>161363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283419" y="9529481"/>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197245</xdr:colOff>
      <xdr:row>44</xdr:row>
      <xdr:rowOff>71718</xdr:rowOff>
    </xdr:from>
    <xdr:to>
      <xdr:col>16</xdr:col>
      <xdr:colOff>528939</xdr:colOff>
      <xdr:row>46</xdr:row>
      <xdr:rowOff>170330</xdr:rowOff>
    </xdr:to>
    <xdr:sp macro="" textlink="VIN_nom">
      <xdr:nvSpPr>
        <xdr:cNvPr id="3" name="TextBox 2">
          <a:extLst>
            <a:ext uri="{FF2B5EF4-FFF2-40B4-BE49-F238E27FC236}">
              <a16:creationId xmlns:a16="http://schemas.microsoft.com/office/drawing/2014/main" id="{00000000-0008-0000-0000-000003000000}"/>
            </a:ext>
          </a:extLst>
        </xdr:cNvPr>
        <xdr:cNvSpPr txBox="1"/>
      </xdr:nvSpPr>
      <xdr:spPr>
        <a:xfrm>
          <a:off x="8955763" y="9538447"/>
          <a:ext cx="941294" cy="493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15</a:t>
          </a:fld>
          <a:endParaRPr lang="en-US" sz="2400"/>
        </a:p>
      </xdr:txBody>
    </xdr:sp>
    <xdr:clientData/>
  </xdr:twoCellAnchor>
  <xdr:twoCellAnchor>
    <xdr:from>
      <xdr:col>15</xdr:col>
      <xdr:colOff>600663</xdr:colOff>
      <xdr:row>44</xdr:row>
      <xdr:rowOff>62752</xdr:rowOff>
    </xdr:from>
    <xdr:to>
      <xdr:col>17</xdr:col>
      <xdr:colOff>340686</xdr:colOff>
      <xdr:row>46</xdr:row>
      <xdr:rowOff>161363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359181" y="9529481"/>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69</xdr:row>
      <xdr:rowOff>26894</xdr:rowOff>
    </xdr:from>
    <xdr:to>
      <xdr:col>13</xdr:col>
      <xdr:colOff>116540</xdr:colOff>
      <xdr:row>71</xdr:row>
      <xdr:rowOff>134470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12</xdr:col>
      <xdr:colOff>439261</xdr:colOff>
      <xdr:row>69</xdr:row>
      <xdr:rowOff>35860</xdr:rowOff>
    </xdr:from>
    <xdr:to>
      <xdr:col>14</xdr:col>
      <xdr:colOff>161355</xdr:colOff>
      <xdr:row>71</xdr:row>
      <xdr:rowOff>143437</xdr:rowOff>
    </xdr:to>
    <xdr:sp macro="" textlink="VIN_nom">
      <xdr:nvSpPr>
        <xdr:cNvPr id="10" name="TextBox 9">
          <a:extLst>
            <a:ext uri="{FF2B5EF4-FFF2-40B4-BE49-F238E27FC236}">
              <a16:creationId xmlns:a16="http://schemas.microsoft.com/office/drawing/2014/main" id="{00000000-0008-0000-0000-00000A000000}"/>
            </a:ext>
          </a:extLst>
        </xdr:cNvPr>
        <xdr:cNvSpPr txBox="1"/>
      </xdr:nvSpPr>
      <xdr:spPr>
        <a:xfrm>
          <a:off x="7368979" y="14388354"/>
          <a:ext cx="941294" cy="49305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B6E0D9B-34B5-4A81-8CB9-A88F658AFD78}" type="TxLink">
            <a:rPr lang="en-US" sz="2400" b="0" i="0" u="none" strike="noStrike">
              <a:solidFill>
                <a:srgbClr val="000000"/>
              </a:solidFill>
              <a:latin typeface="Calibri"/>
            </a:rPr>
            <a:pPr/>
            <a:t>15</a:t>
          </a:fld>
          <a:endParaRPr lang="en-US" sz="2400"/>
        </a:p>
      </xdr:txBody>
    </xdr:sp>
    <xdr:clientData/>
  </xdr:twoCellAnchor>
  <xdr:twoCellAnchor>
    <xdr:from>
      <xdr:col>13</xdr:col>
      <xdr:colOff>233079</xdr:colOff>
      <xdr:row>69</xdr:row>
      <xdr:rowOff>26894</xdr:rowOff>
    </xdr:from>
    <xdr:to>
      <xdr:col>14</xdr:col>
      <xdr:colOff>582702</xdr:colOff>
      <xdr:row>71</xdr:row>
      <xdr:rowOff>134470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7772397"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oneCellAnchor>
    <xdr:from>
      <xdr:col>15</xdr:col>
      <xdr:colOff>112059</xdr:colOff>
      <xdr:row>15</xdr:row>
      <xdr:rowOff>89646</xdr:rowOff>
    </xdr:from>
    <xdr:ext cx="1143000" cy="280147"/>
    <xdr:sp macro="" textlink="device_s">
      <xdr:nvSpPr>
        <xdr:cNvPr id="7" name="TextBox 6">
          <a:extLst>
            <a:ext uri="{FF2B5EF4-FFF2-40B4-BE49-F238E27FC236}">
              <a16:creationId xmlns:a16="http://schemas.microsoft.com/office/drawing/2014/main" id="{00000000-0008-0000-0000-000007000000}"/>
            </a:ext>
          </a:extLst>
        </xdr:cNvPr>
        <xdr:cNvSpPr txBox="1"/>
      </xdr:nvSpPr>
      <xdr:spPr>
        <a:xfrm>
          <a:off x="8639735" y="3361764"/>
          <a:ext cx="1143000" cy="28014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ctr"/>
          <a:fld id="{52E9AD50-9B87-4380-A39A-4D32FBBCE9C8}" type="TxLink">
            <a:rPr lang="en-US" sz="1800" b="1" i="0" u="none" strike="noStrike">
              <a:solidFill>
                <a:srgbClr val="000000"/>
              </a:solidFill>
              <a:latin typeface="Calibri"/>
              <a:cs typeface="Calibri"/>
            </a:rPr>
            <a:pPr algn="ctr"/>
            <a:t>LM5158</a:t>
          </a:fld>
          <a:endParaRPr lang="en-US" sz="1800" b="1"/>
        </a:p>
      </xdr:txBody>
    </xdr:sp>
    <xdr:clientData/>
  </xdr:oneCellAnchor>
</xdr:wsDr>
</file>

<file path=xl/drawings/drawing2.xml><?xml version="1.0" encoding="utf-8"?>
<c:userShapes xmlns:c="http://schemas.openxmlformats.org/drawingml/2006/chart">
  <cdr:relSizeAnchor xmlns:cdr="http://schemas.openxmlformats.org/drawingml/2006/chartDrawing">
    <cdr:from>
      <cdr:x>0.09558</cdr:x>
      <cdr:y>0.79976</cdr:y>
    </cdr:from>
    <cdr:to>
      <cdr:x>0.22369</cdr:x>
      <cdr:y>0.83832</cdr:y>
    </cdr:to>
    <cdr:sp macro="" textlink="Loop_Modeling!$A$69">
      <cdr:nvSpPr>
        <cdr:cNvPr id="2" name="TextBox 13">
          <a:extLst xmlns:a="http://schemas.openxmlformats.org/drawingml/2006/main">
            <a:ext uri="{FF2B5EF4-FFF2-40B4-BE49-F238E27FC236}">
              <a16:creationId xmlns:a16="http://schemas.microsoft.com/office/drawing/2014/main" id="{00000000-0008-0000-0000-00000E000000}"/>
            </a:ext>
          </a:extLst>
        </cdr:cNvPr>
        <cdr:cNvSpPr txBox="1"/>
      </cdr:nvSpPr>
      <cdr:spPr>
        <a:xfrm xmlns:a="http://schemas.openxmlformats.org/drawingml/2006/main">
          <a:off x="924858" y="3716013"/>
          <a:ext cx="1239688" cy="179167"/>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10C528E4-1A86-493F-9CFE-96703CB69A3F}" type="TxLink">
            <a:rPr lang="en-US" sz="1100" b="1" i="0" u="none" strike="noStrike">
              <a:solidFill>
                <a:schemeClr val="accent1">
                  <a:lumMod val="75000"/>
                </a:schemeClr>
              </a:solidFill>
              <a:latin typeface="Calibri"/>
              <a:cs typeface="Calibri"/>
            </a:rPr>
            <a:pPr/>
            <a:t>Phase Margin = 48°</a:t>
          </a:fld>
          <a:endParaRPr lang="en-US" sz="2400" b="1">
            <a:solidFill>
              <a:schemeClr val="accent1">
                <a:lumMod val="75000"/>
              </a:schemeClr>
            </a:solidFill>
          </a:endParaRPr>
        </a:p>
      </cdr:txBody>
    </cdr:sp>
  </cdr:relSizeAnchor>
  <cdr:relSizeAnchor xmlns:cdr="http://schemas.openxmlformats.org/drawingml/2006/chartDrawing">
    <cdr:from>
      <cdr:x>0.09558</cdr:x>
      <cdr:y>0.75857</cdr:y>
    </cdr:from>
    <cdr:to>
      <cdr:x>0.29409</cdr:x>
      <cdr:y>0.79828</cdr:y>
    </cdr:to>
    <cdr:sp macro="" textlink="Loop_Modeling!$A$68">
      <cdr:nvSpPr>
        <cdr:cNvPr id="3" name="TextBox 14">
          <a:extLst xmlns:a="http://schemas.openxmlformats.org/drawingml/2006/main">
            <a:ext uri="{FF2B5EF4-FFF2-40B4-BE49-F238E27FC236}">
              <a16:creationId xmlns:a16="http://schemas.microsoft.com/office/drawing/2014/main" id="{00000000-0008-0000-0000-00000F000000}"/>
            </a:ext>
          </a:extLst>
        </cdr:cNvPr>
        <cdr:cNvSpPr txBox="1"/>
      </cdr:nvSpPr>
      <cdr:spPr>
        <a:xfrm xmlns:a="http://schemas.openxmlformats.org/drawingml/2006/main">
          <a:off x="924858" y="3524624"/>
          <a:ext cx="1920988" cy="184521"/>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E27D5114-5118-475A-B30D-5338A73E5006}" type="TxLink">
            <a:rPr lang="en-US" sz="1100" b="1" i="0" u="none" strike="noStrike">
              <a:solidFill>
                <a:srgbClr val="C00000"/>
              </a:solidFill>
              <a:latin typeface="Calibri"/>
              <a:cs typeface="Calibri"/>
            </a:rPr>
            <a:pPr/>
            <a:t>Crossover Frequency = 7.6 kHz</a:t>
          </a:fld>
          <a:endParaRPr lang="en-US" sz="2400" b="1">
            <a:solidFill>
              <a:srgbClr val="C00000"/>
            </a:solidFill>
            <a:latin typeface="+mn-lt"/>
            <a:cs typeface="Arial" panose="020B06040202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1</xdr:col>
      <xdr:colOff>600075</xdr:colOff>
      <xdr:row>2</xdr:row>
      <xdr:rowOff>85676</xdr:rowOff>
    </xdr:to>
    <xdr:pic>
      <xdr:nvPicPr>
        <xdr:cNvPr id="2" name="Picture 1" descr="ti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52400"/>
          <a:ext cx="2314575" cy="2952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200025</xdr:colOff>
      <xdr:row>0</xdr:row>
      <xdr:rowOff>114300</xdr:rowOff>
    </xdr:from>
    <xdr:ext cx="3752850" cy="381708"/>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914525" y="114300"/>
          <a:ext cx="3752850"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About this tool...</a:t>
          </a:r>
        </a:p>
      </xdr:txBody>
    </xdr:sp>
    <xdr:clientData/>
  </xdr:oneCellAnchor>
  <xdr:oneCellAnchor>
    <xdr:from>
      <xdr:col>3</xdr:col>
      <xdr:colOff>323850</xdr:colOff>
      <xdr:row>1</xdr:row>
      <xdr:rowOff>28575</xdr:rowOff>
    </xdr:from>
    <xdr:ext cx="4719497" cy="254557"/>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6419850" y="209550"/>
          <a:ext cx="471949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Arial" panose="020B0604020202020204" pitchFamily="34" charset="0"/>
              <a:ea typeface="+mn-ea"/>
              <a:cs typeface="Arial" panose="020B0604020202020204" pitchFamily="34" charset="0"/>
              <a:hlinkClick xmlns:r="http://schemas.openxmlformats.org/officeDocument/2006/relationships" r:id=""/>
            </a:rPr>
            <a:t>© Copyright 2021</a:t>
          </a:r>
          <a:r>
            <a:rPr lang="en-US" sz="1100" b="0" i="0">
              <a:solidFill>
                <a:schemeClr val="tx1"/>
              </a:solidFill>
              <a:effectLst/>
              <a:latin typeface="Arial" panose="020B0604020202020204" pitchFamily="34" charset="0"/>
              <a:ea typeface="+mn-ea"/>
              <a:cs typeface="Arial" panose="020B0604020202020204" pitchFamily="34" charset="0"/>
            </a:rPr>
            <a:t> Texas Instruments Incorporated. All rights reserved.</a:t>
          </a:r>
          <a:endParaRPr lang="en-US" sz="1100" b="0">
            <a:latin typeface="Arial" panose="020B0604020202020204" pitchFamily="34" charset="0"/>
            <a:cs typeface="Arial" panose="020B0604020202020204" pitchFamily="34" charset="0"/>
          </a:endParaRPr>
        </a:p>
      </xdr:txBody>
    </xdr:sp>
    <xdr:clientData/>
  </xdr:oneCellAnchor>
  <xdr:oneCellAnchor>
    <xdr:from>
      <xdr:col>0</xdr:col>
      <xdr:colOff>95247</xdr:colOff>
      <xdr:row>6</xdr:row>
      <xdr:rowOff>47623</xdr:rowOff>
    </xdr:from>
    <xdr:ext cx="11229977" cy="4086227"/>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95247" y="1114423"/>
          <a:ext cx="11229977" cy="4086227"/>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000" b="1">
              <a:latin typeface="Arial" panose="020B0604020202020204" pitchFamily="34" charset="0"/>
              <a:cs typeface="Arial" panose="020B0604020202020204" pitchFamily="34" charset="0"/>
            </a:rPr>
            <a:t>LICENSE INFORMATION:</a:t>
          </a:r>
        </a:p>
        <a:p>
          <a:r>
            <a:rPr lang="en-US" sz="900">
              <a:solidFill>
                <a:schemeClr val="tx1"/>
              </a:solidFill>
              <a:effectLst/>
              <a:latin typeface="Arial" panose="020B0604020202020204" pitchFamily="34" charset="0"/>
              <a:ea typeface="+mn-ea"/>
              <a:cs typeface="Arial" panose="020B0604020202020204" pitchFamily="34" charset="0"/>
            </a:rPr>
            <a:t>Copyright (c) 2021 Texas Instruments Incorporated</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All rights reserved not granted herein.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Limited License.  </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Redistributions must preserve existing copyright notices and reproduce this license (including the above copyright notice and the disclaimer and (if applicable) source code license limitations below) in the documentation and/or other materials provided with the distribution</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Redistribution and use in binary form, without modification,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No reverse engineering, decompilation, or disassembly of this software is permitted with respect to any software provided in binary form. </a:t>
          </a:r>
        </a:p>
        <a:p>
          <a:r>
            <a:rPr lang="en-US" sz="900">
              <a:solidFill>
                <a:schemeClr val="tx1"/>
              </a:solidFill>
              <a:effectLst/>
              <a:latin typeface="Arial" panose="020B0604020202020204" pitchFamily="34" charset="0"/>
              <a:ea typeface="+mn-ea"/>
              <a:cs typeface="Arial" panose="020B0604020202020204" pitchFamily="34" charset="0"/>
            </a:rPr>
            <a:t>*	Any redistribution and use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Nothing shall obligate TI to provide you with source code for the software licensed and provided to you in object code.</a:t>
          </a:r>
        </a:p>
        <a:p>
          <a:r>
            <a:rPr lang="en-US" sz="900">
              <a:solidFill>
                <a:schemeClr val="tx1"/>
              </a:solidFill>
              <a:effectLst/>
              <a:latin typeface="Arial" panose="020B0604020202020204" pitchFamily="34" charset="0"/>
              <a:ea typeface="+mn-ea"/>
              <a:cs typeface="Arial" panose="020B0604020202020204" pitchFamily="34" charset="0"/>
            </a:rPr>
            <a:t> </a:t>
          </a:r>
        </a:p>
        <a:p>
          <a:r>
            <a:rPr lang="en-US" sz="900">
              <a:solidFill>
                <a:schemeClr val="tx1"/>
              </a:solidFill>
              <a:effectLst/>
              <a:latin typeface="Arial" panose="020B0604020202020204" pitchFamily="34" charset="0"/>
              <a:ea typeface="+mn-ea"/>
              <a:cs typeface="Arial" panose="020B0604020202020204" pitchFamily="34" charset="0"/>
            </a:rPr>
            <a:t>If software source code is provided to you, modification and redistribution of the source code are permitted provided that the following conditions are met:</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the source code, including any resulting derivative works, are licensed by TI for use only with TI Devices.</a:t>
          </a:r>
        </a:p>
        <a:p>
          <a:r>
            <a:rPr lang="en-US" sz="900">
              <a:solidFill>
                <a:schemeClr val="tx1"/>
              </a:solidFill>
              <a:effectLst/>
              <a:latin typeface="Arial" panose="020B0604020202020204" pitchFamily="34" charset="0"/>
              <a:ea typeface="+mn-ea"/>
              <a:cs typeface="Arial" panose="020B0604020202020204" pitchFamily="34" charset="0"/>
            </a:rPr>
            <a:t>*	Any redistribution and use of any object code compiled from the source code and any resulting derivative works, are licensed by TI for use only with TI Devices.</a:t>
          </a:r>
        </a:p>
        <a:p>
          <a:endParaRPr lang="en-US" sz="900">
            <a:solidFill>
              <a:schemeClr val="tx1"/>
            </a:solidFill>
            <a:effectLst/>
            <a:latin typeface="Arial" panose="020B0604020202020204" pitchFamily="34" charset="0"/>
            <a:ea typeface="+mn-ea"/>
            <a:cs typeface="Arial" panose="020B0604020202020204" pitchFamily="34" charset="0"/>
          </a:endParaRPr>
        </a:p>
        <a:p>
          <a:r>
            <a:rPr lang="en-US" sz="900">
              <a:solidFill>
                <a:schemeClr val="tx1"/>
              </a:solidFill>
              <a:effectLst/>
              <a:latin typeface="Arial" panose="020B0604020202020204" pitchFamily="34" charset="0"/>
              <a:ea typeface="+mn-ea"/>
              <a:cs typeface="Arial" panose="020B0604020202020204" pitchFamily="34" charset="0"/>
            </a:rPr>
            <a:t>Neither the name of Texas Instruments Incorporated nor the names of its suppliers may be used to endorse or promote products derived from this software without specific prior written permission.</a:t>
          </a:r>
          <a:endParaRPr lang="en-US" sz="1000" b="1">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000" baseline="0">
            <a:latin typeface="Arial" panose="020B0604020202020204" pitchFamily="34" charset="0"/>
            <a:cs typeface="Arial" panose="020B0604020202020204" pitchFamily="34"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b="1" baseline="0">
              <a:latin typeface="Arial" panose="020B0604020202020204" pitchFamily="34" charset="0"/>
              <a:cs typeface="Arial" panose="020B0604020202020204" pitchFamily="34" charset="0"/>
            </a:rPr>
            <a:t>DISCLAMER:</a:t>
          </a:r>
        </a:p>
        <a:p>
          <a:pPr marL="0" marR="0" indent="0" defTabSz="914400" eaLnBrk="1" fontAlgn="auto" latinLnBrk="0" hangingPunct="1">
            <a:lnSpc>
              <a:spcPct val="100000"/>
            </a:lnSpc>
            <a:spcBef>
              <a:spcPts val="0"/>
            </a:spcBef>
            <a:spcAft>
              <a:spcPts val="0"/>
            </a:spcAft>
            <a:buClrTx/>
            <a:buSzTx/>
            <a:buFontTx/>
            <a:buNone/>
            <a:tabLst/>
            <a:defRPr/>
          </a:pPr>
          <a:r>
            <a:rPr lang="en-US" sz="800" baseline="0">
              <a:latin typeface="Arial" panose="020B0604020202020204" pitchFamily="34" charset="0"/>
              <a:cs typeface="Arial" panose="020B0604020202020204" pitchFamily="34" charset="0"/>
            </a:rPr>
            <a:t>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a:t>
          </a:r>
        </a:p>
      </xdr:txBody>
    </xdr:sp>
    <xdr:clientData/>
  </xdr:oneCellAnchor>
  <xdr:oneCellAnchor>
    <xdr:from>
      <xdr:col>0</xdr:col>
      <xdr:colOff>95247</xdr:colOff>
      <xdr:row>29</xdr:row>
      <xdr:rowOff>47623</xdr:rowOff>
    </xdr:from>
    <xdr:ext cx="11229977" cy="809627"/>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95247" y="5276848"/>
          <a:ext cx="11229977" cy="809627"/>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IMPORTANT</a:t>
          </a:r>
          <a:r>
            <a:rPr lang="en-US" sz="1100" b="1" baseline="0">
              <a:solidFill>
                <a:schemeClr val="tx1"/>
              </a:solidFill>
              <a:effectLst/>
              <a:latin typeface="+mn-lt"/>
              <a:ea typeface="+mn-ea"/>
              <a:cs typeface="+mn-cs"/>
            </a:rPr>
            <a:t>:   </a:t>
          </a:r>
          <a:endParaRPr lang="en-US" sz="800">
            <a:effectLst/>
          </a:endParaRPr>
        </a:p>
        <a:p>
          <a:r>
            <a:rPr lang="en-US" sz="1100" baseline="0">
              <a:solidFill>
                <a:schemeClr val="tx1"/>
              </a:solidFill>
              <a:effectLst/>
              <a:latin typeface="+mn-lt"/>
              <a:ea typeface="+mn-ea"/>
              <a:cs typeface="+mn-cs"/>
            </a:rPr>
            <a:t>1.  Do not delete this worksheet!</a:t>
          </a:r>
          <a:endParaRPr lang="en-US" sz="800">
            <a:effectLst/>
          </a:endParaRPr>
        </a:p>
        <a:p>
          <a:pPr eaLnBrk="1" fontAlgn="auto" latinLnBrk="0" hangingPunct="1"/>
          <a:r>
            <a:rPr lang="en-US" sz="1100" baseline="0">
              <a:solidFill>
                <a:schemeClr val="tx1"/>
              </a:solidFill>
              <a:effectLst/>
              <a:latin typeface="+mn-lt"/>
              <a:ea typeface="+mn-ea"/>
              <a:cs typeface="+mn-cs"/>
            </a:rPr>
            <a:t>2.  Redistributions must retain the above copyright and the following disclaimer.</a:t>
          </a:r>
          <a:endParaRPr lang="en-US" sz="800">
            <a:effectLst/>
          </a:endParaRPr>
        </a:p>
        <a:p>
          <a:endParaRPr lang="en-US" sz="800" baseline="0">
            <a:latin typeface="Arial" panose="020B0604020202020204" pitchFamily="34" charset="0"/>
            <a:cs typeface="Arial" panose="020B0604020202020204" pitchFamily="34" charset="0"/>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8</xdr:col>
      <xdr:colOff>851647</xdr:colOff>
      <xdr:row>165</xdr:row>
      <xdr:rowOff>170330</xdr:rowOff>
    </xdr:from>
    <xdr:to>
      <xdr:col>14</xdr:col>
      <xdr:colOff>484094</xdr:colOff>
      <xdr:row>173</xdr:row>
      <xdr:rowOff>71719</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9807388" y="26544495"/>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mc:AlternateContent xmlns:mc="http://schemas.openxmlformats.org/markup-compatibility/2006">
    <mc:Choice xmlns:a14="http://schemas.microsoft.com/office/drawing/2010/main" Requires="a14">
      <xdr:twoCellAnchor editAs="oneCell">
        <xdr:from>
          <xdr:col>8</xdr:col>
          <xdr:colOff>60960</xdr:colOff>
          <xdr:row>102</xdr:row>
          <xdr:rowOff>137160</xdr:rowOff>
        </xdr:from>
        <xdr:to>
          <xdr:col>13</xdr:col>
          <xdr:colOff>160020</xdr:colOff>
          <xdr:row>105</xdr:row>
          <xdr:rowOff>22860</xdr:rowOff>
        </xdr:to>
        <xdr:sp macro="" textlink="">
          <xdr:nvSpPr>
            <xdr:cNvPr id="2053" name="Object 5" hidden="1">
              <a:extLst>
                <a:ext uri="{63B3BB69-23CF-44E3-9099-C40C66FF867C}">
                  <a14:compatExt spid="_x0000_s2053"/>
                </a:ext>
                <a:ext uri="{FF2B5EF4-FFF2-40B4-BE49-F238E27FC236}">
                  <a16:creationId xmlns:a16="http://schemas.microsoft.com/office/drawing/2014/main" id="{00000000-0008-0000-0200-000005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8</xdr:col>
      <xdr:colOff>842683</xdr:colOff>
      <xdr:row>134</xdr:row>
      <xdr:rowOff>17930</xdr:rowOff>
    </xdr:from>
    <xdr:to>
      <xdr:col>14</xdr:col>
      <xdr:colOff>475130</xdr:colOff>
      <xdr:row>143</xdr:row>
      <xdr:rowOff>98613</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54</xdr:col>
      <xdr:colOff>528917</xdr:colOff>
      <xdr:row>67</xdr:row>
      <xdr:rowOff>89006</xdr:rowOff>
    </xdr:from>
    <xdr:to>
      <xdr:col>63</xdr:col>
      <xdr:colOff>79513</xdr:colOff>
      <xdr:row>86</xdr:row>
      <xdr:rowOff>92765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528917</xdr:colOff>
      <xdr:row>67</xdr:row>
      <xdr:rowOff>89006</xdr:rowOff>
    </xdr:from>
    <xdr:to>
      <xdr:col>45</xdr:col>
      <xdr:colOff>108857</xdr:colOff>
      <xdr:row>86</xdr:row>
      <xdr:rowOff>92765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435429</xdr:colOff>
      <xdr:row>25</xdr:row>
      <xdr:rowOff>59870</xdr:rowOff>
    </xdr:from>
    <xdr:to>
      <xdr:col>11</xdr:col>
      <xdr:colOff>0</xdr:colOff>
      <xdr:row>42</xdr:row>
      <xdr:rowOff>141514</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32</xdr:col>
      <xdr:colOff>186690</xdr:colOff>
      <xdr:row>39</xdr:row>
      <xdr:rowOff>167640</xdr:rowOff>
    </xdr:from>
    <xdr:to>
      <xdr:col>34</xdr:col>
      <xdr:colOff>515247</xdr:colOff>
      <xdr:row>45</xdr:row>
      <xdr:rowOff>69934</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34</xdr:col>
      <xdr:colOff>247650</xdr:colOff>
      <xdr:row>40</xdr:row>
      <xdr:rowOff>60960</xdr:rowOff>
    </xdr:from>
    <xdr:to>
      <xdr:col>38</xdr:col>
      <xdr:colOff>567928</xdr:colOff>
      <xdr:row>44</xdr:row>
      <xdr:rowOff>129612</xdr:rowOff>
    </xdr:to>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31</xdr:col>
      <xdr:colOff>30480</xdr:colOff>
      <xdr:row>49</xdr:row>
      <xdr:rowOff>64770</xdr:rowOff>
    </xdr:from>
    <xdr:to>
      <xdr:col>42</xdr:col>
      <xdr:colOff>144780</xdr:colOff>
      <xdr:row>73</xdr:row>
      <xdr:rowOff>38100</xdr:rowOff>
    </xdr:to>
    <xdr:graphicFrame macro="">
      <xdr:nvGraphicFramePr>
        <xdr:cNvPr id="9" name="Chart 8">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32</xdr:row>
      <xdr:rowOff>8964</xdr:rowOff>
    </xdr:from>
    <xdr:to>
      <xdr:col>11</xdr:col>
      <xdr:colOff>591031</xdr:colOff>
      <xdr:row>40</xdr:row>
      <xdr:rowOff>131269</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 points</a:t>
          </a:r>
          <a:r>
            <a:rPr lang="en-US" sz="1100" baseline="0"/>
            <a:t> later to show where the pole and zeros of the loops are at. Similar to the LM5175 QS</a:t>
          </a:r>
        </a:p>
        <a:p>
          <a:endParaRPr lang="en-US" sz="1100" baseline="0"/>
        </a:p>
        <a:p>
          <a:r>
            <a:rPr lang="en-US" sz="1100" baseline="0"/>
            <a:t>Should also update to the more accurate equation of the DC gain. See Mathcad and Sheehan paper.</a:t>
          </a:r>
          <a:endParaRPr lang="en-US" sz="1100"/>
        </a:p>
      </xdr:txBody>
    </xdr:sp>
    <xdr:clientData/>
  </xdr:twoCellAnchor>
  <xdr:twoCellAnchor>
    <xdr:from>
      <xdr:col>8</xdr:col>
      <xdr:colOff>0</xdr:colOff>
      <xdr:row>49</xdr:row>
      <xdr:rowOff>13855</xdr:rowOff>
    </xdr:from>
    <xdr:to>
      <xdr:col>12</xdr:col>
      <xdr:colOff>83127</xdr:colOff>
      <xdr:row>60</xdr:row>
      <xdr:rowOff>13855</xdr:rowOff>
    </xdr:to>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Next</a:t>
          </a:r>
          <a:r>
            <a:rPr lang="en-US" sz="1100" baseline="0"/>
            <a:t> Revision additions</a:t>
          </a:r>
        </a:p>
        <a:p>
          <a:r>
            <a:rPr lang="en-US" sz="1100" baseline="0"/>
            <a:t>- Add the effect of the EA output resistance and capacitance</a:t>
          </a: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436245</xdr:colOff>
      <xdr:row>10</xdr:row>
      <xdr:rowOff>131166</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358140</xdr:colOff>
      <xdr:row>16</xdr:row>
      <xdr:rowOff>76286</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7076</xdr:colOff>
      <xdr:row>20</xdr:row>
      <xdr:rowOff>108858</xdr:rowOff>
    </xdr:from>
    <xdr:to>
      <xdr:col>12</xdr:col>
      <xdr:colOff>554627</xdr:colOff>
      <xdr:row>28</xdr:row>
      <xdr:rowOff>154228</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844790" y="4000501"/>
          <a:ext cx="2395946" cy="15829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163286</xdr:colOff>
      <xdr:row>2</xdr:row>
      <xdr:rowOff>149679</xdr:rowOff>
    </xdr:from>
    <xdr:to>
      <xdr:col>3</xdr:col>
      <xdr:colOff>172443</xdr:colOff>
      <xdr:row>3</xdr:row>
      <xdr:rowOff>149679</xdr:rowOff>
    </xdr:to>
    <xdr:graphicFrame macro="">
      <xdr:nvGraphicFramePr>
        <xdr:cNvPr id="3" name="Chart 2">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xdr:row>
          <xdr:rowOff>0</xdr:rowOff>
        </xdr:from>
        <xdr:to>
          <xdr:col>3</xdr:col>
          <xdr:colOff>4953000</xdr:colOff>
          <xdr:row>7</xdr:row>
          <xdr:rowOff>2735580</xdr:rowOff>
        </xdr:to>
        <xdr:sp macro="" textlink="">
          <xdr:nvSpPr>
            <xdr:cNvPr id="11265" name="Object 1" hidden="1">
              <a:extLst>
                <a:ext uri="{63B3BB69-23CF-44E3-9099-C40C66FF867C}">
                  <a14:compatExt spid="_x0000_s11265"/>
                </a:ext>
                <a:ext uri="{FF2B5EF4-FFF2-40B4-BE49-F238E27FC236}">
                  <a16:creationId xmlns:a16="http://schemas.microsoft.com/office/drawing/2014/main" id="{00000000-0008-0000-0700-0000012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4953000</xdr:colOff>
          <xdr:row>7</xdr:row>
          <xdr:rowOff>2735580</xdr:rowOff>
        </xdr:to>
        <xdr:sp macro="" textlink="">
          <xdr:nvSpPr>
            <xdr:cNvPr id="11266" name="Object 2" hidden="1">
              <a:extLst>
                <a:ext uri="{63B3BB69-23CF-44E3-9099-C40C66FF867C}">
                  <a14:compatExt spid="_x0000_s11266"/>
                </a:ext>
                <a:ext uri="{FF2B5EF4-FFF2-40B4-BE49-F238E27FC236}">
                  <a16:creationId xmlns:a16="http://schemas.microsoft.com/office/drawing/2014/main" id="{00000000-0008-0000-0700-0000022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6</xdr:row>
          <xdr:rowOff>0</xdr:rowOff>
        </xdr:from>
        <xdr:to>
          <xdr:col>3</xdr:col>
          <xdr:colOff>4953000</xdr:colOff>
          <xdr:row>6</xdr:row>
          <xdr:rowOff>2735580</xdr:rowOff>
        </xdr:to>
        <xdr:sp macro="" textlink="">
          <xdr:nvSpPr>
            <xdr:cNvPr id="11267" name="Object 3" hidden="1">
              <a:extLst>
                <a:ext uri="{63B3BB69-23CF-44E3-9099-C40C66FF867C}">
                  <a14:compatExt spid="_x0000_s11267"/>
                </a:ext>
                <a:ext uri="{FF2B5EF4-FFF2-40B4-BE49-F238E27FC236}">
                  <a16:creationId xmlns:a16="http://schemas.microsoft.com/office/drawing/2014/main" id="{00000000-0008-0000-0700-0000032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6</xdr:row>
          <xdr:rowOff>0</xdr:rowOff>
        </xdr:from>
        <xdr:to>
          <xdr:col>4</xdr:col>
          <xdr:colOff>4953000</xdr:colOff>
          <xdr:row>6</xdr:row>
          <xdr:rowOff>2735580</xdr:rowOff>
        </xdr:to>
        <xdr:sp macro="" textlink="">
          <xdr:nvSpPr>
            <xdr:cNvPr id="11268" name="Object 4" hidden="1">
              <a:extLst>
                <a:ext uri="{63B3BB69-23CF-44E3-9099-C40C66FF867C}">
                  <a14:compatExt spid="_x0000_s11268"/>
                </a:ext>
                <a:ext uri="{FF2B5EF4-FFF2-40B4-BE49-F238E27FC236}">
                  <a16:creationId xmlns:a16="http://schemas.microsoft.com/office/drawing/2014/main" id="{00000000-0008-0000-0700-0000042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0196876/Desktop/BCS/Designs/Design_In12_24_Out%2080_120/new_LM5155_Excel_Quickstart_Calculator_for_Boost_Converter_Design_Vout%20120V.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0196876/Desktop/BCS/QuickStartTools/In%20Work/for_release/LM5157_58_Excel_Quickstart_Calculator_for_Flyback_Regulator_Design_V1_0_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0196876/Downloads/ADS1235%20Design%20Calcula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Converter"/>
      <sheetName val="Variable_Management"/>
      <sheetName val="Eff_vs_IOUT"/>
      <sheetName val="Loop_Modeling"/>
      <sheetName val="Constants"/>
      <sheetName val="Plot_Management_Eff"/>
      <sheetName val="Plot_Management_Sch"/>
      <sheetName val="Lists"/>
      <sheetName val="Licenses"/>
      <sheetName val="Sheet1"/>
    </sheetNames>
    <sheetDataSet>
      <sheetData sheetId="0" refreshError="1"/>
      <sheetData sheetId="1">
        <row r="7">
          <cell r="B7">
            <v>12</v>
          </cell>
        </row>
        <row r="8">
          <cell r="B8">
            <v>18</v>
          </cell>
        </row>
        <row r="9">
          <cell r="B9">
            <v>24</v>
          </cell>
        </row>
        <row r="10">
          <cell r="B10">
            <v>300000</v>
          </cell>
        </row>
        <row r="11">
          <cell r="B11">
            <v>72711.666666666672</v>
          </cell>
        </row>
        <row r="13">
          <cell r="B13">
            <v>120</v>
          </cell>
        </row>
        <row r="14">
          <cell r="B14">
            <v>5.0000000000000001E-3</v>
          </cell>
        </row>
        <row r="16">
          <cell r="B16">
            <v>0.6</v>
          </cell>
        </row>
        <row r="17">
          <cell r="B17">
            <v>0.9</v>
          </cell>
        </row>
        <row r="21">
          <cell r="B21">
            <v>0.93</v>
          </cell>
        </row>
        <row r="23">
          <cell r="B23">
            <v>0.32519225083018199</v>
          </cell>
        </row>
        <row r="25">
          <cell r="B25">
            <v>4.9999999999999996E-2</v>
          </cell>
        </row>
        <row r="27">
          <cell r="B27">
            <v>0.21068670790747307</v>
          </cell>
        </row>
        <row r="29">
          <cell r="B29">
            <v>3.3333333333333333E-2</v>
          </cell>
        </row>
        <row r="31">
          <cell r="B31">
            <v>0.1532970971675589</v>
          </cell>
        </row>
        <row r="33">
          <cell r="B33">
            <v>2.4999999999999998E-2</v>
          </cell>
        </row>
        <row r="71">
          <cell r="B71">
            <v>0.6</v>
          </cell>
        </row>
        <row r="79">
          <cell r="B79">
            <v>0.33</v>
          </cell>
        </row>
        <row r="80">
          <cell r="B80">
            <v>80.399999999999991</v>
          </cell>
        </row>
        <row r="81">
          <cell r="B81">
            <v>7.4626865671641798E-3</v>
          </cell>
        </row>
        <row r="82">
          <cell r="B82">
            <v>1.9751600000000001E-2</v>
          </cell>
        </row>
        <row r="84">
          <cell r="B84">
            <v>4.6999999999999997E-5</v>
          </cell>
        </row>
        <row r="85">
          <cell r="B85">
            <v>1.55</v>
          </cell>
        </row>
        <row r="89">
          <cell r="B89">
            <v>0.27675936240866555</v>
          </cell>
        </row>
        <row r="99">
          <cell r="B99">
            <v>0.27675936240866555</v>
          </cell>
        </row>
        <row r="103">
          <cell r="B103">
            <v>0.26896175477549755</v>
          </cell>
        </row>
        <row r="106">
          <cell r="B106">
            <v>0.26093122922137685</v>
          </cell>
        </row>
        <row r="115">
          <cell r="B115">
            <v>0.26093122922137685</v>
          </cell>
        </row>
        <row r="119">
          <cell r="B119">
            <v>0.2</v>
          </cell>
        </row>
        <row r="128">
          <cell r="B128">
            <v>4.694871486083093E-2</v>
          </cell>
        </row>
        <row r="129">
          <cell r="B129">
            <v>8652.0926329545982</v>
          </cell>
        </row>
        <row r="131">
          <cell r="B131">
            <v>0</v>
          </cell>
        </row>
        <row r="132">
          <cell r="B132">
            <v>0.30110393595387219</v>
          </cell>
        </row>
        <row r="138">
          <cell r="B138">
            <v>1.7403055555555557E-2</v>
          </cell>
        </row>
        <row r="142">
          <cell r="B142">
            <v>0.38333333333333336</v>
          </cell>
        </row>
        <row r="149">
          <cell r="B149">
            <v>0.1</v>
          </cell>
        </row>
        <row r="158">
          <cell r="B158">
            <v>4.7999999999999986E-8</v>
          </cell>
        </row>
        <row r="159">
          <cell r="B159">
            <v>0.02</v>
          </cell>
        </row>
        <row r="160">
          <cell r="B160">
            <v>2.2222222222222222E-7</v>
          </cell>
        </row>
        <row r="165">
          <cell r="B165">
            <v>1.5</v>
          </cell>
        </row>
        <row r="167">
          <cell r="B167">
            <v>4.9999999999999996E-6</v>
          </cell>
        </row>
        <row r="170">
          <cell r="B170">
            <v>7325.5813953488378</v>
          </cell>
        </row>
        <row r="181">
          <cell r="B181">
            <v>8450</v>
          </cell>
        </row>
        <row r="182">
          <cell r="B182">
            <v>1.1899449650453667E-4</v>
          </cell>
        </row>
        <row r="188">
          <cell r="B188">
            <v>416.66666666666669</v>
          </cell>
        </row>
        <row r="189">
          <cell r="B189">
            <v>66.314559621623062</v>
          </cell>
        </row>
        <row r="193">
          <cell r="B193"/>
        </row>
        <row r="197">
          <cell r="B197">
            <v>1</v>
          </cell>
        </row>
        <row r="199">
          <cell r="B199">
            <v>11997</v>
          </cell>
        </row>
        <row r="203">
          <cell r="B203">
            <v>-0.82820462024898889</v>
          </cell>
        </row>
        <row r="208">
          <cell r="B208"/>
        </row>
        <row r="214">
          <cell r="B214">
            <v>0.77945265872208247</v>
          </cell>
        </row>
        <row r="220">
          <cell r="B220">
            <v>812706.09238414664</v>
          </cell>
        </row>
        <row r="225">
          <cell r="B225">
            <v>47000</v>
          </cell>
        </row>
        <row r="226">
          <cell r="B226">
            <v>2.4260382890191822E-9</v>
          </cell>
        </row>
      </sheetData>
      <sheetData sheetId="2" refreshError="1"/>
      <sheetData sheetId="3">
        <row r="7">
          <cell r="AD7">
            <v>2.1642051445926369</v>
          </cell>
        </row>
        <row r="34">
          <cell r="B34">
            <v>1237.4083646361207</v>
          </cell>
        </row>
        <row r="35">
          <cell r="B35">
            <v>453.43137254901967</v>
          </cell>
        </row>
        <row r="38">
          <cell r="B38">
            <v>11489361.70212766</v>
          </cell>
        </row>
        <row r="41">
          <cell r="B41">
            <v>2500000000</v>
          </cell>
        </row>
        <row r="47">
          <cell r="B47">
            <v>1884955.5921538759</v>
          </cell>
        </row>
        <row r="48">
          <cell r="B48">
            <v>-0.95206228496462963</v>
          </cell>
        </row>
        <row r="60">
          <cell r="B60">
            <v>-1.675839159105558E-5</v>
          </cell>
        </row>
        <row r="61">
          <cell r="B61">
            <v>8865.2482269503544</v>
          </cell>
        </row>
        <row r="62">
          <cell r="B62">
            <v>2.404E-9</v>
          </cell>
        </row>
        <row r="63">
          <cell r="B63">
            <v>5328014.1843971629</v>
          </cell>
        </row>
      </sheetData>
      <sheetData sheetId="4">
        <row r="17">
          <cell r="B17">
            <v>0.93</v>
          </cell>
        </row>
        <row r="25">
          <cell r="B25">
            <v>2.9999999999999997E-5</v>
          </cell>
        </row>
        <row r="26">
          <cell r="B26">
            <v>1333</v>
          </cell>
        </row>
        <row r="27">
          <cell r="B27">
            <v>0.1</v>
          </cell>
        </row>
        <row r="28">
          <cell r="B28">
            <v>2000</v>
          </cell>
        </row>
        <row r="29">
          <cell r="B29">
            <v>0.14499999999999999</v>
          </cell>
        </row>
        <row r="30">
          <cell r="B30">
            <v>1</v>
          </cell>
        </row>
        <row r="33">
          <cell r="B33">
            <v>1</v>
          </cell>
        </row>
        <row r="34">
          <cell r="B34">
            <v>2E-3</v>
          </cell>
        </row>
        <row r="37">
          <cell r="B37">
            <v>9.9999999999999991E-6</v>
          </cell>
        </row>
        <row r="40">
          <cell r="B40">
            <v>1.5</v>
          </cell>
        </row>
        <row r="41">
          <cell r="B41">
            <v>1.45</v>
          </cell>
        </row>
        <row r="42">
          <cell r="B42">
            <v>4.9999999999999996E-6</v>
          </cell>
        </row>
        <row r="45">
          <cell r="B45">
            <v>6.75</v>
          </cell>
        </row>
        <row r="48">
          <cell r="B48">
            <v>4.4999999999999999E-4</v>
          </cell>
        </row>
        <row r="51">
          <cell r="B51">
            <v>1.5</v>
          </cell>
        </row>
        <row r="52">
          <cell r="B52">
            <v>45</v>
          </cell>
        </row>
      </sheetData>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ign Converter"/>
      <sheetName val="Variable_Management"/>
      <sheetName val="Constants"/>
      <sheetName val="CCM_Loop_Modeling_Isolated"/>
      <sheetName val="CCM_Loop_Modeling_non_isolated"/>
      <sheetName val="Eff_vs_IOUT"/>
      <sheetName val="Plot_Management_Eff"/>
      <sheetName val="Lists"/>
      <sheetName val="Plot Management_Sch"/>
      <sheetName val="Licenses"/>
    </sheetNames>
    <sheetDataSet>
      <sheetData sheetId="0">
        <row r="26">
          <cell r="H26">
            <v>3.1029081632653064</v>
          </cell>
        </row>
      </sheetData>
      <sheetData sheetId="1">
        <row r="14">
          <cell r="B14">
            <v>4</v>
          </cell>
        </row>
      </sheetData>
      <sheetData sheetId="2">
        <row r="8">
          <cell r="B8">
            <v>0</v>
          </cell>
        </row>
      </sheetData>
      <sheetData sheetId="3">
        <row r="9">
          <cell r="AW9">
            <v>-42.621119106284873</v>
          </cell>
        </row>
        <row r="10">
          <cell r="AW10">
            <v>-122.57363868071641</v>
          </cell>
        </row>
        <row r="11">
          <cell r="AW11">
            <v>51.803953670358958</v>
          </cell>
        </row>
        <row r="12">
          <cell r="AW12">
            <v>4.8557416519474295</v>
          </cell>
        </row>
        <row r="19">
          <cell r="AW19">
            <v>66.048740134621951</v>
          </cell>
          <cell r="AX19">
            <v>88.918018100920023</v>
          </cell>
        </row>
        <row r="20">
          <cell r="AW20">
            <v>65.848763524770234</v>
          </cell>
          <cell r="AX20">
            <v>88.892645929841294</v>
          </cell>
        </row>
        <row r="21">
          <cell r="AW21">
            <v>65.648787509077607</v>
          </cell>
          <cell r="AX21">
            <v>88.866671327247204</v>
          </cell>
        </row>
        <row r="22">
          <cell r="AW22">
            <v>65.44881206955786</v>
          </cell>
          <cell r="AX22">
            <v>88.840079522698247</v>
          </cell>
        </row>
        <row r="23">
          <cell r="AW23">
            <v>65.248837183365083</v>
          </cell>
          <cell r="AX23">
            <v>88.812855357990514</v>
          </cell>
        </row>
        <row r="24">
          <cell r="AW24">
            <v>65.048862822235037</v>
          </cell>
          <cell r="AX24">
            <v>88.784983275988239</v>
          </cell>
        </row>
        <row r="25">
          <cell r="AW25">
            <v>64.848888951877385</v>
          </cell>
          <cell r="AX25">
            <v>88.756447309146907</v>
          </cell>
        </row>
        <row r="26">
          <cell r="AW26">
            <v>64.648915531312639</v>
          </cell>
          <cell r="AX26">
            <v>88.727231067726038</v>
          </cell>
        </row>
        <row r="27">
          <cell r="AW27">
            <v>64.448942512151291</v>
          </cell>
          <cell r="AX27">
            <v>88.697317727689352</v>
          </cell>
        </row>
        <row r="28">
          <cell r="AW28">
            <v>64.248969837811586</v>
          </cell>
          <cell r="AX28">
            <v>88.666690018296933</v>
          </cell>
        </row>
        <row r="29">
          <cell r="AW29">
            <v>64.048997442669673</v>
          </cell>
          <cell r="AX29">
            <v>88.635330209390204</v>
          </cell>
        </row>
        <row r="30">
          <cell r="AW30">
            <v>63.849025251139636</v>
          </cell>
          <cell r="AX30">
            <v>88.603220098374607</v>
          </cell>
        </row>
        <row r="31">
          <cell r="AW31">
            <v>63.649053176677491</v>
          </cell>
          <cell r="AX31">
            <v>88.570340996907262</v>
          </cell>
        </row>
        <row r="32">
          <cell r="AW32">
            <v>63.449081120704633</v>
          </cell>
          <cell r="AX32">
            <v>88.536673717297248</v>
          </cell>
        </row>
        <row r="33">
          <cell r="AW33">
            <v>63.24910897144629</v>
          </cell>
          <cell r="AX33">
            <v>88.50219855862926</v>
          </cell>
        </row>
        <row r="34">
          <cell r="AW34">
            <v>63.049136602678757</v>
          </cell>
          <cell r="AX34">
            <v>88.466895292624386</v>
          </cell>
        </row>
        <row r="35">
          <cell r="AW35">
            <v>62.849163872381254</v>
          </cell>
          <cell r="AX35">
            <v>88.430743149252081</v>
          </cell>
        </row>
        <row r="36">
          <cell r="AW36">
            <v>62.649190621285825</v>
          </cell>
          <cell r="AX36">
            <v>88.393720802114089</v>
          </cell>
        </row>
        <row r="37">
          <cell r="AW37">
            <v>62.449216671321672</v>
          </cell>
          <cell r="AX37">
            <v>88.355806353618789</v>
          </cell>
        </row>
        <row r="38">
          <cell r="AW38">
            <v>62.249241823946413</v>
          </cell>
          <cell r="AX38">
            <v>88.316977319974114</v>
          </cell>
        </row>
        <row r="39">
          <cell r="AW39">
            <v>62.049265858360116</v>
          </cell>
          <cell r="AX39">
            <v>88.27721061602378</v>
          </cell>
        </row>
        <row r="40">
          <cell r="AW40">
            <v>61.849288529596024</v>
          </cell>
          <cell r="AX40">
            <v>88.236482539960392</v>
          </cell>
        </row>
        <row r="41">
          <cell r="AW41">
            <v>61.649309566484369</v>
          </cell>
          <cell r="AX41">
            <v>88.194768757948523</v>
          </cell>
        </row>
        <row r="42">
          <cell r="AW42">
            <v>61.449328669479911</v>
          </cell>
          <cell r="AX42">
            <v>88.152044288701461</v>
          </cell>
        </row>
        <row r="43">
          <cell r="AW43">
            <v>61.249345508354239</v>
          </cell>
          <cell r="AX43">
            <v>88.108283488046922</v>
          </cell>
        </row>
        <row r="44">
          <cell r="AW44">
            <v>61.049359719742441</v>
          </cell>
          <cell r="AX44">
            <v>88.063460033536458</v>
          </cell>
        </row>
        <row r="45">
          <cell r="AW45">
            <v>60.849370904544024</v>
          </cell>
          <cell r="AX45">
            <v>88.017546909143377</v>
          </cell>
        </row>
        <row r="46">
          <cell r="AW46">
            <v>60.649378625170513</v>
          </cell>
          <cell r="AX46">
            <v>87.97051639010931</v>
          </cell>
        </row>
        <row r="47">
          <cell r="AW47">
            <v>60.449382402640175</v>
          </cell>
          <cell r="AX47">
            <v>87.922340027992945</v>
          </cell>
        </row>
        <row r="48">
          <cell r="AW48">
            <v>60.249381713513628</v>
          </cell>
          <cell r="AX48">
            <v>87.87298863598636</v>
          </cell>
        </row>
        <row r="49">
          <cell r="AW49">
            <v>60.049375986669432</v>
          </cell>
          <cell r="AX49">
            <v>87.82243227456712</v>
          </cell>
        </row>
        <row r="50">
          <cell r="AW50">
            <v>59.849364599918673</v>
          </cell>
          <cell r="AX50">
            <v>87.770640237548648</v>
          </cell>
        </row>
        <row r="51">
          <cell r="AW51">
            <v>59.649346876457237</v>
          </cell>
          <cell r="AX51">
            <v>87.71758103861039</v>
          </cell>
        </row>
        <row r="52">
          <cell r="AW52">
            <v>59.449322081155245</v>
          </cell>
          <cell r="AX52">
            <v>87.663222398372028</v>
          </cell>
        </row>
        <row r="53">
          <cell r="AW53">
            <v>59.249289416687063</v>
          </cell>
          <cell r="AX53">
            <v>87.607531232099674</v>
          </cell>
        </row>
        <row r="54">
          <cell r="AW54">
            <v>59.049248019501391</v>
          </cell>
          <cell r="AX54">
            <v>87.550473638109935</v>
          </cell>
        </row>
        <row r="55">
          <cell r="AW55">
            <v>58.849196955637339</v>
          </cell>
          <cell r="AX55">
            <v>87.492014886961059</v>
          </cell>
        </row>
        <row r="56">
          <cell r="AW56">
            <v>58.649135216389105</v>
          </cell>
          <cell r="AX56">
            <v>87.432119411501063</v>
          </cell>
        </row>
        <row r="57">
          <cell r="AW57">
            <v>58.44906171382646</v>
          </cell>
          <cell r="AX57">
            <v>87.370750797852693</v>
          </cell>
        </row>
        <row r="58">
          <cell r="AW58">
            <v>58.248975276177134</v>
          </cell>
          <cell r="AX58">
            <v>87.307871777411606</v>
          </cell>
        </row>
        <row r="59">
          <cell r="AW59">
            <v>58.04887464308009</v>
          </cell>
          <cell r="AX59">
            <v>87.243444219924655</v>
          </cell>
        </row>
        <row r="60">
          <cell r="AW60">
            <v>57.848758460718543</v>
          </cell>
          <cell r="AX60">
            <v>87.177429127716806</v>
          </cell>
        </row>
        <row r="61">
          <cell r="AW61">
            <v>57.648625276844506</v>
          </cell>
          <cell r="AX61">
            <v>87.109786631128074</v>
          </cell>
        </row>
        <row r="62">
          <cell r="AW62">
            <v>57.448473535705645</v>
          </cell>
          <cell r="AX62">
            <v>87.04047598521251</v>
          </cell>
        </row>
        <row r="63">
          <cell r="AW63">
            <v>57.248301572888309</v>
          </cell>
          <cell r="AX63">
            <v>86.969455567744276</v>
          </cell>
        </row>
        <row r="64">
          <cell r="AW64">
            <v>57.048107610090106</v>
          </cell>
          <cell r="AX64">
            <v>86.896682878568541</v>
          </cell>
        </row>
        <row r="65">
          <cell r="AW65">
            <v>56.847889749836995</v>
          </cell>
          <cell r="AX65">
            <v>86.822114540319717</v>
          </cell>
        </row>
        <row r="66">
          <cell r="AW66">
            <v>56.64764597016049</v>
          </cell>
          <cell r="AX66">
            <v>86.745706300519871</v>
          </cell>
        </row>
        <row r="67">
          <cell r="AW67">
            <v>56.447374119249289</v>
          </cell>
          <cell r="AX67">
            <v>86.667413035061429</v>
          </cell>
        </row>
        <row r="68">
          <cell r="AW68">
            <v>56.24707191009368</v>
          </cell>
          <cell r="AX68">
            <v>86.587188753052246</v>
          </cell>
        </row>
        <row r="69">
          <cell r="AW69">
            <v>56.046736915135128</v>
          </cell>
          <cell r="AX69">
            <v>86.504986603003729</v>
          </cell>
        </row>
        <row r="70">
          <cell r="B70">
            <v>327.43942370661426</v>
          </cell>
          <cell r="AW70">
            <v>55.846366560939167</v>
          </cell>
          <cell r="AX70">
            <v>86.420758880311865</v>
          </cell>
        </row>
        <row r="71">
          <cell r="AW71">
            <v>55.645958122903863</v>
          </cell>
          <cell r="AX71">
            <v>86.334457035976484</v>
          </cell>
        </row>
        <row r="72">
          <cell r="AW72">
            <v>55.445508720018388</v>
          </cell>
          <cell r="AX72">
            <v>86.246031686482695</v>
          </cell>
        </row>
        <row r="73">
          <cell r="AW73">
            <v>55.245015309682273</v>
          </cell>
          <cell r="AX73">
            <v>86.155432624759484</v>
          </cell>
        </row>
        <row r="74">
          <cell r="AW74">
            <v>55.044474682596316</v>
          </cell>
          <cell r="AX74">
            <v>86.062608832110442</v>
          </cell>
        </row>
        <row r="75">
          <cell r="AW75">
            <v>54.843883457731756</v>
          </cell>
          <cell r="AX75">
            <v>85.967508491005063</v>
          </cell>
        </row>
        <row r="76">
          <cell r="AW76">
            <v>54.64323807738333</v>
          </cell>
          <cell r="AX76">
            <v>85.870078998603489</v>
          </cell>
        </row>
        <row r="77">
          <cell r="AW77">
            <v>54.442534802306987</v>
          </cell>
          <cell r="AX77">
            <v>85.770266980881388</v>
          </cell>
        </row>
        <row r="78">
          <cell r="AW78">
            <v>54.241769706943536</v>
          </cell>
          <cell r="AX78">
            <v>85.668018307213387</v>
          </cell>
        </row>
        <row r="79">
          <cell r="AW79">
            <v>54.040938674720145</v>
          </cell>
          <cell r="AX79">
            <v>85.563278105270285</v>
          </cell>
        </row>
        <row r="80">
          <cell r="AW80">
            <v>53.840037393424581</v>
          </cell>
          <cell r="AX80">
            <v>85.455990776083851</v>
          </cell>
        </row>
        <row r="81">
          <cell r="AW81">
            <v>53.639061350636979</v>
          </cell>
          <cell r="AX81">
            <v>85.346100009135782</v>
          </cell>
        </row>
        <row r="82">
          <cell r="AW82">
            <v>53.438005829205281</v>
          </cell>
          <cell r="AX82">
            <v>85.233548797332588</v>
          </cell>
        </row>
        <row r="83">
          <cell r="AW83">
            <v>53.236865902742309</v>
          </cell>
          <cell r="AX83">
            <v>85.118279451738999</v>
          </cell>
        </row>
        <row r="84">
          <cell r="AW84">
            <v>53.035636431121645</v>
          </cell>
          <cell r="AX84">
            <v>85.000233615952837</v>
          </cell>
        </row>
        <row r="85">
          <cell r="AW85">
            <v>52.834312055943883</v>
          </cell>
          <cell r="AX85">
            <v>84.879352280027035</v>
          </cell>
        </row>
        <row r="86">
          <cell r="AW86">
            <v>52.632887195941379</v>
          </cell>
          <cell r="AX86">
            <v>84.755575793857332</v>
          </cell>
        </row>
        <row r="87">
          <cell r="AW87">
            <v>52.4313560422884</v>
          </cell>
          <cell r="AX87">
            <v>84.628843879988011</v>
          </cell>
        </row>
        <row r="88">
          <cell r="AW88">
            <v>52.229712553777574</v>
          </cell>
          <cell r="AX88">
            <v>84.49909564580642</v>
          </cell>
        </row>
        <row r="89">
          <cell r="AW89">
            <v>52.027950451824204</v>
          </cell>
          <cell r="AX89">
            <v>84.366269595135776</v>
          </cell>
        </row>
        <row r="90">
          <cell r="AW90">
            <v>51.826063215255864</v>
          </cell>
          <cell r="AX90">
            <v>84.230303639264221</v>
          </cell>
        </row>
        <row r="91">
          <cell r="AW91">
            <v>51.624044074845379</v>
          </cell>
          <cell r="AX91">
            <v>84.091135107486991</v>
          </cell>
        </row>
        <row r="92">
          <cell r="AW92">
            <v>51.421886007542838</v>
          </cell>
          <cell r="AX92">
            <v>83.948700757271325</v>
          </cell>
        </row>
        <row r="93">
          <cell r="AW93">
            <v>51.219581730364467</v>
          </cell>
          <cell r="AX93">
            <v>83.802936784198863</v>
          </cell>
        </row>
        <row r="94">
          <cell r="AW94">
            <v>51.017123693894355</v>
          </cell>
          <cell r="AX94">
            <v>83.653778831875613</v>
          </cell>
        </row>
        <row r="95">
          <cell r="AW95">
            <v>50.814504075358869</v>
          </cell>
          <cell r="AX95">
            <v>83.501162002031975</v>
          </cell>
        </row>
        <row r="96">
          <cell r="AW96">
            <v>50.611714771234347</v>
          </cell>
          <cell r="AX96">
            <v>83.345020865095734</v>
          </cell>
        </row>
        <row r="97">
          <cell r="AW97">
            <v>50.408747389351802</v>
          </cell>
          <cell r="AX97">
            <v>83.185289471523717</v>
          </cell>
        </row>
        <row r="98">
          <cell r="AW98">
            <v>50.205593240466072</v>
          </cell>
          <cell r="AX98">
            <v>83.021901364250908</v>
          </cell>
        </row>
        <row r="99">
          <cell r="AW99">
            <v>50.002243329260246</v>
          </cell>
          <cell r="AX99">
            <v>82.854789592621472</v>
          </cell>
        </row>
        <row r="100">
          <cell r="AW100">
            <v>49.798688344761345</v>
          </cell>
          <cell r="AX100">
            <v>82.683886728206588</v>
          </cell>
        </row>
        <row r="101">
          <cell r="AW101">
            <v>49.594918650147676</v>
          </cell>
          <cell r="AX101">
            <v>82.50912488294972</v>
          </cell>
        </row>
        <row r="102">
          <cell r="AW102">
            <v>49.390924271935802</v>
          </cell>
          <cell r="AX102">
            <v>82.330435730094464</v>
          </cell>
        </row>
        <row r="103">
          <cell r="AW103">
            <v>49.186694888536536</v>
          </cell>
          <cell r="AX103">
            <v>82.147750528370125</v>
          </cell>
        </row>
        <row r="104">
          <cell r="AW104">
            <v>48.98221981818142</v>
          </cell>
          <cell r="AX104">
            <v>81.961000149944368</v>
          </cell>
        </row>
        <row r="105">
          <cell r="AW105">
            <v>48.777488006221745</v>
          </cell>
          <cell r="AX105">
            <v>81.770115112644532</v>
          </cell>
        </row>
        <row r="106">
          <cell r="AW106">
            <v>48.572488011813284</v>
          </cell>
          <cell r="AX106">
            <v>81.575025616979033</v>
          </cell>
        </row>
        <row r="107">
          <cell r="AW107">
            <v>48.367207994004076</v>
          </cell>
          <cell r="AX107">
            <v>81.37566158848999</v>
          </cell>
        </row>
        <row r="108">
          <cell r="AW108">
            <v>48.161635697249636</v>
          </cell>
          <cell r="AX108">
            <v>81.171952725967259</v>
          </cell>
        </row>
        <row r="109">
          <cell r="AW109">
            <v>47.955758436387811</v>
          </cell>
          <cell r="AX109">
            <v>80.96382855606555</v>
          </cell>
        </row>
        <row r="110">
          <cell r="AW110">
            <v>47.749563081111248</v>
          </cell>
          <cell r="AX110">
            <v>80.751218494860552</v>
          </cell>
        </row>
        <row r="111">
          <cell r="AW111">
            <v>47.543036039982638</v>
          </cell>
          <cell r="AX111">
            <v>80.534051916866645</v>
          </cell>
        </row>
        <row r="112">
          <cell r="AW112">
            <v>47.336163244045053</v>
          </cell>
          <cell r="AX112">
            <v>80.312258232048833</v>
          </cell>
        </row>
        <row r="113">
          <cell r="AW113">
            <v>47.128930130084541</v>
          </cell>
          <cell r="AX113">
            <v>80.085766971328553</v>
          </cell>
        </row>
        <row r="114">
          <cell r="AW114">
            <v>46.921321623611469</v>
          </cell>
          <cell r="AX114">
            <v>79.854507881095245</v>
          </cell>
        </row>
        <row r="115">
          <cell r="AW115">
            <v>46.713322121632729</v>
          </cell>
          <cell r="AX115">
            <v>79.618411027201034</v>
          </cell>
        </row>
        <row r="116">
          <cell r="AW116">
            <v>46.504915475290289</v>
          </cell>
          <cell r="AX116">
            <v>79.377406908908853</v>
          </cell>
        </row>
        <row r="117">
          <cell r="AW117">
            <v>46.296084972455141</v>
          </cell>
          <cell r="AX117">
            <v>79.13142658324621</v>
          </cell>
        </row>
        <row r="118">
          <cell r="AW118">
            <v>46.086813320364101</v>
          </cell>
          <cell r="AX118">
            <v>78.880401800189702</v>
          </cell>
        </row>
        <row r="119">
          <cell r="AW119">
            <v>45.87708262840016</v>
          </cell>
          <cell r="AX119">
            <v>78.624265149088544</v>
          </cell>
        </row>
        <row r="120">
          <cell r="AW120">
            <v>45.666874391120167</v>
          </cell>
          <cell r="AX120">
            <v>78.362950216707517</v>
          </cell>
        </row>
        <row r="121">
          <cell r="AW121">
            <v>45.456169471640663</v>
          </cell>
          <cell r="AX121">
            <v>78.096391757239132</v>
          </cell>
        </row>
        <row r="122">
          <cell r="AW122">
            <v>45.244948085500937</v>
          </cell>
          <cell r="AX122">
            <v>77.82452587461087</v>
          </cell>
        </row>
        <row r="123">
          <cell r="AW123">
            <v>45.033189785128734</v>
          </cell>
          <cell r="AX123">
            <v>77.547290217373956</v>
          </cell>
        </row>
        <row r="124">
          <cell r="AW124">
            <v>44.820873445038657</v>
          </cell>
          <cell r="AX124">
            <v>77.264624186420747</v>
          </cell>
        </row>
        <row r="125">
          <cell r="AW125">
            <v>44.607977247905104</v>
          </cell>
          <cell r="AX125">
            <v>76.976469155748688</v>
          </cell>
        </row>
        <row r="126">
          <cell r="AW126">
            <v>44.394478671654305</v>
          </cell>
          <cell r="AX126">
            <v>76.682768706430252</v>
          </cell>
        </row>
        <row r="127">
          <cell r="AW127">
            <v>44.180354477729139</v>
          </cell>
          <cell r="AX127">
            <v>76.38346887390253</v>
          </cell>
        </row>
        <row r="128">
          <cell r="AW128">
            <v>43.965580700687482</v>
          </cell>
          <cell r="AX128">
            <v>76.078518408642452</v>
          </cell>
        </row>
        <row r="129">
          <cell r="AW129">
            <v>43.750132639302429</v>
          </cell>
          <cell r="AX129">
            <v>75.767869050221734</v>
          </cell>
        </row>
        <row r="130">
          <cell r="AW130">
            <v>43.5339848493376</v>
          </cell>
          <cell r="AX130">
            <v>75.451475814675035</v>
          </cell>
        </row>
        <row r="131">
          <cell r="AW131">
            <v>43.317111138179847</v>
          </cell>
          <cell r="AX131">
            <v>75.129297295041695</v>
          </cell>
        </row>
        <row r="132">
          <cell r="AW132">
            <v>43.099484561517293</v>
          </cell>
          <cell r="AX132">
            <v>74.801295974857538</v>
          </cell>
        </row>
        <row r="133">
          <cell r="AW133">
            <v>42.881077422255593</v>
          </cell>
          <cell r="AX133">
            <v>74.467438554287696</v>
          </cell>
        </row>
        <row r="134">
          <cell r="AW134">
            <v>42.661861271872226</v>
          </cell>
          <cell r="AX134">
            <v>74.127696288496168</v>
          </cell>
        </row>
        <row r="135">
          <cell r="AW135">
            <v>42.441806914412219</v>
          </cell>
          <cell r="AX135">
            <v>73.782045337740485</v>
          </cell>
        </row>
        <row r="136">
          <cell r="AW136">
            <v>42.220884413332833</v>
          </cell>
          <cell r="AX136">
            <v>73.43046712857425</v>
          </cell>
        </row>
        <row r="137">
          <cell r="AW137">
            <v>41.999063101407934</v>
          </cell>
          <cell r="AX137">
            <v>73.072948725413056</v>
          </cell>
        </row>
        <row r="138">
          <cell r="AW138">
            <v>41.776311593902804</v>
          </cell>
          <cell r="AX138">
            <v>72.709483211599434</v>
          </cell>
        </row>
        <row r="139">
          <cell r="AW139">
            <v>41.552597805232978</v>
          </cell>
          <cell r="AX139">
            <v>72.340070078958135</v>
          </cell>
        </row>
        <row r="140">
          <cell r="AW140">
            <v>41.327888969314508</v>
          </cell>
          <cell r="AX140">
            <v>71.964715624696169</v>
          </cell>
        </row>
        <row r="141">
          <cell r="AW141">
            <v>41.10215166381451</v>
          </cell>
          <cell r="AX141">
            <v>71.583433354353048</v>
          </cell>
        </row>
        <row r="142">
          <cell r="AW142">
            <v>40.875351838503001</v>
          </cell>
          <cell r="AX142">
            <v>71.196244389342851</v>
          </cell>
        </row>
        <row r="143">
          <cell r="AW143">
            <v>40.647454847896746</v>
          </cell>
          <cell r="AX143">
            <v>70.8031778774766</v>
          </cell>
        </row>
        <row r="144">
          <cell r="AW144">
            <v>40.418425488380542</v>
          </cell>
          <cell r="AX144">
            <v>70.404271404692636</v>
          </cell>
        </row>
        <row r="145">
          <cell r="AW145">
            <v>40.188228039973225</v>
          </cell>
          <cell r="AX145">
            <v>69.999571406039991</v>
          </cell>
        </row>
        <row r="146">
          <cell r="AW146">
            <v>39.956826312893384</v>
          </cell>
          <cell r="AX146">
            <v>69.58913357381536</v>
          </cell>
        </row>
        <row r="147">
          <cell r="AW147">
            <v>39.724183699058564</v>
          </cell>
          <cell r="AX147">
            <v>69.173023260568257</v>
          </cell>
        </row>
        <row r="148">
          <cell r="AW148">
            <v>39.490263228627619</v>
          </cell>
          <cell r="AX148">
            <v>68.751315874546677</v>
          </cell>
        </row>
        <row r="149">
          <cell r="AW149">
            <v>39.255027631676555</v>
          </cell>
          <cell r="AX149">
            <v>68.324097264985042</v>
          </cell>
        </row>
        <row r="150">
          <cell r="AW150">
            <v>39.018439405060882</v>
          </cell>
          <cell r="AX150">
            <v>67.891464094504343</v>
          </cell>
        </row>
        <row r="151">
          <cell r="AW151">
            <v>38.780460884491973</v>
          </cell>
          <cell r="AX151">
            <v>67.453524195748798</v>
          </cell>
        </row>
        <row r="152">
          <cell r="AW152">
            <v>38.541054321813519</v>
          </cell>
          <cell r="AX152">
            <v>67.010396909279137</v>
          </cell>
        </row>
        <row r="153">
          <cell r="AW153">
            <v>38.300181967430682</v>
          </cell>
          <cell r="AX153">
            <v>66.562213399629897</v>
          </cell>
        </row>
        <row r="154">
          <cell r="AW154">
            <v>38.057806157797025</v>
          </cell>
          <cell r="AX154">
            <v>66.109116946369753</v>
          </cell>
        </row>
        <row r="155">
          <cell r="AW155">
            <v>37.813889407822089</v>
          </cell>
          <cell r="AX155">
            <v>65.651263206948926</v>
          </cell>
        </row>
        <row r="156">
          <cell r="AW156">
            <v>37.568394508016532</v>
          </cell>
          <cell r="AX156">
            <v>65.188820448089913</v>
          </cell>
        </row>
        <row r="157">
          <cell r="AW157">
            <v>37.321284626137071</v>
          </cell>
          <cell r="AX157">
            <v>64.721969742491382</v>
          </cell>
        </row>
        <row r="158">
          <cell r="AW158">
            <v>37.072523413047364</v>
          </cell>
          <cell r="AX158">
            <v>64.250905127652715</v>
          </cell>
        </row>
        <row r="159">
          <cell r="AW159">
            <v>36.822075112455565</v>
          </cell>
          <cell r="AX159">
            <v>63.775833723703641</v>
          </cell>
        </row>
        <row r="160">
          <cell r="AW160">
            <v>36.569904674136396</v>
          </cell>
          <cell r="AX160">
            <v>63.296975807251833</v>
          </cell>
        </row>
        <row r="161">
          <cell r="AW161">
            <v>36.31597787019578</v>
          </cell>
          <cell r="AX161">
            <v>62.81456483840573</v>
          </cell>
        </row>
        <row r="162">
          <cell r="AW162">
            <v>36.060261413880738</v>
          </cell>
          <cell r="AX162">
            <v>62.328847438344148</v>
          </cell>
        </row>
        <row r="163">
          <cell r="AW163">
            <v>35.802723080389086</v>
          </cell>
          <cell r="AX163">
            <v>61.840083315046641</v>
          </cell>
        </row>
        <row r="164">
          <cell r="AW164">
            <v>35.543331829088579</v>
          </cell>
          <cell r="AX164">
            <v>61.348545135079362</v>
          </cell>
        </row>
        <row r="165">
          <cell r="AW165">
            <v>35.282057926507925</v>
          </cell>
          <cell r="AX165">
            <v>60.854518339669418</v>
          </cell>
        </row>
        <row r="166">
          <cell r="AW166">
            <v>35.01887306942627</v>
          </cell>
          <cell r="AX166">
            <v>60.358300903666311</v>
          </cell>
        </row>
        <row r="167">
          <cell r="AW167">
            <v>34.753750507352748</v>
          </cell>
          <cell r="AX167">
            <v>59.860203036395575</v>
          </cell>
        </row>
        <row r="168">
          <cell r="AW168">
            <v>34.486665163661542</v>
          </cell>
          <cell r="AX168">
            <v>59.360546823849745</v>
          </cell>
        </row>
        <row r="169">
          <cell r="AW169">
            <v>34.21759375462657</v>
          </cell>
          <cell r="AX169">
            <v>58.859665812135326</v>
          </cell>
        </row>
        <row r="170">
          <cell r="AW170">
            <v>33.946514905589403</v>
          </cell>
          <cell r="AX170">
            <v>58.357904532581799</v>
          </cell>
        </row>
        <row r="171">
          <cell r="AW171">
            <v>33.673409263488409</v>
          </cell>
          <cell r="AX171">
            <v>57.855617969434093</v>
          </cell>
        </row>
        <row r="172">
          <cell r="AW172">
            <v>33.398259604982648</v>
          </cell>
          <cell r="AX172">
            <v>57.353170971568694</v>
          </cell>
        </row>
        <row r="173">
          <cell r="AW173">
            <v>33.121050939419462</v>
          </cell>
          <cell r="AX173">
            <v>56.850937610201228</v>
          </cell>
        </row>
        <row r="174">
          <cell r="AW174">
            <v>32.841770605916892</v>
          </cell>
          <cell r="AX174">
            <v>56.349300485067182</v>
          </cell>
        </row>
        <row r="175">
          <cell r="AW175">
            <v>32.560408363866365</v>
          </cell>
          <cell r="AX175">
            <v>55.848649982069453</v>
          </cell>
        </row>
        <row r="176">
          <cell r="AW176">
            <v>32.276956476202599</v>
          </cell>
          <cell r="AX176">
            <v>55.349383485869495</v>
          </cell>
        </row>
        <row r="177">
          <cell r="AW177">
            <v>31.991409784840904</v>
          </cell>
          <cell r="AX177">
            <v>54.851904551350039</v>
          </cell>
        </row>
        <row r="178">
          <cell r="AW178">
            <v>31.703765777739989</v>
          </cell>
          <cell r="AX178">
            <v>54.35662203829979</v>
          </cell>
        </row>
        <row r="179">
          <cell r="AW179">
            <v>31.414024647117529</v>
          </cell>
          <cell r="AX179">
            <v>53.863949214038449</v>
          </cell>
        </row>
        <row r="180">
          <cell r="AW180">
            <v>31.122189338419531</v>
          </cell>
          <cell r="AX180">
            <v>53.374302829016976</v>
          </cell>
        </row>
        <row r="181">
          <cell r="AW181">
            <v>30.828265589724722</v>
          </cell>
          <cell r="AX181">
            <v>52.888102170693109</v>
          </cell>
        </row>
        <row r="182">
          <cell r="AW182">
            <v>30.532261961349775</v>
          </cell>
          <cell r="AX182">
            <v>52.405768101175049</v>
          </cell>
        </row>
        <row r="183">
          <cell r="AW183">
            <v>30.234189855510941</v>
          </cell>
          <cell r="AX183">
            <v>51.927722084257809</v>
          </cell>
        </row>
        <row r="184">
          <cell r="AW184">
            <v>29.934063525983522</v>
          </cell>
          <cell r="AX184">
            <v>51.45438520752672</v>
          </cell>
        </row>
        <row r="185">
          <cell r="AW185">
            <v>29.631900077796736</v>
          </cell>
          <cell r="AX185">
            <v>50.986177205208392</v>
          </cell>
        </row>
        <row r="186">
          <cell r="AW186">
            <v>29.327719457084829</v>
          </cell>
          <cell r="AX186">
            <v>50.523515487344433</v>
          </cell>
        </row>
        <row r="187">
          <cell r="AW187">
            <v>29.021544431308037</v>
          </cell>
          <cell r="AX187">
            <v>50.066814180722396</v>
          </cell>
        </row>
        <row r="188">
          <cell r="AW188">
            <v>28.713400560135156</v>
          </cell>
          <cell r="AX188">
            <v>49.61648318677733</v>
          </cell>
        </row>
        <row r="189">
          <cell r="AW189">
            <v>28.403316157361541</v>
          </cell>
          <cell r="AX189">
            <v>49.172927261388288</v>
          </cell>
        </row>
        <row r="190">
          <cell r="AW190">
            <v>28.091322244305825</v>
          </cell>
          <cell r="AX190">
            <v>48.736545121154812</v>
          </cell>
        </row>
        <row r="191">
          <cell r="AW191">
            <v>27.777452495194947</v>
          </cell>
          <cell r="AX191">
            <v>48.307728580355601</v>
          </cell>
        </row>
        <row r="192">
          <cell r="AW192">
            <v>27.461743175100622</v>
          </cell>
          <cell r="AX192">
            <v>47.886861722336434</v>
          </cell>
        </row>
        <row r="193">
          <cell r="AW193">
            <v>27.14423307104401</v>
          </cell>
          <cell r="AX193">
            <v>47.474320108626749</v>
          </cell>
        </row>
        <row r="194">
          <cell r="AW194">
            <v>26.824963416913427</v>
          </cell>
          <cell r="AX194">
            <v>47.07047002855689</v>
          </cell>
        </row>
        <row r="195">
          <cell r="AW195">
            <v>26.503977812879434</v>
          </cell>
          <cell r="AX195">
            <v>46.675667791655783</v>
          </cell>
        </row>
        <row r="196">
          <cell r="AW196">
            <v>26.181322140001619</v>
          </cell>
          <cell r="AX196">
            <v>46.290259064559187</v>
          </cell>
        </row>
        <row r="197">
          <cell r="AW197">
            <v>25.857044470733875</v>
          </cell>
          <cell r="AX197">
            <v>45.91457825363284</v>
          </cell>
        </row>
        <row r="198">
          <cell r="AW198">
            <v>25.531194976031767</v>
          </cell>
          <cell r="AX198">
            <v>45.548947933997063</v>
          </cell>
        </row>
        <row r="199">
          <cell r="AW199">
            <v>25.203825829757328</v>
          </cell>
          <cell r="AX199">
            <v>45.193678325116274</v>
          </cell>
        </row>
        <row r="200">
          <cell r="AW200">
            <v>24.874991111053816</v>
          </cell>
          <cell r="AX200">
            <v>44.849066812631243</v>
          </cell>
        </row>
        <row r="201">
          <cell r="AW201">
            <v>24.544746705339545</v>
          </cell>
          <cell r="AX201">
            <v>44.515397515661206</v>
          </cell>
        </row>
        <row r="202">
          <cell r="AW202">
            <v>24.213150204531143</v>
          </cell>
          <cell r="AX202">
            <v>44.192940898353399</v>
          </cell>
        </row>
        <row r="203">
          <cell r="AW203">
            <v>23.880260807067849</v>
          </cell>
          <cell r="AX203">
            <v>43.881953424091606</v>
          </cell>
        </row>
        <row r="204">
          <cell r="AW204">
            <v>23.546139218259562</v>
          </cell>
          <cell r="AX204">
            <v>43.582677250411372</v>
          </cell>
        </row>
        <row r="205">
          <cell r="AW205">
            <v>23.210847551431392</v>
          </cell>
          <cell r="AX205">
            <v>43.295339962381476</v>
          </cell>
        </row>
        <row r="206">
          <cell r="AW206">
            <v>22.874449230278465</v>
          </cell>
          <cell r="AX206">
            <v>43.020154341951176</v>
          </cell>
        </row>
        <row r="207">
          <cell r="AW207">
            <v>22.537008892791889</v>
          </cell>
          <cell r="AX207">
            <v>42.757318170565163</v>
          </cell>
        </row>
        <row r="208">
          <cell r="AW208">
            <v>22.198592297050226</v>
          </cell>
          <cell r="AX208">
            <v>42.507014062190756</v>
          </cell>
        </row>
        <row r="209">
          <cell r="AW209">
            <v>21.859266229114127</v>
          </cell>
          <cell r="AX209">
            <v>42.269409323806336</v>
          </cell>
        </row>
        <row r="210">
          <cell r="AW210">
            <v>21.519098413199629</v>
          </cell>
          <cell r="AX210">
            <v>42.044655840339459</v>
          </cell>
        </row>
        <row r="211">
          <cell r="AW211">
            <v>21.178157424243544</v>
          </cell>
          <cell r="AX211">
            <v>41.83288998104161</v>
          </cell>
        </row>
        <row r="212">
          <cell r="AW212">
            <v>20.836512602918795</v>
          </cell>
          <cell r="AX212">
            <v>41.634232524324581</v>
          </cell>
        </row>
        <row r="213">
          <cell r="AW213">
            <v>20.494233973095817</v>
          </cell>
          <cell r="AX213">
            <v>41.448788598165912</v>
          </cell>
        </row>
        <row r="214">
          <cell r="AW214">
            <v>20.151392161699565</v>
          </cell>
          <cell r="AX214">
            <v>41.276647633318341</v>
          </cell>
        </row>
        <row r="215">
          <cell r="AW215">
            <v>19.808058320853913</v>
          </cell>
          <cell r="AX215">
            <v>41.117883326709936</v>
          </cell>
        </row>
        <row r="216">
          <cell r="AW216">
            <v>19.464304052165065</v>
          </cell>
          <cell r="AX216">
            <v>40.972553612629433</v>
          </cell>
        </row>
        <row r="217">
          <cell r="AW217">
            <v>19.120201332948529</v>
          </cell>
          <cell r="AX217">
            <v>40.840700639499673</v>
          </cell>
        </row>
        <row r="218">
          <cell r="AW218">
            <v>18.775822444172444</v>
          </cell>
          <cell r="AX218">
            <v>40.722350750313907</v>
          </cell>
        </row>
        <row r="219">
          <cell r="AW219">
            <v>18.431239899851835</v>
          </cell>
          <cell r="AX219">
            <v>40.617514465064474</v>
          </cell>
        </row>
        <row r="220">
          <cell r="AW220">
            <v>18.086526377607182</v>
          </cell>
          <cell r="AX220">
            <v>40.526186463806695</v>
          </cell>
        </row>
        <row r="221">
          <cell r="AW221">
            <v>17.741754650075087</v>
          </cell>
          <cell r="AX221">
            <v>40.448345569296571</v>
          </cell>
        </row>
        <row r="222">
          <cell r="AW222">
            <v>17.396997516845751</v>
          </cell>
          <cell r="AX222">
            <v>40.383954728474514</v>
          </cell>
        </row>
        <row r="223">
          <cell r="AW223">
            <v>17.052327736591444</v>
          </cell>
          <cell r="AX223">
            <v>40.332960992390881</v>
          </cell>
        </row>
        <row r="224">
          <cell r="AW224">
            <v>16.70781795904432</v>
          </cell>
          <cell r="AX224">
            <v>40.295295494507165</v>
          </cell>
        </row>
        <row r="225">
          <cell r="AW225">
            <v>16.363540656487398</v>
          </cell>
          <cell r="AX225">
            <v>40.270873427643757</v>
          </cell>
        </row>
        <row r="226">
          <cell r="AW226">
            <v>16.019568054426703</v>
          </cell>
          <cell r="AX226">
            <v>40.259594020174347</v>
          </cell>
        </row>
        <row r="227">
          <cell r="AW227">
            <v>15.675972061127464</v>
          </cell>
          <cell r="AX227">
            <v>40.261340512396451</v>
          </cell>
        </row>
        <row r="228">
          <cell r="AW228">
            <v>15.332824195717498</v>
          </cell>
          <cell r="AX228">
            <v>40.27598013432182</v>
          </cell>
        </row>
        <row r="229">
          <cell r="AW229">
            <v>14.99019551458373</v>
          </cell>
          <cell r="AX229">
            <v>40.303364086430584</v>
          </cell>
        </row>
        <row r="230">
          <cell r="AW230">
            <v>14.648156535818481</v>
          </cell>
          <cell r="AX230">
            <v>40.343327525215628</v>
          </cell>
        </row>
        <row r="231">
          <cell r="AW231">
            <v>14.306777161509547</v>
          </cell>
          <cell r="AX231">
            <v>40.395689555605792</v>
          </cell>
        </row>
        <row r="232">
          <cell r="AW232">
            <v>13.96612659770442</v>
          </cell>
          <cell r="AX232">
            <v>40.460253232593423</v>
          </cell>
        </row>
        <row r="233">
          <cell r="AW233">
            <v>13.626273271927662</v>
          </cell>
          <cell r="AX233">
            <v>40.53680557459105</v>
          </cell>
        </row>
        <row r="234">
          <cell r="AW234">
            <v>13.287284748175409</v>
          </cell>
          <cell r="AX234">
            <v>40.625117591223898</v>
          </cell>
        </row>
        <row r="235">
          <cell r="AW235">
            <v>12.949227639367539</v>
          </cell>
          <cell r="AX235">
            <v>40.724944328396177</v>
          </cell>
        </row>
        <row r="236">
          <cell r="AW236">
            <v>12.612167517288997</v>
          </cell>
          <cell r="AX236">
            <v>40.836024933569448</v>
          </cell>
        </row>
        <row r="237">
          <cell r="AW237">
            <v>12.276168820113737</v>
          </cell>
          <cell r="AX237">
            <v>40.95808274424617</v>
          </cell>
        </row>
        <row r="238">
          <cell r="AW238">
            <v>11.941294757661925</v>
          </cell>
          <cell r="AX238">
            <v>41.090825402663086</v>
          </cell>
        </row>
        <row r="239">
          <cell r="AW239">
            <v>11.607607214602496</v>
          </cell>
          <cell r="AX239">
            <v>41.233944999659691</v>
          </cell>
        </row>
        <row r="240">
          <cell r="AW240">
            <v>11.275166651875166</v>
          </cell>
          <cell r="AX240">
            <v>41.387118250611778</v>
          </cell>
        </row>
        <row r="241">
          <cell r="AW241">
            <v>10.944032006665495</v>
          </cell>
          <cell r="AX241">
            <v>41.55000670617202</v>
          </cell>
        </row>
        <row r="242">
          <cell r="AW242">
            <v>10.614260591324513</v>
          </cell>
          <cell r="AX242">
            <v>41.722257000385845</v>
          </cell>
        </row>
        <row r="243">
          <cell r="AW243">
            <v>10.285907991684669</v>
          </cell>
          <cell r="AX243">
            <v>41.903501138514883</v>
          </cell>
        </row>
        <row r="244">
          <cell r="AW244">
            <v>9.9590279652717477</v>
          </cell>
          <cell r="AX244">
            <v>42.093356826611576</v>
          </cell>
        </row>
        <row r="245">
          <cell r="AW245">
            <v>9.6336723399655568</v>
          </cell>
          <cell r="AX245">
            <v>42.291427844568631</v>
          </cell>
        </row>
        <row r="246">
          <cell r="AW246">
            <v>9.30989091370372</v>
          </cell>
          <cell r="AX246">
            <v>42.497304463982132</v>
          </cell>
        </row>
        <row r="247">
          <cell r="AW247">
            <v>8.9877313558589584</v>
          </cell>
          <cell r="AX247">
            <v>42.710563911764567</v>
          </cell>
        </row>
        <row r="248">
          <cell r="AW248">
            <v>8.6672391109525471</v>
          </cell>
          <cell r="AX248">
            <v>42.930770879987492</v>
          </cell>
        </row>
        <row r="249">
          <cell r="AW249">
            <v>8.3484573053876403</v>
          </cell>
          <cell r="AX249">
            <v>43.157478081956256</v>
          </cell>
        </row>
        <row r="250">
          <cell r="AW250">
            <v>8.0314266578986491</v>
          </cell>
          <cell r="AX250">
            <v>43.390226854015431</v>
          </cell>
        </row>
        <row r="251">
          <cell r="AW251">
            <v>7.7161853944201937</v>
          </cell>
          <cell r="AX251">
            <v>43.628547802064141</v>
          </cell>
        </row>
        <row r="252">
          <cell r="AW252">
            <v>7.4027691680692325</v>
          </cell>
          <cell r="AX252">
            <v>43.871961491234856</v>
          </cell>
        </row>
        <row r="253">
          <cell r="AW253">
            <v>7.0912109849250404</v>
          </cell>
          <cell r="AX253">
            <v>44.119979176647746</v>
          </cell>
        </row>
        <row r="254">
          <cell r="AW254">
            <v>6.7815411362606</v>
          </cell>
          <cell r="AX254">
            <v>44.372103572649479</v>
          </cell>
        </row>
        <row r="255">
          <cell r="AW255">
            <v>6.4737871378478848</v>
          </cell>
          <cell r="AX255">
            <v>44.627829657413017</v>
          </cell>
        </row>
        <row r="256">
          <cell r="AW256">
            <v>6.1679736769155049</v>
          </cell>
          <cell r="AX256">
            <v>44.88664550932458</v>
          </cell>
        </row>
        <row r="257">
          <cell r="AW257">
            <v>5.8641225672787964</v>
          </cell>
          <cell r="AX257">
            <v>45.14803317110529</v>
          </cell>
        </row>
        <row r="258">
          <cell r="AW258">
            <v>5.5622527131076493</v>
          </cell>
          <cell r="AX258">
            <v>45.411469537232641</v>
          </cell>
        </row>
        <row r="259">
          <cell r="AW259">
            <v>5.2623800817211457</v>
          </cell>
          <cell r="AX259">
            <v>45.676427259855835</v>
          </cell>
        </row>
        <row r="260">
          <cell r="AW260">
            <v>4.9645176857248359</v>
          </cell>
          <cell r="AX260">
            <v>45.942375668100681</v>
          </cell>
        </row>
        <row r="261">
          <cell r="AW261">
            <v>4.6686755747254951</v>
          </cell>
          <cell r="AX261">
            <v>46.208781695423106</v>
          </cell>
        </row>
        <row r="262">
          <cell r="AW262">
            <v>4.3748608367695105</v>
          </cell>
          <cell r="AX262">
            <v>46.475110809483581</v>
          </cell>
        </row>
        <row r="263">
          <cell r="AW263">
            <v>4.0830776095644286</v>
          </cell>
          <cell r="AX263">
            <v>46.740827938925406</v>
          </cell>
        </row>
        <row r="264">
          <cell r="AW264">
            <v>3.7933271014501506</v>
          </cell>
          <cell r="AX264">
            <v>47.00539839139168</v>
          </cell>
        </row>
        <row r="265">
          <cell r="AW265">
            <v>3.5056076220000798</v>
          </cell>
          <cell r="AX265">
            <v>47.268288757153691</v>
          </cell>
        </row>
        <row r="266">
          <cell r="AW266">
            <v>3.2199146220382859</v>
          </cell>
          <cell r="AX266">
            <v>47.528967792844647</v>
          </cell>
        </row>
        <row r="267">
          <cell r="AW267">
            <v>2.9362407427757993</v>
          </cell>
          <cell r="AX267">
            <v>47.786907279946981</v>
          </cell>
        </row>
        <row r="268">
          <cell r="AW268">
            <v>2.65457587368642</v>
          </cell>
          <cell r="AX268">
            <v>48.041582852944288</v>
          </cell>
        </row>
        <row r="269">
          <cell r="AW269">
            <v>2.3749072186645241</v>
          </cell>
          <cell r="AX269">
            <v>48.292474792339156</v>
          </cell>
        </row>
        <row r="270">
          <cell r="AW270">
            <v>2.0972193699386201</v>
          </cell>
          <cell r="AX270">
            <v>48.539068778100244</v>
          </cell>
        </row>
        <row r="271">
          <cell r="AW271">
            <v>1.8214943891499247</v>
          </cell>
          <cell r="AX271">
            <v>48.780856599506876</v>
          </cell>
        </row>
        <row r="272">
          <cell r="AW272">
            <v>1.5477118949510669</v>
          </cell>
          <cell r="AX272">
            <v>49.017336817808498</v>
          </cell>
        </row>
        <row r="273">
          <cell r="AW273">
            <v>1.2758491564348184</v>
          </cell>
          <cell r="AX273">
            <v>49.248015378589741</v>
          </cell>
        </row>
        <row r="274">
          <cell r="AW274">
            <v>1.0058811916647397</v>
          </cell>
          <cell r="AX274">
            <v>49.472406171251265</v>
          </cell>
        </row>
        <row r="275">
          <cell r="AW275">
            <v>0.73778087055369967</v>
          </cell>
          <cell r="AX275">
            <v>49.69003153351855</v>
          </cell>
        </row>
        <row r="276">
          <cell r="AW276">
            <v>0.47151902131682127</v>
          </cell>
          <cell r="AX276">
            <v>49.900422699438259</v>
          </cell>
        </row>
        <row r="277">
          <cell r="AW277">
            <v>0.20706453971934485</v>
          </cell>
          <cell r="AX277">
            <v>50.103120189839281</v>
          </cell>
        </row>
        <row r="278">
          <cell r="AW278">
            <v>-5.5615499661885927E-2</v>
          </cell>
          <cell r="AX278">
            <v>50.29767414476774</v>
          </cell>
        </row>
        <row r="279">
          <cell r="AW279">
            <v>-0.31655573093296729</v>
          </cell>
          <cell r="AX279">
            <v>50.483644597900046</v>
          </cell>
        </row>
        <row r="280">
          <cell r="AW280">
            <v>-0.57579238388789822</v>
          </cell>
          <cell r="AX280">
            <v>50.66060169343919</v>
          </cell>
        </row>
        <row r="281">
          <cell r="AW281">
            <v>-0.8333631712513343</v>
          </cell>
          <cell r="AX281">
            <v>50.828125846444571</v>
          </cell>
        </row>
        <row r="282">
          <cell r="AW282">
            <v>-1.0893071768573381</v>
          </cell>
          <cell r="AX282">
            <v>50.985807847982585</v>
          </cell>
        </row>
        <row r="283">
          <cell r="AW283">
            <v>-1.3436647454225077</v>
          </cell>
          <cell r="AX283">
            <v>51.133248916874201</v>
          </cell>
        </row>
        <row r="284">
          <cell r="AW284">
            <v>-1.5964773745337648</v>
          </cell>
          <cell r="AX284">
            <v>51.270060700165125</v>
          </cell>
        </row>
        <row r="285">
          <cell r="AW285">
            <v>-1.8477876094199164</v>
          </cell>
          <cell r="AX285">
            <v>51.395865224763632</v>
          </cell>
        </row>
        <row r="286">
          <cell r="AW286">
            <v>-2.0976389410312275</v>
          </cell>
          <cell r="AX286">
            <v>51.510294802954348</v>
          </cell>
        </row>
        <row r="287">
          <cell r="AW287">
            <v>-2.3460757078977559</v>
          </cell>
          <cell r="AX287">
            <v>51.612991894727408</v>
          </cell>
        </row>
        <row r="288">
          <cell r="AW288">
            <v>-2.5931430021850064</v>
          </cell>
          <cell r="AX288">
            <v>51.703608930047608</v>
          </cell>
        </row>
        <row r="289">
          <cell r="AW289">
            <v>-2.8388865803110876</v>
          </cell>
          <cell r="AX289">
            <v>51.781808094330977</v>
          </cell>
        </row>
        <row r="290">
          <cell r="AW290">
            <v>-3.0833527784385311</v>
          </cell>
          <cell r="AX290">
            <v>51.847261080502157</v>
          </cell>
        </row>
        <row r="291">
          <cell r="AW291">
            <v>-3.3265884330979842</v>
          </cell>
          <cell r="AX291">
            <v>51.899648811070257</v>
          </cell>
        </row>
        <row r="292">
          <cell r="AW292">
            <v>-3.5686408071542708</v>
          </cell>
          <cell r="AX292">
            <v>51.938661133699142</v>
          </cell>
        </row>
        <row r="293">
          <cell r="AW293">
            <v>-3.8095575212692561</v>
          </cell>
          <cell r="AX293">
            <v>51.963996493737362</v>
          </cell>
        </row>
        <row r="294">
          <cell r="AW294">
            <v>-4.0493864909794031</v>
          </cell>
          <cell r="AX294">
            <v>51.975361587156591</v>
          </cell>
        </row>
        <row r="295">
          <cell r="AW295">
            <v>-4.2881758694484882</v>
          </cell>
          <cell r="AX295">
            <v>51.972470997282599</v>
          </cell>
        </row>
        <row r="296">
          <cell r="AW296">
            <v>-4.5259739959256615</v>
          </cell>
          <cell r="AX296">
            <v>51.95504681862905</v>
          </cell>
        </row>
        <row r="297">
          <cell r="AW297">
            <v>-4.7628293498940506</v>
          </cell>
          <cell r="AX297">
            <v>51.922818271047376</v>
          </cell>
        </row>
        <row r="298">
          <cell r="AW298">
            <v>-4.9987905108615109</v>
          </cell>
          <cell r="AX298">
            <v>51.875521307295983</v>
          </cell>
        </row>
        <row r="299">
          <cell r="AW299">
            <v>-5.2339061237136324</v>
          </cell>
          <cell r="AX299">
            <v>51.812898217000736</v>
          </cell>
        </row>
        <row r="300">
          <cell r="AW300">
            <v>-5.4682248695194904</v>
          </cell>
          <cell r="AX300">
            <v>51.734697229848102</v>
          </cell>
        </row>
        <row r="301">
          <cell r="AW301">
            <v>-5.7017954416544958</v>
          </cell>
          <cell r="AX301">
            <v>51.640672120708508</v>
          </cell>
        </row>
        <row r="302">
          <cell r="AW302">
            <v>-5.9346665270821406</v>
          </cell>
          <cell r="AX302">
            <v>51.530581819240915</v>
          </cell>
        </row>
        <row r="303">
          <cell r="AW303">
            <v>-6.1668867926178486</v>
          </cell>
          <cell r="AX303">
            <v>51.404190026375851</v>
          </cell>
        </row>
        <row r="304">
          <cell r="AW304">
            <v>-6.3985048759787944</v>
          </cell>
          <cell r="AX304">
            <v>51.261264839933773</v>
          </cell>
        </row>
        <row r="305">
          <cell r="AW305">
            <v>-6.6295693814103664</v>
          </cell>
          <cell r="AX305">
            <v>51.10157839147756</v>
          </cell>
        </row>
        <row r="306">
          <cell r="AW306">
            <v>-6.860128879668399</v>
          </cell>
          <cell r="AX306">
            <v>50.924906496357899</v>
          </cell>
        </row>
        <row r="307">
          <cell r="AW307">
            <v>-7.090231912122734</v>
          </cell>
          <cell r="AX307">
            <v>50.731028318772758</v>
          </cell>
        </row>
        <row r="308">
          <cell r="AW308">
            <v>-7.3199269987452062</v>
          </cell>
          <cell r="AX308">
            <v>50.519726053518127</v>
          </cell>
        </row>
        <row r="309">
          <cell r="AW309">
            <v>-7.5492626497317703</v>
          </cell>
          <cell r="AX309">
            <v>50.290784625986738</v>
          </cell>
        </row>
        <row r="310">
          <cell r="AW310">
            <v>-7.7782873805087727</v>
          </cell>
          <cell r="AX310">
            <v>50.043991411844786</v>
          </cell>
        </row>
        <row r="311">
          <cell r="AW311">
            <v>-8.0070497298661856</v>
          </cell>
          <cell r="AX311">
            <v>49.779135977700903</v>
          </cell>
        </row>
        <row r="312">
          <cell r="AW312">
            <v>-8.2355982809579924</v>
          </cell>
          <cell r="AX312">
            <v>49.496009843977994</v>
          </cell>
        </row>
        <row r="313">
          <cell r="AW313">
            <v>-8.4639816849101592</v>
          </cell>
          <cell r="AX313">
            <v>49.19440627108991</v>
          </cell>
        </row>
        <row r="314">
          <cell r="AW314">
            <v>-8.6922486867684459</v>
          </cell>
          <cell r="AX314">
            <v>48.874120069939032</v>
          </cell>
        </row>
        <row r="315">
          <cell r="AW315">
            <v>-8.9204481535266424</v>
          </cell>
          <cell r="AX315">
            <v>48.534947437659497</v>
          </cell>
        </row>
        <row r="316">
          <cell r="AW316">
            <v>-9.1486291039639216</v>
          </cell>
          <cell r="AX316">
            <v>48.176685819447393</v>
          </cell>
        </row>
        <row r="317">
          <cell r="AW317">
            <v>-9.3768407400273972</v>
          </cell>
          <cell r="AX317">
            <v>47.799133797253518</v>
          </cell>
        </row>
        <row r="318">
          <cell r="AW318">
            <v>-9.6051324794893951</v>
          </cell>
          <cell r="AX318">
            <v>47.402091006029067</v>
          </cell>
        </row>
        <row r="319">
          <cell r="AW319">
            <v>-9.8335539896117616</v>
          </cell>
          <cell r="AX319">
            <v>46.985358078163536</v>
          </cell>
        </row>
        <row r="320">
          <cell r="AW320">
            <v>-10.062155221542255</v>
          </cell>
          <cell r="AX320">
            <v>46.548736616681083</v>
          </cell>
        </row>
        <row r="321">
          <cell r="AW321">
            <v>-10.290986445173049</v>
          </cell>
          <cell r="AX321">
            <v>46.092029197705166</v>
          </cell>
        </row>
        <row r="322">
          <cell r="AW322">
            <v>-10.520098284182504</v>
          </cell>
          <cell r="AX322">
            <v>45.615039402645721</v>
          </cell>
        </row>
        <row r="323">
          <cell r="AW323">
            <v>-10.749541750982665</v>
          </cell>
          <cell r="AX323">
            <v>45.117571880495582</v>
          </cell>
        </row>
        <row r="324">
          <cell r="AW324">
            <v>-10.9793682812901</v>
          </cell>
          <cell r="AX324">
            <v>44.599432440577424</v>
          </cell>
        </row>
        <row r="325">
          <cell r="AW325">
            <v>-11.209629768033301</v>
          </cell>
          <cell r="AX325">
            <v>44.060428176011015</v>
          </cell>
        </row>
        <row r="326">
          <cell r="AW326">
            <v>-11.440378594307678</v>
          </cell>
          <cell r="AX326">
            <v>43.500367618117451</v>
          </cell>
        </row>
        <row r="327">
          <cell r="AW327">
            <v>-11.67166766508152</v>
          </cell>
          <cell r="AX327">
            <v>42.919060921902087</v>
          </cell>
        </row>
        <row r="328">
          <cell r="AW328">
            <v>-11.903550437355747</v>
          </cell>
          <cell r="AX328">
            <v>42.316320082701679</v>
          </cell>
        </row>
        <row r="329">
          <cell r="AW329">
            <v>-12.136080948469299</v>
          </cell>
          <cell r="AX329">
            <v>41.691959183988047</v>
          </cell>
        </row>
        <row r="330">
          <cell r="AW330">
            <v>-12.369313842243512</v>
          </cell>
          <cell r="AX330">
            <v>41.045794676257053</v>
          </cell>
        </row>
        <row r="331">
          <cell r="AW331">
            <v>-12.603304392648557</v>
          </cell>
          <cell r="AX331">
            <v>40.377645686830853</v>
          </cell>
        </row>
        <row r="332">
          <cell r="AW332">
            <v>-12.838108524671714</v>
          </cell>
          <cell r="AX332">
            <v>39.687334360309379</v>
          </cell>
        </row>
        <row r="333">
          <cell r="AW333">
            <v>-13.073782832062694</v>
          </cell>
          <cell r="AX333">
            <v>38.974686229306123</v>
          </cell>
        </row>
        <row r="334">
          <cell r="AW334">
            <v>-13.310384591628445</v>
          </cell>
          <cell r="AX334">
            <v>38.239530614980431</v>
          </cell>
        </row>
        <row r="335">
          <cell r="AW335">
            <v>-13.547971773743814</v>
          </cell>
          <cell r="AX335">
            <v>37.481701056764194</v>
          </cell>
        </row>
        <row r="336">
          <cell r="AW336">
            <v>-13.786603048743242</v>
          </cell>
          <cell r="AX336">
            <v>36.701035770544344</v>
          </cell>
        </row>
        <row r="337">
          <cell r="AW337">
            <v>-14.026337788859411</v>
          </cell>
          <cell r="AX337">
            <v>35.897378134419057</v>
          </cell>
        </row>
        <row r="338">
          <cell r="AW338">
            <v>-14.267236065372257</v>
          </cell>
          <cell r="AX338">
            <v>35.070577200990485</v>
          </cell>
        </row>
        <row r="339">
          <cell r="AW339">
            <v>-14.509358640635263</v>
          </cell>
          <cell r="AX339">
            <v>34.220488235003579</v>
          </cell>
        </row>
        <row r="340">
          <cell r="AW340">
            <v>-14.752766954650863</v>
          </cell>
          <cell r="AX340">
            <v>33.346973274956525</v>
          </cell>
        </row>
        <row r="341">
          <cell r="AW341">
            <v>-14.997523105871302</v>
          </cell>
          <cell r="AX341">
            <v>32.449901717139703</v>
          </cell>
        </row>
        <row r="342">
          <cell r="AW342">
            <v>-15.243689825912485</v>
          </cell>
          <cell r="AX342">
            <v>31.529150920361246</v>
          </cell>
        </row>
        <row r="343">
          <cell r="AW343">
            <v>-15.491330447879593</v>
          </cell>
          <cell r="AX343">
            <v>30.584606829430967</v>
          </cell>
        </row>
        <row r="344">
          <cell r="AW344">
            <v>-15.740508868016658</v>
          </cell>
          <cell r="AX344">
            <v>29.616164615275572</v>
          </cell>
        </row>
        <row r="345">
          <cell r="AW345">
            <v>-15.99128950041457</v>
          </cell>
          <cell r="AX345">
            <v>28.623729329349363</v>
          </cell>
        </row>
        <row r="346">
          <cell r="AW346">
            <v>-16.243737224530385</v>
          </cell>
          <cell r="AX346">
            <v>27.607216569801846</v>
          </cell>
        </row>
        <row r="347">
          <cell r="AW347">
            <v>-16.497917325298999</v>
          </cell>
          <cell r="AX347">
            <v>26.56655315667043</v>
          </cell>
        </row>
        <row r="348">
          <cell r="AW348">
            <v>-16.753895425649098</v>
          </cell>
          <cell r="AX348">
            <v>25.501677813143111</v>
          </cell>
        </row>
        <row r="349">
          <cell r="AW349">
            <v>-17.011737411266012</v>
          </cell>
          <cell r="AX349">
            <v>24.412541849778272</v>
          </cell>
        </row>
        <row r="350">
          <cell r="AW350">
            <v>-17.271509347487278</v>
          </cell>
          <cell r="AX350">
            <v>23.299109848343956</v>
          </cell>
        </row>
        <row r="351">
          <cell r="AW351">
            <v>-17.533277388254589</v>
          </cell>
          <cell r="AX351">
            <v>22.161360341797561</v>
          </cell>
        </row>
        <row r="352">
          <cell r="AW352">
            <v>-17.797107677099859</v>
          </cell>
          <cell r="AX352">
            <v>20.999286486746911</v>
          </cell>
        </row>
        <row r="353">
          <cell r="AW353">
            <v>-18.06306624018346</v>
          </cell>
          <cell r="AX353">
            <v>19.812896724615861</v>
          </cell>
        </row>
        <row r="354">
          <cell r="AW354">
            <v>-18.33121887147065</v>
          </cell>
          <cell r="AX354">
            <v>18.602215427593617</v>
          </cell>
        </row>
        <row r="355">
          <cell r="AW355">
            <v>-18.601631010179748</v>
          </cell>
          <cell r="AX355">
            <v>17.367283525386522</v>
          </cell>
        </row>
        <row r="356">
          <cell r="AW356">
            <v>-18.874367610706194</v>
          </cell>
          <cell r="AX356">
            <v>16.108159108691261</v>
          </cell>
        </row>
        <row r="357">
          <cell r="AW357">
            <v>-19.149493005286182</v>
          </cell>
          <cell r="AX357">
            <v>14.824918005308257</v>
          </cell>
        </row>
        <row r="358">
          <cell r="AW358">
            <v>-19.427070759734097</v>
          </cell>
          <cell r="AX358">
            <v>13.517654324793194</v>
          </cell>
        </row>
        <row r="359">
          <cell r="AW359">
            <v>-19.707163522658103</v>
          </cell>
          <cell r="AX359">
            <v>12.186480967592908</v>
          </cell>
        </row>
        <row r="360">
          <cell r="AW360">
            <v>-19.989832868626095</v>
          </cell>
          <cell r="AX360">
            <v>10.83153009467433</v>
          </cell>
        </row>
        <row r="361">
          <cell r="AW361">
            <v>-20.275139135831001</v>
          </cell>
          <cell r="AX361">
            <v>9.4529535537880047</v>
          </cell>
        </row>
        <row r="362">
          <cell r="AW362">
            <v>-20.563141258868143</v>
          </cell>
          <cell r="AX362">
            <v>8.0509232586493624</v>
          </cell>
        </row>
        <row r="363">
          <cell r="AW363">
            <v>-20.853896597317213</v>
          </cell>
          <cell r="AX363">
            <v>6.6256315175119722</v>
          </cell>
        </row>
        <row r="364">
          <cell r="AW364">
            <v>-21.1474607608816</v>
          </cell>
          <cell r="AX364">
            <v>5.1772913078650138</v>
          </cell>
        </row>
        <row r="365">
          <cell r="AW365">
            <v>-21.443887431909545</v>
          </cell>
          <cell r="AX365">
            <v>3.7061364942305044</v>
          </cell>
        </row>
        <row r="366">
          <cell r="AW366">
            <v>-21.743228186180005</v>
          </cell>
          <cell r="AX366">
            <v>2.2124219863795371</v>
          </cell>
        </row>
        <row r="367">
          <cell r="AW367">
            <v>-22.045532312898718</v>
          </cell>
          <cell r="AX367">
            <v>0.69642383560386345</v>
          </cell>
        </row>
        <row r="368">
          <cell r="AW368">
            <v>-22.350846634898062</v>
          </cell>
          <cell r="AX368">
            <v>-0.84156073292022604</v>
          </cell>
        </row>
        <row r="369">
          <cell r="AW369">
            <v>-22.659215330085175</v>
          </cell>
          <cell r="AX369">
            <v>-2.4012133532463462</v>
          </cell>
        </row>
        <row r="370">
          <cell r="AW370">
            <v>-22.970679755220257</v>
          </cell>
          <cell r="AX370">
            <v>-3.9821946183913131</v>
          </cell>
        </row>
        <row r="371">
          <cell r="AW371">
            <v>-23.285278273142531</v>
          </cell>
          <cell r="AX371">
            <v>-5.5841442473789362</v>
          </cell>
        </row>
        <row r="372">
          <cell r="AW372">
            <v>-23.603046084583809</v>
          </cell>
          <cell r="AX372">
            <v>-7.2066813198300519</v>
          </cell>
        </row>
        <row r="373">
          <cell r="AW373">
            <v>-23.924015065728014</v>
          </cell>
          <cell r="AX373">
            <v>-8.8494045778736279</v>
          </cell>
        </row>
        <row r="374">
          <cell r="AW374">
            <v>-24.248213612680839</v>
          </cell>
          <cell r="AX374">
            <v>-10.51189279467007</v>
          </cell>
        </row>
        <row r="375">
          <cell r="AW375">
            <v>-24.575666494015202</v>
          </cell>
          <cell r="AX375">
            <v>-12.193705208411561</v>
          </cell>
        </row>
        <row r="376">
          <cell r="AW376">
            <v>-24.906394712542351</v>
          </cell>
          <cell r="AX376">
            <v>-13.894382020169374</v>
          </cell>
        </row>
        <row r="377">
          <cell r="AW377">
            <v>-25.240415377445689</v>
          </cell>
          <cell r="AX377">
            <v>-15.613444953569994</v>
          </cell>
        </row>
        <row r="378">
          <cell r="AW378">
            <v>-25.577741587874236</v>
          </cell>
          <cell r="AX378">
            <v>-17.350397873833693</v>
          </cell>
        </row>
        <row r="379">
          <cell r="AW379">
            <v>-25.918382329065196</v>
          </cell>
          <cell r="AX379">
            <v>-19.104727463360692</v>
          </cell>
        </row>
        <row r="380">
          <cell r="AW380">
            <v>-26.262342382006082</v>
          </cell>
          <cell r="AX380">
            <v>-20.875903950658923</v>
          </cell>
        </row>
        <row r="381">
          <cell r="AW381">
            <v>-26.609622247596612</v>
          </cell>
          <cell r="AX381">
            <v>-22.66338188913894</v>
          </cell>
        </row>
        <row r="382">
          <cell r="AW382">
            <v>-26.96021808620063</v>
          </cell>
          <cell r="AX382">
            <v>-24.466600981982555</v>
          </cell>
        </row>
        <row r="383">
          <cell r="AW383">
            <v>-27.314121673404532</v>
          </cell>
          <cell r="AX383">
            <v>-26.284986949089451</v>
          </cell>
        </row>
        <row r="384">
          <cell r="AW384">
            <v>-27.671320372716774</v>
          </cell>
          <cell r="AX384">
            <v>-28.117952431894164</v>
          </cell>
        </row>
        <row r="385">
          <cell r="AW385">
            <v>-28.031797125853004</v>
          </cell>
          <cell r="AX385">
            <v>-29.9648979317246</v>
          </cell>
        </row>
        <row r="386">
          <cell r="AW386">
            <v>-28.395530461151985</v>
          </cell>
          <cell r="AX386">
            <v>-31.825212777246421</v>
          </cell>
        </row>
        <row r="387">
          <cell r="AW387">
            <v>-28.762494520567348</v>
          </cell>
          <cell r="AX387">
            <v>-33.698276116519978</v>
          </cell>
        </row>
        <row r="388">
          <cell r="AW388">
            <v>-29.132659105568131</v>
          </cell>
          <cell r="AX388">
            <v>-35.583457929153823</v>
          </cell>
        </row>
        <row r="389">
          <cell r="AW389">
            <v>-29.505989742167202</v>
          </cell>
          <cell r="AX389">
            <v>-37.480120054101285</v>
          </cell>
        </row>
        <row r="390">
          <cell r="AW390">
            <v>-29.882447765177297</v>
          </cell>
          <cell r="AX390">
            <v>-39.387617228713324</v>
          </cell>
        </row>
        <row r="391">
          <cell r="AW391">
            <v>-30.261990421671928</v>
          </cell>
          <cell r="AX391">
            <v>-41.305298134782952</v>
          </cell>
        </row>
        <row r="392">
          <cell r="AW392">
            <v>-30.644570993498519</v>
          </cell>
          <cell r="AX392">
            <v>-43.232506447453879</v>
          </cell>
        </row>
        <row r="393">
          <cell r="AW393">
            <v>-31.030138938569113</v>
          </cell>
          <cell r="AX393">
            <v>-45.16858188308084</v>
          </cell>
        </row>
        <row r="394">
          <cell r="AW394">
            <v>-31.418640050516132</v>
          </cell>
          <cell r="AX394">
            <v>-47.112861242307979</v>
          </cell>
        </row>
        <row r="395">
          <cell r="AW395">
            <v>-31.810016636176467</v>
          </cell>
          <cell r="AX395">
            <v>-49.064679444890459</v>
          </cell>
        </row>
        <row r="396">
          <cell r="AW396">
            <v>-32.204207710233788</v>
          </cell>
          <cell r="AX396">
            <v>-51.023370553037431</v>
          </cell>
        </row>
        <row r="397">
          <cell r="AW397">
            <v>-32.601149206222864</v>
          </cell>
          <cell r="AX397">
            <v>-52.988268780309141</v>
          </cell>
        </row>
        <row r="398">
          <cell r="AW398">
            <v>-33.000774202974313</v>
          </cell>
          <cell r="AX398">
            <v>-54.958709483401755</v>
          </cell>
        </row>
        <row r="399">
          <cell r="AW399">
            <v>-33.403013165453885</v>
          </cell>
          <cell r="AX399">
            <v>-56.934030134408651</v>
          </cell>
        </row>
        <row r="400">
          <cell r="AW400">
            <v>-33.80779419884319</v>
          </cell>
          <cell r="AX400">
            <v>-58.913571271448291</v>
          </cell>
        </row>
        <row r="401">
          <cell r="AW401">
            <v>-34.215043314588705</v>
          </cell>
          <cell r="AX401">
            <v>-60.89667742580496</v>
          </cell>
        </row>
        <row r="402">
          <cell r="AW402">
            <v>-34.624684707055842</v>
          </cell>
          <cell r="AX402">
            <v>-62.882698023989803</v>
          </cell>
        </row>
        <row r="403">
          <cell r="AW403">
            <v>-35.03664103932649</v>
          </cell>
          <cell r="AX403">
            <v>-64.870988263372794</v>
          </cell>
        </row>
        <row r="404">
          <cell r="AW404">
            <v>-35.450833736598739</v>
          </cell>
          <cell r="AX404">
            <v>-66.860909960244086</v>
          </cell>
        </row>
        <row r="405">
          <cell r="AW405">
            <v>-35.86718328558257</v>
          </cell>
          <cell r="AX405">
            <v>-68.851832369363478</v>
          </cell>
        </row>
        <row r="406">
          <cell r="AW406">
            <v>-36.285609538221806</v>
          </cell>
          <cell r="AX406">
            <v>-70.843132974205147</v>
          </cell>
        </row>
        <row r="407">
          <cell r="AW407">
            <v>-36.70603201803744</v>
          </cell>
          <cell r="AX407">
            <v>-72.834198247242355</v>
          </cell>
        </row>
        <row r="408">
          <cell r="AW408">
            <v>-37.128370227352391</v>
          </cell>
          <cell r="AX408">
            <v>-74.824424379696325</v>
          </cell>
        </row>
        <row r="409">
          <cell r="AW409">
            <v>-37.552543953650328</v>
          </cell>
          <cell r="AX409">
            <v>-76.813217980229012</v>
          </cell>
        </row>
        <row r="410">
          <cell r="AW410">
            <v>-37.978473573322248</v>
          </cell>
          <cell r="AX410">
            <v>-78.799996742097946</v>
          </cell>
        </row>
        <row r="411">
          <cell r="AW411">
            <v>-38.406080351069519</v>
          </cell>
          <cell r="AX411">
            <v>-80.784190078241977</v>
          </cell>
        </row>
        <row r="412">
          <cell r="AW412">
            <v>-38.835286733273946</v>
          </cell>
          <cell r="AX412">
            <v>-82.765239723749218</v>
          </cell>
        </row>
        <row r="413">
          <cell r="AW413">
            <v>-39.266016633687542</v>
          </cell>
          <cell r="AX413">
            <v>-84.74260030506538</v>
          </cell>
        </row>
        <row r="414">
          <cell r="AW414">
            <v>-39.698195709865423</v>
          </cell>
          <cell r="AX414">
            <v>-86.715739875200228</v>
          </cell>
        </row>
        <row r="415">
          <cell r="AW415">
            <v>-40.131751628842444</v>
          </cell>
          <cell r="AX415">
            <v>-88.684140414069589</v>
          </cell>
        </row>
        <row r="416">
          <cell r="AW416">
            <v>-40.566614320647112</v>
          </cell>
          <cell r="AX416">
            <v>-90.647298292976515</v>
          </cell>
        </row>
        <row r="417">
          <cell r="AW417">
            <v>-41.002716218352731</v>
          </cell>
          <cell r="AX417">
            <v>-92.60472470208552</v>
          </cell>
        </row>
        <row r="418">
          <cell r="AW418">
            <v>-41.439992483480665</v>
          </cell>
          <cell r="AX418">
            <v>-94.555946039605928</v>
          </cell>
        </row>
        <row r="419">
          <cell r="AW419">
            <v>-41.878381215697679</v>
          </cell>
          <cell r="AX419">
            <v>-96.500504261258669</v>
          </cell>
        </row>
        <row r="420">
          <cell r="AW420">
            <v>-42.317823645879777</v>
          </cell>
          <cell r="AX420">
            <v>-98.437957188479714</v>
          </cell>
        </row>
        <row r="421">
          <cell r="AW421">
            <v>-42.758264311757223</v>
          </cell>
          <cell r="AX421">
            <v>-100.36787877370728</v>
          </cell>
        </row>
        <row r="422">
          <cell r="AW422">
            <v>-43.199651215495372</v>
          </cell>
          <cell r="AX422">
            <v>-102.28985932102758</v>
          </cell>
        </row>
        <row r="423">
          <cell r="AW423">
            <v>-43.641935962713248</v>
          </cell>
          <cell r="AX423">
            <v>-104.20350566040551</v>
          </cell>
        </row>
        <row r="424">
          <cell r="AW424">
            <v>-44.085073882583387</v>
          </cell>
          <cell r="AX424">
            <v>-106.10844127372194</v>
          </cell>
        </row>
        <row r="425">
          <cell r="AW425">
            <v>-44.529024128803172</v>
          </cell>
          <cell r="AX425">
            <v>-108.00430637087847</v>
          </cell>
        </row>
        <row r="426">
          <cell r="AW426">
            <v>-44.973749761363671</v>
          </cell>
          <cell r="AX426">
            <v>-109.89075791430236</v>
          </cell>
        </row>
        <row r="427">
          <cell r="AW427">
            <v>-45.419217809177724</v>
          </cell>
          <cell r="AX427">
            <v>-111.76746959032384</v>
          </cell>
        </row>
        <row r="428">
          <cell r="AW428">
            <v>-45.865399313755717</v>
          </cell>
          <cell r="AX428">
            <v>-113.63413172605229</v>
          </cell>
        </row>
        <row r="429">
          <cell r="AW429">
            <v>-46.312269354232924</v>
          </cell>
          <cell r="AX429">
            <v>-115.49045115062265</v>
          </cell>
        </row>
        <row r="430">
          <cell r="AW430">
            <v>-46.759807054165385</v>
          </cell>
          <cell r="AX430">
            <v>-117.33615099992342</v>
          </cell>
        </row>
        <row r="431">
          <cell r="AW431">
            <v>-47.207995570605902</v>
          </cell>
          <cell r="AX431">
            <v>-119.17097046424698</v>
          </cell>
        </row>
        <row r="432">
          <cell r="AW432">
            <v>-47.65682206605905</v>
          </cell>
          <cell r="AX432">
            <v>-120.99466447862714</v>
          </cell>
        </row>
        <row r="433">
          <cell r="AW433">
            <v>-48.106277663990923</v>
          </cell>
          <cell r="AX433">
            <v>-122.80700335602981</v>
          </cell>
        </row>
        <row r="434">
          <cell r="AW434">
            <v>-48.556357388629017</v>
          </cell>
          <cell r="AX434">
            <v>-124.60777236395376</v>
          </cell>
        </row>
        <row r="435">
          <cell r="AW435">
            <v>-49.007060089843691</v>
          </cell>
          <cell r="AX435">
            <v>-126.39677124543918</v>
          </cell>
        </row>
        <row r="436">
          <cell r="AW436">
            <v>-49.458388353934993</v>
          </cell>
          <cell r="AX436">
            <v>-128.17381368592129</v>
          </cell>
        </row>
        <row r="437">
          <cell r="AW437">
            <v>-49.910348401183796</v>
          </cell>
          <cell r="AX437">
            <v>-129.93872672783667</v>
          </cell>
        </row>
        <row r="438">
          <cell r="AW438">
            <v>-50.362949971038617</v>
          </cell>
          <cell r="AX438">
            <v>-131.69135013533051</v>
          </cell>
        </row>
        <row r="439">
          <cell r="AW439">
            <v>-50.816206195820385</v>
          </cell>
          <cell r="AX439">
            <v>-133.43153571189742</v>
          </cell>
        </row>
        <row r="440">
          <cell r="AW440">
            <v>-51.270133463823768</v>
          </cell>
          <cell r="AX440">
            <v>-135.15914657421274</v>
          </cell>
        </row>
        <row r="441">
          <cell r="AW441">
            <v>-51.724751272687513</v>
          </cell>
          <cell r="AX441">
            <v>-136.87405638585673</v>
          </cell>
        </row>
        <row r="442">
          <cell r="AW442">
            <v>-52.18008207389137</v>
          </cell>
          <cell r="AX442">
            <v>-138.57614855505307</v>
          </cell>
        </row>
        <row r="443">
          <cell r="AW443">
            <v>-52.636151109212832</v>
          </cell>
          <cell r="AX443">
            <v>-140.26531540090491</v>
          </cell>
        </row>
        <row r="444">
          <cell r="AW444">
            <v>-53.092986239960481</v>
          </cell>
          <cell r="AX444">
            <v>-141.94145729299828</v>
          </cell>
        </row>
        <row r="445">
          <cell r="AW445">
            <v>-53.550617769768223</v>
          </cell>
          <cell r="AX445">
            <v>-143.60448176953642</v>
          </cell>
        </row>
        <row r="446">
          <cell r="AW446">
            <v>-54.009078261705845</v>
          </cell>
          <cell r="AX446">
            <v>-145.25430263944762</v>
          </cell>
        </row>
        <row r="447">
          <cell r="AW447">
            <v>-54.468402350440179</v>
          </cell>
          <cell r="AX447">
            <v>-146.89083907416162</v>
          </cell>
        </row>
        <row r="448">
          <cell r="AW448">
            <v>-54.928626550148287</v>
          </cell>
          <cell r="AX448">
            <v>-148.51401469493169</v>
          </cell>
        </row>
        <row r="449">
          <cell r="AW449">
            <v>-55.3897890588552</v>
          </cell>
          <cell r="AX449">
            <v>-150.12375666169569</v>
          </cell>
        </row>
        <row r="450">
          <cell r="AW450">
            <v>-55.851929559856217</v>
          </cell>
          <cell r="AX450">
            <v>-151.71999476960093</v>
          </cell>
        </row>
        <row r="451">
          <cell r="AW451">
            <v>-56.315089020851261</v>
          </cell>
          <cell r="AX451">
            <v>-153.30266055930912</v>
          </cell>
        </row>
        <row r="452">
          <cell r="AW452">
            <v>-56.779309491413308</v>
          </cell>
          <cell r="AX452">
            <v>-154.87168644721896</v>
          </cell>
        </row>
        <row r="453">
          <cell r="AW453">
            <v>-57.244633899390053</v>
          </cell>
          <cell r="AX453">
            <v>-156.42700488163678</v>
          </cell>
        </row>
        <row r="454">
          <cell r="AW454">
            <v>-57.711105846838898</v>
          </cell>
          <cell r="AX454">
            <v>-157.96854753081334</v>
          </cell>
        </row>
        <row r="455">
          <cell r="AW455">
            <v>-58.178769406083866</v>
          </cell>
          <cell r="AX455">
            <v>-159.49624450858755</v>
          </cell>
        </row>
        <row r="456">
          <cell r="AW456">
            <v>-58.647668916484299</v>
          </cell>
          <cell r="AX456">
            <v>-161.0100236431131</v>
          </cell>
        </row>
        <row r="457">
          <cell r="AW457">
            <v>-59.117848782510364</v>
          </cell>
          <cell r="AX457">
            <v>-162.50980979387481</v>
          </cell>
        </row>
        <row r="458">
          <cell r="AW458">
            <v>-59.589353273718814</v>
          </cell>
          <cell r="AX458">
            <v>-163.99552422183709</v>
          </cell>
        </row>
        <row r="459">
          <cell r="AW459">
            <v>-60.062226327237596</v>
          </cell>
          <cell r="AX459">
            <v>-165.46708401717376</v>
          </cell>
        </row>
        <row r="460">
          <cell r="AW460">
            <v>-60.536511353370813</v>
          </cell>
          <cell r="AX460">
            <v>-166.92440158858383</v>
          </cell>
        </row>
        <row r="461">
          <cell r="AW461">
            <v>-61.012251044946986</v>
          </cell>
          <cell r="AX461">
            <v>-168.36738421769442</v>
          </cell>
        </row>
        <row r="462">
          <cell r="AW462">
            <v>-61.489487191040133</v>
          </cell>
          <cell r="AX462">
            <v>-169.79593368152598</v>
          </cell>
        </row>
        <row r="463">
          <cell r="AW463">
            <v>-61.968260495703653</v>
          </cell>
          <cell r="AX463">
            <v>-171.2099459454173</v>
          </cell>
        </row>
        <row r="464">
          <cell r="AW464">
            <v>-62.448610402357055</v>
          </cell>
          <cell r="AX464">
            <v>-172.60931092820482</v>
          </cell>
        </row>
        <row r="465">
          <cell r="AW465">
            <v>-62.930574924469539</v>
          </cell>
          <cell r="AX465">
            <v>-173.9939123408123</v>
          </cell>
        </row>
        <row r="466">
          <cell r="AW466">
            <v>-63.414190483179439</v>
          </cell>
          <cell r="AX466">
            <v>-175.36362759876459</v>
          </cell>
        </row>
        <row r="467">
          <cell r="AW467">
            <v>-63.89949175247996</v>
          </cell>
          <cell r="AX467">
            <v>-176.71832780846711</v>
          </cell>
        </row>
        <row r="468">
          <cell r="AW468">
            <v>-64.38651151258766</v>
          </cell>
          <cell r="AX468">
            <v>-178.05787782642469</v>
          </cell>
        </row>
        <row r="469">
          <cell r="AW469">
            <v>-64.87528051208659</v>
          </cell>
          <cell r="AX469">
            <v>-179.38213638990752</v>
          </cell>
        </row>
        <row r="470">
          <cell r="AW470">
            <v>-65.365827339414182</v>
          </cell>
          <cell r="AX470">
            <v>179.3090436830885</v>
          </cell>
        </row>
        <row r="471">
          <cell r="AW471">
            <v>-65.858178304216551</v>
          </cell>
          <cell r="AX471">
            <v>178.01581522737061</v>
          </cell>
        </row>
        <row r="472">
          <cell r="AW472">
            <v>-66.352357329061164</v>
          </cell>
          <cell r="AX472">
            <v>176.73833640095998</v>
          </cell>
        </row>
        <row r="473">
          <cell r="AW473">
            <v>-66.848385851937863</v>
          </cell>
          <cell r="AX473">
            <v>175.47677029635477</v>
          </cell>
        </row>
        <row r="474">
          <cell r="AW474">
            <v>-67.346282739925769</v>
          </cell>
          <cell r="AX474">
            <v>174.23128449712641</v>
          </cell>
        </row>
        <row r="475">
          <cell r="AW475">
            <v>-67.846064214334447</v>
          </cell>
          <cell r="AX475">
            <v>173.0020505848276</v>
          </cell>
        </row>
        <row r="476">
          <cell r="AW476">
            <v>-68.347743787560347</v>
          </cell>
          <cell r="AX476">
            <v>171.78924360156751</v>
          </cell>
        </row>
        <row r="477">
          <cell r="AW477">
            <v>-68.85133221182079</v>
          </cell>
          <cell r="AX477">
            <v>170.5930414740032</v>
          </cell>
        </row>
        <row r="478">
          <cell r="AW478">
            <v>-69.356837439843858</v>
          </cell>
          <cell r="AX478">
            <v>169.41362440472568</v>
          </cell>
        </row>
        <row r="479">
          <cell r="AW479">
            <v>-69.864264597516154</v>
          </cell>
          <cell r="AX479">
            <v>168.25117423726246</v>
          </cell>
        </row>
        <row r="480">
          <cell r="AW480">
            <v>-70.373615968397431</v>
          </cell>
          <cell r="AX480">
            <v>167.10587380101484</v>
          </cell>
        </row>
        <row r="481">
          <cell r="AW481">
            <v>-70.884890989927555</v>
          </cell>
          <cell r="AX481">
            <v>165.97790624250791</v>
          </cell>
        </row>
        <row r="482">
          <cell r="AW482">
            <v>-71.398086261065814</v>
          </cell>
          <cell r="AX482">
            <v>164.86745434929915</v>
          </cell>
        </row>
        <row r="483">
          <cell r="AW483">
            <v>-71.913195561017361</v>
          </cell>
          <cell r="AX483">
            <v>163.77469987277567</v>
          </cell>
        </row>
        <row r="484">
          <cell r="AW484">
            <v>-72.430209878621611</v>
          </cell>
          <cell r="AX484">
            <v>162.69982285590004</v>
          </cell>
        </row>
        <row r="485">
          <cell r="AW485">
            <v>-72.949117451902254</v>
          </cell>
          <cell r="AX485">
            <v>161.64300097169746</v>
          </cell>
        </row>
        <row r="486">
          <cell r="AW486">
            <v>-73.469903817206244</v>
          </cell>
          <cell r="AX486">
            <v>160.60440887797051</v>
          </cell>
        </row>
        <row r="487">
          <cell r="AW487">
            <v>-73.992551867298175</v>
          </cell>
          <cell r="AX487">
            <v>159.58421759334976</v>
          </cell>
        </row>
        <row r="488">
          <cell r="AW488">
            <v>-74.517041917718927</v>
          </cell>
          <cell r="AX488">
            <v>158.58259389935995</v>
          </cell>
        </row>
        <row r="489">
          <cell r="AW489">
            <v>-75.043351780668843</v>
          </cell>
          <cell r="AX489">
            <v>157.59969977271501</v>
          </cell>
        </row>
        <row r="490">
          <cell r="AW490">
            <v>-75.571456845641279</v>
          </cell>
          <cell r="AX490">
            <v>156.63569185155012</v>
          </cell>
        </row>
        <row r="491">
          <cell r="AW491">
            <v>-76.101330165996217</v>
          </cell>
          <cell r="AX491">
            <v>155.69072093876875</v>
          </cell>
        </row>
        <row r="492">
          <cell r="AW492">
            <v>-76.632942550650895</v>
          </cell>
          <cell r="AX492">
            <v>154.76493154513076</v>
          </cell>
        </row>
        <row r="493">
          <cell r="AW493">
            <v>-77.166262660049142</v>
          </cell>
          <cell r="AX493">
            <v>153.85846147416686</v>
          </cell>
        </row>
        <row r="494">
          <cell r="AW494">
            <v>-77.70125710557096</v>
          </cell>
          <cell r="AX494">
            <v>152.97144145042154</v>
          </cell>
        </row>
        <row r="495">
          <cell r="AW495">
            <v>-78.237890551551956</v>
          </cell>
          <cell r="AX495">
            <v>152.10399479201286</v>
          </cell>
        </row>
        <row r="496">
          <cell r="AW496">
            <v>-78.776125819100159</v>
          </cell>
          <cell r="AX496">
            <v>151.25623712792751</v>
          </cell>
        </row>
        <row r="497">
          <cell r="AW497">
            <v>-79.315923990919089</v>
          </cell>
          <cell r="AX497">
            <v>150.42827615998971</v>
          </cell>
        </row>
        <row r="498">
          <cell r="AW498">
            <v>-79.857244516378174</v>
          </cell>
          <cell r="AX498">
            <v>149.6202114689398</v>
          </cell>
        </row>
        <row r="499">
          <cell r="AW499">
            <v>-80.400045316112397</v>
          </cell>
          <cell r="AX499">
            <v>148.83213436361018</v>
          </cell>
        </row>
        <row r="500">
          <cell r="AW500">
            <v>-80.94428288547283</v>
          </cell>
          <cell r="AX500">
            <v>148.0641277717788</v>
          </cell>
        </row>
        <row r="501">
          <cell r="AW501">
            <v>-81.489912396200623</v>
          </cell>
          <cell r="AX501">
            <v>147.31626617089589</v>
          </cell>
        </row>
        <row r="502">
          <cell r="AW502">
            <v>-82.036887795746608</v>
          </cell>
          <cell r="AX502">
            <v>146.58861555655722</v>
          </cell>
        </row>
        <row r="503">
          <cell r="AW503">
            <v>-82.585161903719793</v>
          </cell>
          <cell r="AX503">
            <v>145.88123344629869</v>
          </cell>
        </row>
        <row r="504">
          <cell r="AW504">
            <v>-83.13468650499621</v>
          </cell>
          <cell r="AX504">
            <v>145.19416891604669</v>
          </cell>
        </row>
        <row r="505">
          <cell r="AW505">
            <v>-83.685412439087202</v>
          </cell>
          <cell r="AX505">
            <v>144.52746266635921</v>
          </cell>
        </row>
        <row r="506">
          <cell r="AW506">
            <v>-84.237289685422141</v>
          </cell>
          <cell r="AX506">
            <v>143.88114711543159</v>
          </cell>
        </row>
        <row r="507">
          <cell r="AW507">
            <v>-84.790267444254624</v>
          </cell>
          <cell r="AX507">
            <v>143.25524651572374</v>
          </cell>
        </row>
        <row r="508">
          <cell r="AW508">
            <v>-85.344294212971363</v>
          </cell>
          <cell r="AX508">
            <v>142.64977709099242</v>
          </cell>
        </row>
        <row r="509">
          <cell r="AW509">
            <v>-85.899317857626514</v>
          </cell>
          <cell r="AX509">
            <v>142.06474719047131</v>
          </cell>
        </row>
        <row r="510">
          <cell r="AW510">
            <v>-86.455285679590318</v>
          </cell>
          <cell r="AX510">
            <v>141.50015745693221</v>
          </cell>
        </row>
        <row r="511">
          <cell r="AW511">
            <v>-87.012144477246977</v>
          </cell>
          <cell r="AX511">
            <v>140.95600100539963</v>
          </cell>
        </row>
        <row r="512">
          <cell r="AW512">
            <v>-87.569840602729116</v>
          </cell>
          <cell r="AX512">
            <v>140.43226360933267</v>
          </cell>
        </row>
        <row r="513">
          <cell r="AW513">
            <v>-88.128320013726139</v>
          </cell>
          <cell r="AX513">
            <v>139.92892389118035</v>
          </cell>
        </row>
        <row r="514">
          <cell r="AW514">
            <v>-88.687528320442581</v>
          </cell>
          <cell r="AX514">
            <v>139.44595351432167</v>
          </cell>
        </row>
        <row r="515">
          <cell r="AW515">
            <v>-89.247410827831175</v>
          </cell>
          <cell r="AX515">
            <v>138.98331737351734</v>
          </cell>
        </row>
        <row r="516">
          <cell r="AW516">
            <v>-89.807912573256033</v>
          </cell>
          <cell r="AX516">
            <v>138.54097378115353</v>
          </cell>
        </row>
        <row r="517">
          <cell r="AW517">
            <v>-90.368978359782005</v>
          </cell>
          <cell r="AX517">
            <v>138.11887464670883</v>
          </cell>
        </row>
        <row r="518">
          <cell r="AW518">
            <v>-90.930552785315314</v>
          </cell>
          <cell r="AX518">
            <v>137.71696564704484</v>
          </cell>
        </row>
        <row r="519">
          <cell r="AW519">
            <v>-91.492580267848865</v>
          </cell>
          <cell r="AX519">
            <v>137.33518638530404</v>
          </cell>
        </row>
        <row r="520">
          <cell r="AW520">
            <v>-92.055005067092779</v>
          </cell>
          <cell r="AX520">
            <v>136.97347053637634</v>
          </cell>
        </row>
        <row r="521">
          <cell r="AW521">
            <v>-92.617771302791724</v>
          </cell>
          <cell r="AX521">
            <v>136.63174597710352</v>
          </cell>
        </row>
        <row r="522">
          <cell r="AW522">
            <v>-93.180822970051835</v>
          </cell>
          <cell r="AX522">
            <v>136.30993489957456</v>
          </cell>
        </row>
        <row r="523">
          <cell r="AW523">
            <v>-93.744103952015521</v>
          </cell>
          <cell r="AX523">
            <v>136.00795390607652</v>
          </cell>
        </row>
        <row r="524">
          <cell r="AW524">
            <v>-94.307558030238596</v>
          </cell>
          <cell r="AX524">
            <v>135.72571408446856</v>
          </cell>
        </row>
        <row r="525">
          <cell r="AW525">
            <v>-94.871128893135946</v>
          </cell>
          <cell r="AX525">
            <v>135.46312106294707</v>
          </cell>
        </row>
        <row r="526">
          <cell r="AW526">
            <v>-95.434760142870118</v>
          </cell>
          <cell r="AX526">
            <v>135.22007504339334</v>
          </cell>
        </row>
        <row r="527">
          <cell r="AW527">
            <v>-95.998395301068712</v>
          </cell>
          <cell r="AX527">
            <v>134.9964708126823</v>
          </cell>
        </row>
        <row r="528">
          <cell r="AW528">
            <v>-96.561977813758091</v>
          </cell>
          <cell r="AX528">
            <v>134.7921977315649</v>
          </cell>
        </row>
        <row r="529">
          <cell r="AW529">
            <v>-97.125451055905913</v>
          </cell>
          <cell r="AX529">
            <v>134.60713970092516</v>
          </cell>
        </row>
        <row r="530">
          <cell r="AW530">
            <v>-97.68875833596806</v>
          </cell>
          <cell r="AX530">
            <v>134.44117510544299</v>
          </cell>
        </row>
        <row r="531">
          <cell r="AW531">
            <v>-98.251842900832713</v>
          </cell>
          <cell r="AX531">
            <v>134.29417673488658</v>
          </cell>
        </row>
        <row r="532">
          <cell r="AW532">
            <v>-98.814647941554213</v>
          </cell>
          <cell r="AX532">
            <v>134.16601168348748</v>
          </cell>
        </row>
        <row r="533">
          <cell r="AW533">
            <v>-99.377116600261786</v>
          </cell>
          <cell r="AX533">
            <v>134.05654122804989</v>
          </cell>
        </row>
        <row r="534">
          <cell r="AW534">
            <v>-99.939191978625587</v>
          </cell>
          <cell r="AX534">
            <v>133.96562068566098</v>
          </cell>
        </row>
        <row r="535">
          <cell r="AW535">
            <v>-100.50081714825131</v>
          </cell>
          <cell r="AX535">
            <v>133.89309925208906</v>
          </cell>
        </row>
        <row r="536">
          <cell r="AW536">
            <v>-101.06193516336434</v>
          </cell>
          <cell r="AX536">
            <v>133.83881982215036</v>
          </cell>
        </row>
        <row r="537">
          <cell r="AW537">
            <v>-101.62248907613153</v>
          </cell>
          <cell r="AX537">
            <v>133.8026187935553</v>
          </cell>
        </row>
        <row r="538">
          <cell r="AW538">
            <v>-102.18242195495276</v>
          </cell>
          <cell r="AX538">
            <v>133.78432585593637</v>
          </cell>
        </row>
        <row r="539">
          <cell r="AW539">
            <v>-102.74167690603795</v>
          </cell>
          <cell r="AX539">
            <v>133.7837637669781</v>
          </cell>
        </row>
        <row r="540">
          <cell r="AW540">
            <v>-103.3001970985602</v>
          </cell>
          <cell r="AX540">
            <v>133.80074811776345</v>
          </cell>
        </row>
        <row r="541">
          <cell r="AW541">
            <v>-103.8579257936573</v>
          </cell>
          <cell r="AX541">
            <v>133.83508708965468</v>
          </cell>
        </row>
        <row r="542">
          <cell r="AW542">
            <v>-104.41480637752272</v>
          </cell>
          <cell r="AX542">
            <v>133.88658120521154</v>
          </cell>
        </row>
        <row r="543">
          <cell r="AW543">
            <v>-104.9707823988025</v>
          </cell>
          <cell r="AX543">
            <v>133.95502307583638</v>
          </cell>
        </row>
        <row r="544">
          <cell r="AW544">
            <v>-105.52579761047457</v>
          </cell>
          <cell r="AX544">
            <v>134.04019714900824</v>
          </cell>
        </row>
        <row r="545">
          <cell r="AW545">
            <v>-106.07979601635853</v>
          </cell>
          <cell r="AX545">
            <v>134.1418794581179</v>
          </cell>
        </row>
        <row r="546">
          <cell r="AW546">
            <v>-106.63272192236191</v>
          </cell>
          <cell r="AX546">
            <v>134.25983737807582</v>
          </cell>
        </row>
        <row r="547">
          <cell r="AW547">
            <v>-107.18451999252298</v>
          </cell>
          <cell r="AX547">
            <v>134.39382938997358</v>
          </cell>
        </row>
        <row r="548">
          <cell r="AW548">
            <v>-107.73513530987763</v>
          </cell>
          <cell r="AX548">
            <v>134.54360485819396</v>
          </cell>
        </row>
        <row r="549">
          <cell r="AW549">
            <v>-108.28451344210779</v>
          </cell>
          <cell r="AX549">
            <v>134.70890382344629</v>
          </cell>
        </row>
        <row r="550">
          <cell r="AW550">
            <v>-108.83260051190744</v>
          </cell>
          <cell r="AX550">
            <v>134.88945681524876</v>
          </cell>
        </row>
        <row r="551">
          <cell r="AW551">
            <v>-109.37934327192038</v>
          </cell>
          <cell r="AX551">
            <v>135.08498468741431</v>
          </cell>
        </row>
        <row r="552">
          <cell r="AW552">
            <v>-109.92468918407513</v>
          </cell>
          <cell r="AX552">
            <v>135.29519848007814</v>
          </cell>
        </row>
        <row r="553">
          <cell r="AW553">
            <v>-110.46858650306444</v>
          </cell>
          <cell r="AX553">
            <v>135.51979931176604</v>
          </cell>
        </row>
        <row r="554">
          <cell r="AW554">
            <v>-111.01098436367714</v>
          </cell>
          <cell r="AX554">
            <v>135.75847830492123</v>
          </cell>
        </row>
        <row r="555">
          <cell r="AW555">
            <v>-111.55183287162139</v>
          </cell>
          <cell r="AX555">
            <v>136.0109165481712</v>
          </cell>
        </row>
        <row r="556">
          <cell r="AW556">
            <v>-112.09108319742973</v>
          </cell>
          <cell r="AX556">
            <v>136.27678509847431</v>
          </cell>
        </row>
        <row r="557">
          <cell r="AW557">
            <v>-112.6286876729755</v>
          </cell>
          <cell r="AX557">
            <v>136.55574502605091</v>
          </cell>
        </row>
        <row r="558">
          <cell r="AW558">
            <v>-113.16459989007713</v>
          </cell>
          <cell r="AX558">
            <v>136.84744750477211</v>
          </cell>
        </row>
        <row r="559">
          <cell r="AW559">
            <v>-113.69877480062038</v>
          </cell>
          <cell r="AX559">
            <v>137.15153395037183</v>
          </cell>
        </row>
        <row r="560">
          <cell r="AW560">
            <v>-114.23116881757814</v>
          </cell>
          <cell r="AX560">
            <v>137.46763620851402</v>
          </cell>
        </row>
      </sheetData>
      <sheetData sheetId="4">
        <row r="9">
          <cell r="AT9">
            <v>-64.369288453432233</v>
          </cell>
        </row>
        <row r="10">
          <cell r="AT10">
            <v>-128.12685333440976</v>
          </cell>
        </row>
        <row r="11">
          <cell r="AT11">
            <v>39.24293813219839</v>
          </cell>
        </row>
        <row r="12">
          <cell r="AT12">
            <v>-22.859504447188144</v>
          </cell>
        </row>
        <row r="17">
          <cell r="B17">
            <v>8.5</v>
          </cell>
        </row>
        <row r="19">
          <cell r="AT19">
            <v>56.312243067685259</v>
          </cell>
          <cell r="AU19">
            <v>79.192504646164977</v>
          </cell>
        </row>
        <row r="20">
          <cell r="AT20">
            <v>56.104792248613464</v>
          </cell>
          <cell r="AU20">
            <v>78.947239826972677</v>
          </cell>
        </row>
        <row r="21">
          <cell r="AT21">
            <v>55.897003970765738</v>
          </cell>
          <cell r="AU21">
            <v>78.696710450116399</v>
          </cell>
        </row>
        <row r="22">
          <cell r="AT22">
            <v>55.688863596957923</v>
          </cell>
          <cell r="AU22">
            <v>78.440824235287678</v>
          </cell>
        </row>
        <row r="23">
          <cell r="AT23">
            <v>55.480355914761603</v>
          </cell>
          <cell r="AU23">
            <v>78.179488723608713</v>
          </cell>
        </row>
        <row r="24">
          <cell r="AT24">
            <v>55.271465119383414</v>
          </cell>
          <cell r="AU24">
            <v>77.912611391852366</v>
          </cell>
        </row>
        <row r="25">
          <cell r="AT25">
            <v>55.062174796557215</v>
          </cell>
          <cell r="AU25">
            <v>77.640099775324202</v>
          </cell>
        </row>
        <row r="26">
          <cell r="AT26">
            <v>54.852467905507083</v>
          </cell>
          <cell r="AU26">
            <v>77.361861599780113</v>
          </cell>
        </row>
        <row r="27">
          <cell r="AT27">
            <v>54.642326762049755</v>
          </cell>
          <cell r="AU27">
            <v>77.077804922751753</v>
          </cell>
        </row>
        <row r="28">
          <cell r="AT28">
            <v>54.431733021908421</v>
          </cell>
          <cell r="AU28">
            <v>76.787838284649794</v>
          </cell>
        </row>
        <row r="29">
          <cell r="AT29">
            <v>54.220667664318754</v>
          </cell>
          <cell r="AU29">
            <v>76.491870869999829</v>
          </cell>
        </row>
        <row r="30">
          <cell r="AT30">
            <v>54.009110976013162</v>
          </cell>
          <cell r="AU30">
            <v>76.189812679161705</v>
          </cell>
        </row>
        <row r="31">
          <cell r="AT31">
            <v>53.797042535678905</v>
          </cell>
          <cell r="AU31">
            <v>75.881574710858473</v>
          </cell>
        </row>
        <row r="32">
          <cell r="AT32">
            <v>53.584441198992316</v>
          </cell>
          <cell r="AU32">
            <v>75.567069155828975</v>
          </cell>
        </row>
        <row r="33">
          <cell r="AT33">
            <v>53.371285084338346</v>
          </cell>
          <cell r="AU33">
            <v>75.246209601885354</v>
          </cell>
        </row>
        <row r="34">
          <cell r="AT34">
            <v>53.157551559336291</v>
          </cell>
          <cell r="AU34">
            <v>74.918911250634309</v>
          </cell>
        </row>
        <row r="35">
          <cell r="AT35">
            <v>52.943217228295794</v>
          </cell>
          <cell r="AU35">
            <v>74.585091146078113</v>
          </cell>
        </row>
        <row r="36">
          <cell r="AT36">
            <v>52.728257920740646</v>
          </cell>
          <cell r="AU36">
            <v>74.244668415276436</v>
          </cell>
        </row>
        <row r="37">
          <cell r="AT37">
            <v>52.512648681143041</v>
          </cell>
          <cell r="AU37">
            <v>73.897564521195193</v>
          </cell>
        </row>
        <row r="38">
          <cell r="AT38">
            <v>52.296363760020554</v>
          </cell>
          <cell r="AU38">
            <v>73.54370352782135</v>
          </cell>
        </row>
        <row r="39">
          <cell r="AT39">
            <v>52.07937660655621</v>
          </cell>
          <cell r="AU39">
            <v>73.183012377554235</v>
          </cell>
        </row>
        <row r="40">
          <cell r="B40">
            <v>0.45454545454545453</v>
          </cell>
          <cell r="AT40">
            <v>51.861659862910926</v>
          </cell>
          <cell r="AU40">
            <v>72.815421180817495</v>
          </cell>
        </row>
        <row r="41">
          <cell r="AT41">
            <v>51.643185360402278</v>
          </cell>
          <cell r="AU41">
            <v>72.440863517756824</v>
          </cell>
        </row>
        <row r="42">
          <cell r="AT42">
            <v>51.423924117735559</v>
          </cell>
          <cell r="AU42">
            <v>72.059276751805982</v>
          </cell>
        </row>
        <row r="43">
          <cell r="AT43">
            <v>51.203846341473842</v>
          </cell>
          <cell r="AU43">
            <v>71.670602354804643</v>
          </cell>
        </row>
        <row r="44">
          <cell r="AT44">
            <v>50.982921428945147</v>
          </cell>
          <cell r="AU44">
            <v>71.274786243250063</v>
          </cell>
        </row>
        <row r="45">
          <cell r="AT45">
            <v>50.761117973785133</v>
          </cell>
          <cell r="AU45">
            <v>70.871779125160089</v>
          </cell>
        </row>
        <row r="46">
          <cell r="AT46">
            <v>50.538403774319647</v>
          </cell>
          <cell r="AU46">
            <v>70.461536856892081</v>
          </cell>
        </row>
        <row r="47">
          <cell r="AT47">
            <v>50.314745844993794</v>
          </cell>
          <cell r="AU47">
            <v>70.044020809145636</v>
          </cell>
        </row>
        <row r="48">
          <cell r="AT48">
            <v>50.090110431054015</v>
          </cell>
          <cell r="AU48">
            <v>69.619198241235409</v>
          </cell>
        </row>
        <row r="49">
          <cell r="AT49">
            <v>49.864463026689393</v>
          </cell>
          <cell r="AU49">
            <v>69.187042682575125</v>
          </cell>
        </row>
        <row r="50">
          <cell r="AT50">
            <v>49.637768396835028</v>
          </cell>
          <cell r="AU50">
            <v>68.747534320166821</v>
          </cell>
        </row>
        <row r="51">
          <cell r="AT51">
            <v>49.409990602837091</v>
          </cell>
          <cell r="AU51">
            <v>68.300660390730982</v>
          </cell>
        </row>
        <row r="52">
          <cell r="AT52">
            <v>49.181093032168491</v>
          </cell>
          <cell r="AU52">
            <v>67.846415575946594</v>
          </cell>
        </row>
        <row r="53">
          <cell r="B53">
            <v>2.9298245614035086</v>
          </cell>
          <cell r="AT53">
            <v>48.951038432378063</v>
          </cell>
          <cell r="AU53">
            <v>67.3848023991155</v>
          </cell>
        </row>
        <row r="54">
          <cell r="AT54">
            <v>48.719788949439398</v>
          </cell>
          <cell r="AU54">
            <v>66.915831621383845</v>
          </cell>
        </row>
        <row r="55">
          <cell r="AT55">
            <v>48.487306170654769</v>
          </cell>
          <cell r="AU55">
            <v>66.439522635499799</v>
          </cell>
        </row>
        <row r="56">
          <cell r="AT56">
            <v>48.253551172244933</v>
          </cell>
          <cell r="AU56">
            <v>65.955903854906538</v>
          </cell>
        </row>
        <row r="57">
          <cell r="AT57">
            <v>48.018484571738753</v>
          </cell>
          <cell r="AU57">
            <v>65.465013095819657</v>
          </cell>
        </row>
        <row r="58">
          <cell r="AT58">
            <v>47.78206658524855</v>
          </cell>
          <cell r="AU58">
            <v>64.96689794977209</v>
          </cell>
        </row>
        <row r="59">
          <cell r="AT59">
            <v>47.544257089688458</v>
          </cell>
          <cell r="AU59">
            <v>64.461616143970645</v>
          </cell>
        </row>
        <row r="60">
          <cell r="AT60">
            <v>47.305015689962033</v>
          </cell>
          <cell r="AU60">
            <v>63.949235886668809</v>
          </cell>
        </row>
        <row r="61">
          <cell r="AT61">
            <v>47.064301791107958</v>
          </cell>
          <cell r="AU61">
            <v>63.429836194641979</v>
          </cell>
        </row>
        <row r="62">
          <cell r="AT62">
            <v>46.82207467535595</v>
          </cell>
          <cell r="AU62">
            <v>62.903507199753022</v>
          </cell>
        </row>
        <row r="63">
          <cell r="AT63">
            <v>46.578293584001422</v>
          </cell>
          <cell r="AU63">
            <v>62.370350431513678</v>
          </cell>
        </row>
        <row r="64">
          <cell r="AT64">
            <v>46.332917803962339</v>
          </cell>
          <cell r="AU64">
            <v>61.830479072494363</v>
          </cell>
        </row>
        <row r="65">
          <cell r="AT65">
            <v>46.085906758835804</v>
          </cell>
          <cell r="AU65">
            <v>61.28401818340992</v>
          </cell>
        </row>
        <row r="66">
          <cell r="AT66">
            <v>45.837220104220755</v>
          </cell>
          <cell r="AU66">
            <v>60.731104894713823</v>
          </cell>
        </row>
        <row r="67">
          <cell r="AT67">
            <v>45.586817827022436</v>
          </cell>
          <cell r="AU67">
            <v>60.17188856157496</v>
          </cell>
        </row>
        <row r="68">
          <cell r="AT68">
            <v>45.334660348401812</v>
          </cell>
          <cell r="AU68">
            <v>59.606530879183609</v>
          </cell>
        </row>
        <row r="69">
          <cell r="AT69">
            <v>45.080708629979526</v>
          </cell>
          <cell r="AU69">
            <v>59.035205955461159</v>
          </cell>
        </row>
        <row r="70">
          <cell r="AT70">
            <v>44.824924282852159</v>
          </cell>
          <cell r="AU70">
            <v>58.458100338394765</v>
          </cell>
        </row>
        <row r="71">
          <cell r="AT71">
            <v>44.567269678925371</v>
          </cell>
          <cell r="AU71">
            <v>57.875412995424981</v>
          </cell>
        </row>
        <row r="72">
          <cell r="AT72">
            <v>44.307708064019764</v>
          </cell>
          <cell r="AU72">
            <v>57.287355242560594</v>
          </cell>
        </row>
        <row r="73">
          <cell r="AT73">
            <v>44.04620367215648</v>
          </cell>
          <cell r="AU73">
            <v>56.694150621180654</v>
          </cell>
        </row>
        <row r="74">
          <cell r="AT74">
            <v>43.782721840386913</v>
          </cell>
          <cell r="AU74">
            <v>56.09603472081178</v>
          </cell>
        </row>
        <row r="75">
          <cell r="AT75">
            <v>43.517229123490758</v>
          </cell>
          <cell r="AU75">
            <v>55.493254946544575</v>
          </cell>
        </row>
        <row r="76">
          <cell r="AT76">
            <v>43.249693407832481</v>
          </cell>
          <cell r="AU76">
            <v>54.886070230157848</v>
          </cell>
        </row>
        <row r="77">
          <cell r="AT77">
            <v>42.98008402363898</v>
          </cell>
          <cell r="AU77">
            <v>54.274750684467712</v>
          </cell>
        </row>
        <row r="78">
          <cell r="AT78">
            <v>42.708371854939571</v>
          </cell>
          <cell r="AU78">
            <v>53.659577200885515</v>
          </cell>
        </row>
        <row r="79">
          <cell r="AT79">
            <v>42.434529446398415</v>
          </cell>
          <cell r="AU79">
            <v>53.040840990675662</v>
          </cell>
        </row>
        <row r="80">
          <cell r="AT80">
            <v>42.158531106261051</v>
          </cell>
          <cell r="AU80">
            <v>52.418843070913198</v>
          </cell>
        </row>
        <row r="81">
          <cell r="AT81">
            <v>41.880353004645727</v>
          </cell>
          <cell r="AU81">
            <v>51.793893696678502</v>
          </cell>
        </row>
        <row r="82">
          <cell r="AT82">
            <v>41.599973266420491</v>
          </cell>
          <cell r="AU82">
            <v>51.166311741553201</v>
          </cell>
        </row>
        <row r="83">
          <cell r="AT83">
            <v>41.317372057931117</v>
          </cell>
          <cell r="AU83">
            <v>50.536424029015933</v>
          </cell>
        </row>
        <row r="84">
          <cell r="AT84">
            <v>41.032531666879294</v>
          </cell>
          <cell r="AU84">
            <v>49.904564617852529</v>
          </cell>
        </row>
        <row r="85">
          <cell r="AT85">
            <v>40.745436574689904</v>
          </cell>
          <cell r="AU85">
            <v>49.271074045196954</v>
          </cell>
        </row>
        <row r="86">
          <cell r="AT86">
            <v>40.456073520760178</v>
          </cell>
          <cell r="AU86">
            <v>48.636298531281433</v>
          </cell>
        </row>
        <row r="87">
          <cell r="AT87">
            <v>40.164431558042928</v>
          </cell>
          <cell r="AU87">
            <v>48.000589150416253</v>
          </cell>
        </row>
        <row r="88">
          <cell r="AT88">
            <v>39.870502099482977</v>
          </cell>
          <cell r="AU88">
            <v>47.364300973102516</v>
          </cell>
        </row>
        <row r="89">
          <cell r="AT89">
            <v>39.574278954902347</v>
          </cell>
          <cell r="AU89">
            <v>46.727792184516694</v>
          </cell>
        </row>
        <row r="90">
          <cell r="AT90">
            <v>39.275758358010883</v>
          </cell>
          <cell r="AU90">
            <v>46.091423184890218</v>
          </cell>
        </row>
        <row r="91">
          <cell r="AT91">
            <v>38.974938983303872</v>
          </cell>
          <cell r="AU91">
            <v>45.45555567752028</v>
          </cell>
        </row>
        <row r="92">
          <cell r="AT92">
            <v>38.671821952699119</v>
          </cell>
          <cell r="AU92">
            <v>44.820551750295678</v>
          </cell>
        </row>
        <row r="93">
          <cell r="AT93">
            <v>38.366410831858296</v>
          </cell>
          <cell r="AU93">
            <v>44.186772956704139</v>
          </cell>
        </row>
        <row r="94">
          <cell r="AT94">
            <v>38.058711616228493</v>
          </cell>
          <cell r="AU94">
            <v>43.554579402296184</v>
          </cell>
        </row>
        <row r="95">
          <cell r="AT95">
            <v>37.74873270693336</v>
          </cell>
          <cell r="AU95">
            <v>42.924328842508459</v>
          </cell>
        </row>
        <row r="96">
          <cell r="AT96">
            <v>37.436484876735229</v>
          </cell>
          <cell r="AU96">
            <v>42.296375797630454</v>
          </cell>
        </row>
        <row r="97">
          <cell r="AT97">
            <v>37.121981226372206</v>
          </cell>
          <cell r="AU97">
            <v>41.67107069047816</v>
          </cell>
        </row>
        <row r="98">
          <cell r="AT98">
            <v>36.805237131662018</v>
          </cell>
          <cell r="AU98">
            <v>41.048759012091708</v>
          </cell>
        </row>
        <row r="99">
          <cell r="AT99">
            <v>36.486270181836133</v>
          </cell>
          <cell r="AU99">
            <v>40.429780520433397</v>
          </cell>
        </row>
        <row r="100">
          <cell r="AT100">
            <v>36.165100109641273</v>
          </cell>
          <cell r="AU100">
            <v>39.81446847669082</v>
          </cell>
        </row>
        <row r="101">
          <cell r="AT101">
            <v>35.84174871380322</v>
          </cell>
          <cell r="AU101">
            <v>39.203148923372233</v>
          </cell>
        </row>
        <row r="102">
          <cell r="AT102">
            <v>35.516239774507056</v>
          </cell>
          <cell r="AU102">
            <v>38.596140007909852</v>
          </cell>
        </row>
        <row r="103">
          <cell r="AT103">
            <v>35.188598962584628</v>
          </cell>
          <cell r="AU103">
            <v>37.993751354994032</v>
          </cell>
        </row>
        <row r="104">
          <cell r="AT104">
            <v>34.858853743142937</v>
          </cell>
          <cell r="AU104">
            <v>37.396283490358826</v>
          </cell>
        </row>
        <row r="105">
          <cell r="AT105">
            <v>34.527033274386021</v>
          </cell>
          <cell r="AU105">
            <v>36.804027318194578</v>
          </cell>
        </row>
        <row r="106">
          <cell r="AT106">
            <v>34.193168302403173</v>
          </cell>
          <cell r="AU106">
            <v>36.217263653841137</v>
          </cell>
        </row>
        <row r="107">
          <cell r="AT107">
            <v>33.857291052699914</v>
          </cell>
          <cell r="AU107">
            <v>35.636262812884667</v>
          </cell>
        </row>
        <row r="108">
          <cell r="AT108">
            <v>33.519435119247177</v>
          </cell>
          <cell r="AU108">
            <v>35.061284257245276</v>
          </cell>
        </row>
        <row r="109">
          <cell r="AT109">
            <v>33.179635351811797</v>
          </cell>
          <cell r="AU109">
            <v>34.492576298362756</v>
          </cell>
        </row>
        <row r="110">
          <cell r="AT110">
            <v>32.837927742313887</v>
          </cell>
          <cell r="AU110">
            <v>33.930375857089629</v>
          </cell>
        </row>
        <row r="111">
          <cell r="AT111">
            <v>32.494349310927703</v>
          </cell>
          <cell r="AU111">
            <v>33.374908279453962</v>
          </cell>
        </row>
        <row r="112">
          <cell r="AT112">
            <v>32.148937992613895</v>
          </cell>
          <cell r="AU112">
            <v>32.826387207046835</v>
          </cell>
        </row>
        <row r="113">
          <cell r="AT113">
            <v>31.801732524727555</v>
          </cell>
          <cell r="AU113">
            <v>32.285014500392151</v>
          </cell>
        </row>
        <row r="114">
          <cell r="AT114">
            <v>31.452772336308627</v>
          </cell>
          <cell r="AU114">
            <v>31.750980213335893</v>
          </cell>
        </row>
        <row r="115">
          <cell r="AT115">
            <v>31.102097439611953</v>
          </cell>
          <cell r="AU115">
            <v>31.224462616179636</v>
          </cell>
        </row>
        <row r="116">
          <cell r="AT116">
            <v>30.749748324383134</v>
          </cell>
          <cell r="AU116">
            <v>30.705628265037181</v>
          </cell>
        </row>
        <row r="117">
          <cell r="AT117">
            <v>30.39576585534034</v>
          </cell>
          <cell r="AU117">
            <v>30.194632114679219</v>
          </cell>
        </row>
        <row r="118">
          <cell r="AT118">
            <v>30.040191173262208</v>
          </cell>
          <cell r="AU118">
            <v>29.691617671961911</v>
          </cell>
        </row>
        <row r="119">
          <cell r="AT119">
            <v>29.683065600035668</v>
          </cell>
          <cell r="AU119">
            <v>29.196717186815334</v>
          </cell>
        </row>
        <row r="120">
          <cell r="AT120">
            <v>29.324430547961072</v>
          </cell>
          <cell r="AU120">
            <v>28.710051877669006</v>
          </cell>
        </row>
        <row r="121">
          <cell r="AT121">
            <v>28.964327433560996</v>
          </cell>
          <cell r="AU121">
            <v>28.231732188157523</v>
          </cell>
        </row>
        <row r="122">
          <cell r="AT122">
            <v>28.602797596090266</v>
          </cell>
          <cell r="AU122">
            <v>27.761858071925271</v>
          </cell>
        </row>
        <row r="123">
          <cell r="AT123">
            <v>28.239882220896199</v>
          </cell>
          <cell r="AU123">
            <v>27.300519302374688</v>
          </cell>
        </row>
        <row r="124">
          <cell r="AT124">
            <v>27.875622267731387</v>
          </cell>
          <cell r="AU124">
            <v>26.847795804242995</v>
          </cell>
        </row>
        <row r="125">
          <cell r="AT125">
            <v>27.510058404082205</v>
          </cell>
          <cell r="AU125">
            <v>26.403758003973863</v>
          </cell>
        </row>
        <row r="126">
          <cell r="AT126">
            <v>27.143230943531613</v>
          </cell>
          <cell r="AU126">
            <v>25.96846719594382</v>
          </cell>
        </row>
        <row r="127">
          <cell r="AT127">
            <v>26.775179789144843</v>
          </cell>
          <cell r="AU127">
            <v>25.541975921711852</v>
          </cell>
        </row>
        <row r="128">
          <cell r="AT128">
            <v>26.405944381826934</v>
          </cell>
          <cell r="AU128">
            <v>25.124328359602949</v>
          </cell>
        </row>
        <row r="129">
          <cell r="AT129">
            <v>26.035563653578496</v>
          </cell>
          <cell r="AU129">
            <v>24.715560722071203</v>
          </cell>
        </row>
        <row r="130">
          <cell r="AT130">
            <v>25.66407598554353</v>
          </cell>
          <cell r="AU130">
            <v>24.315701658445427</v>
          </cell>
        </row>
        <row r="131">
          <cell r="AT131">
            <v>25.291519170726573</v>
          </cell>
          <cell r="AU131">
            <v>23.924772660819681</v>
          </cell>
        </row>
        <row r="132">
          <cell r="AT132">
            <v>24.917930381232072</v>
          </cell>
          <cell r="AU132">
            <v>23.542788471015047</v>
          </cell>
        </row>
        <row r="133">
          <cell r="AT133">
            <v>24.5433461398666</v>
          </cell>
          <cell r="AU133">
            <v>23.169757486709848</v>
          </cell>
        </row>
        <row r="134">
          <cell r="AT134">
            <v>24.167802295927853</v>
          </cell>
          <cell r="AU134">
            <v>22.805682164997183</v>
          </cell>
        </row>
        <row r="135">
          <cell r="AT135">
            <v>23.791334004998312</v>
          </cell>
          <cell r="AU135">
            <v>22.450559421796751</v>
          </cell>
        </row>
        <row r="136">
          <cell r="AT136">
            <v>23.413975712547707</v>
          </cell>
          <cell r="AU136">
            <v>22.104381025710964</v>
          </cell>
        </row>
        <row r="137">
          <cell r="AT137">
            <v>23.035761141150203</v>
          </cell>
          <cell r="AU137">
            <v>21.767133985068483</v>
          </cell>
        </row>
        <row r="138">
          <cell r="AT138">
            <v>22.65672328111313</v>
          </cell>
          <cell r="AU138">
            <v>21.438800927055016</v>
          </cell>
        </row>
        <row r="139">
          <cell r="AT139">
            <v>22.27689438431603</v>
          </cell>
          <cell r="AU139">
            <v>21.119360467966274</v>
          </cell>
        </row>
        <row r="140">
          <cell r="AT140">
            <v>21.896305961057699</v>
          </cell>
          <cell r="AU140">
            <v>20.808787573768907</v>
          </cell>
        </row>
        <row r="141">
          <cell r="AT141">
            <v>21.514988779714329</v>
          </cell>
          <cell r="AU141">
            <v>20.507053910268031</v>
          </cell>
        </row>
        <row r="142">
          <cell r="AT142">
            <v>21.132972869010594</v>
          </cell>
          <cell r="AU142">
            <v>20.214128182311946</v>
          </cell>
        </row>
        <row r="143">
          <cell r="AT143">
            <v>20.750287522713663</v>
          </cell>
          <cell r="AU143">
            <v>19.929976461571588</v>
          </cell>
        </row>
        <row r="144">
          <cell r="AT144">
            <v>20.366961306565976</v>
          </cell>
          <cell r="AU144">
            <v>19.654562502534716</v>
          </cell>
        </row>
        <row r="145">
          <cell r="AT145">
            <v>19.983022067275709</v>
          </cell>
          <cell r="AU145">
            <v>19.387848046450845</v>
          </cell>
        </row>
        <row r="146">
          <cell r="AT146">
            <v>19.598496943396512</v>
          </cell>
          <cell r="AU146">
            <v>19.129793113047256</v>
          </cell>
        </row>
        <row r="147">
          <cell r="AT147">
            <v>19.21341237793062</v>
          </cell>
          <cell r="AU147">
            <v>18.880356279913222</v>
          </cell>
        </row>
        <row r="148">
          <cell r="AT148">
            <v>18.827794132499662</v>
          </cell>
          <cell r="AU148">
            <v>18.639494949519474</v>
          </cell>
        </row>
        <row r="149">
          <cell r="AT149">
            <v>18.441667302937276</v>
          </cell>
          <cell r="AU149">
            <v>18.407165603901145</v>
          </cell>
        </row>
        <row r="150">
          <cell r="AT150">
            <v>18.055056336164231</v>
          </cell>
          <cell r="AU150">
            <v>18.183324047084245</v>
          </cell>
        </row>
        <row r="151">
          <cell r="AT151">
            <v>17.667985048215243</v>
          </cell>
          <cell r="AU151">
            <v>17.96792563538499</v>
          </cell>
        </row>
        <row r="152">
          <cell r="AT152">
            <v>17.280476643296897</v>
          </cell>
          <cell r="AU152">
            <v>17.760925495748594</v>
          </cell>
        </row>
        <row r="153">
          <cell r="AT153">
            <v>16.892553733763489</v>
          </cell>
          <cell r="AU153">
            <v>17.562278732328622</v>
          </cell>
        </row>
        <row r="154">
          <cell r="AT154">
            <v>16.504238360905976</v>
          </cell>
          <cell r="AU154">
            <v>17.371940621538492</v>
          </cell>
        </row>
        <row r="155">
          <cell r="AT155">
            <v>16.115552016457318</v>
          </cell>
          <cell r="AU155">
            <v>17.189866795822493</v>
          </cell>
        </row>
        <row r="156">
          <cell r="AT156">
            <v>15.726515664727014</v>
          </cell>
          <cell r="AU156">
            <v>17.016013416418556</v>
          </cell>
        </row>
        <row r="157">
          <cell r="AT157">
            <v>15.337149765282319</v>
          </cell>
          <cell r="AU157">
            <v>16.850337335393096</v>
          </cell>
        </row>
        <row r="158">
          <cell r="AT158">
            <v>14.947474296103486</v>
          </cell>
          <cell r="AU158">
            <v>16.692796247237155</v>
          </cell>
        </row>
        <row r="159">
          <cell r="AT159">
            <v>14.557508777146989</v>
          </cell>
          <cell r="AU159">
            <v>16.543348830319836</v>
          </cell>
        </row>
        <row r="160">
          <cell r="AT160">
            <v>14.167272294255362</v>
          </cell>
          <cell r="AU160">
            <v>16.40195487849557</v>
          </cell>
        </row>
        <row r="161">
          <cell r="AT161">
            <v>13.77678352336256</v>
          </cell>
          <cell r="AU161">
            <v>16.268575423156868</v>
          </cell>
        </row>
        <row r="162">
          <cell r="AT162">
            <v>13.386060754945088</v>
          </cell>
          <cell r="AU162">
            <v>16.143172846025593</v>
          </cell>
        </row>
        <row r="163">
          <cell r="AT163">
            <v>12.995121918677718</v>
          </cell>
          <cell r="AU163">
            <v>16.025710982961566</v>
          </cell>
        </row>
        <row r="164">
          <cell r="AT164">
            <v>12.603984608257308</v>
          </cell>
          <cell r="AU164">
            <v>15.916155219065651</v>
          </cell>
        </row>
        <row r="165">
          <cell r="AT165">
            <v>12.212666106362786</v>
          </cell>
          <cell r="AU165">
            <v>15.814472575333314</v>
          </cell>
        </row>
        <row r="166">
          <cell r="AT166">
            <v>11.821183409723288</v>
          </cell>
          <cell r="AU166">
            <v>15.720631787112071</v>
          </cell>
        </row>
        <row r="167">
          <cell r="AT167">
            <v>11.42955325427083</v>
          </cell>
          <cell r="AU167">
            <v>15.634603374592844</v>
          </cell>
        </row>
        <row r="168">
          <cell r="AT168">
            <v>11.037792140359766</v>
          </cell>
          <cell r="AU168">
            <v>15.556359705555217</v>
          </cell>
        </row>
        <row r="169">
          <cell r="AT169">
            <v>10.645916358033265</v>
          </cell>
          <cell r="AU169">
            <v>15.485875050563182</v>
          </cell>
        </row>
        <row r="170">
          <cell r="AT170">
            <v>10.253942012327128</v>
          </cell>
          <cell r="AU170">
            <v>15.423125630797244</v>
          </cell>
        </row>
        <row r="171">
          <cell r="AT171">
            <v>9.8618850485980154</v>
          </cell>
          <cell r="AU171">
            <v>15.368089658682889</v>
          </cell>
        </row>
        <row r="172">
          <cell r="AT172">
            <v>9.4697612778677573</v>
          </cell>
          <cell r="AU172">
            <v>15.320747371457944</v>
          </cell>
        </row>
        <row r="173">
          <cell r="AT173">
            <v>9.0775864021792803</v>
          </cell>
          <cell r="AU173">
            <v>15.281081057802641</v>
          </cell>
        </row>
        <row r="174">
          <cell r="AT174">
            <v>8.6853760399569282</v>
          </cell>
          <cell r="AU174">
            <v>15.249075077632211</v>
          </cell>
        </row>
        <row r="175">
          <cell r="AT175">
            <v>8.2931457513702327</v>
          </cell>
          <cell r="AU175">
            <v>15.224715875131514</v>
          </cell>
        </row>
        <row r="176">
          <cell r="AT176">
            <v>7.9009110636967916</v>
          </cell>
          <cell r="AU176">
            <v>15.207991985090928</v>
          </cell>
        </row>
        <row r="177">
          <cell r="AT177">
            <v>7.5086874966840469</v>
          </cell>
          <cell r="AU177">
            <v>15.19889403257713</v>
          </cell>
        </row>
        <row r="178">
          <cell r="AT178">
            <v>7.1164905879078031</v>
          </cell>
          <cell r="AU178">
            <v>15.197414725955085</v>
          </cell>
        </row>
        <row r="179">
          <cell r="AT179">
            <v>6.7243359181271636</v>
          </cell>
          <cell r="AU179">
            <v>15.203548843250337</v>
          </cell>
        </row>
        <row r="180">
          <cell r="AT180">
            <v>6.3322391366337039</v>
          </cell>
          <cell r="AU180">
            <v>15.217293211822671</v>
          </cell>
        </row>
        <row r="181">
          <cell r="AT181">
            <v>5.9402159865929747</v>
          </cell>
          <cell r="AU181">
            <v>15.238646681297606</v>
          </cell>
        </row>
        <row r="182">
          <cell r="AT182">
            <v>5.5482823303762219</v>
          </cell>
          <cell r="AU182">
            <v>15.267610089681071</v>
          </cell>
        </row>
        <row r="183">
          <cell r="AT183">
            <v>5.1564541748768722</v>
          </cell>
          <cell r="AU183">
            <v>15.30418622256175</v>
          </cell>
        </row>
        <row r="184">
          <cell r="AT184">
            <v>4.7647476968082465</v>
          </cell>
          <cell r="AU184">
            <v>15.348379765282278</v>
          </cell>
        </row>
        <row r="185">
          <cell r="AT185">
            <v>4.373179267972727</v>
          </cell>
          <cell r="AU185">
            <v>15.400197247942296</v>
          </cell>
        </row>
        <row r="186">
          <cell r="AT186">
            <v>3.9817654804943454</v>
          </cell>
          <cell r="AU186">
            <v>15.459646983074387</v>
          </cell>
        </row>
        <row r="187">
          <cell r="AT187">
            <v>3.590523172002718</v>
          </cell>
          <cell r="AU187">
            <v>15.526738995813808</v>
          </cell>
        </row>
        <row r="188">
          <cell r="AT188">
            <v>3.1994694507521193</v>
          </cell>
          <cell r="AU188">
            <v>15.601484946366586</v>
          </cell>
        </row>
        <row r="189">
          <cell r="AT189">
            <v>2.8086217206586044</v>
          </cell>
          <cell r="AU189">
            <v>15.683898044560829</v>
          </cell>
        </row>
        <row r="190">
          <cell r="AT190">
            <v>2.4179977062334408</v>
          </cell>
          <cell r="AU190">
            <v>15.773992956248728</v>
          </cell>
        </row>
        <row r="191">
          <cell r="AT191">
            <v>2.0276154773863069</v>
          </cell>
          <cell r="AU191">
            <v>15.871785701314332</v>
          </cell>
        </row>
        <row r="192">
          <cell r="AT192">
            <v>1.6374934740687253</v>
          </cell>
          <cell r="AU192">
            <v>15.977293543024389</v>
          </cell>
        </row>
        <row r="193">
          <cell r="AT193">
            <v>1.2476505307243111</v>
          </cell>
          <cell r="AU193">
            <v>16.090534868450856</v>
          </cell>
        </row>
        <row r="194">
          <cell r="AT194">
            <v>0.85810590050330871</v>
          </cell>
          <cell r="AU194">
            <v>16.211529059679226</v>
          </cell>
        </row>
        <row r="195">
          <cell r="AT195">
            <v>0.46887927919940664</v>
          </cell>
          <cell r="AU195">
            <v>16.340296355513313</v>
          </cell>
        </row>
        <row r="196">
          <cell r="AT196">
            <v>7.9990828856415286E-2</v>
          </cell>
          <cell r="AU196">
            <v>16.476857703376258</v>
          </cell>
        </row>
        <row r="197">
          <cell r="AT197">
            <v>-0.30853879901269049</v>
          </cell>
          <cell r="AU197">
            <v>16.621234601108078</v>
          </cell>
        </row>
        <row r="198">
          <cell r="AT198">
            <v>-0.69668844065627744</v>
          </cell>
          <cell r="AU198">
            <v>16.773448928357663</v>
          </cell>
        </row>
        <row r="199">
          <cell r="AT199">
            <v>-1.0844363978363121</v>
          </cell>
          <cell r="AU199">
            <v>16.933522767271135</v>
          </cell>
        </row>
        <row r="200">
          <cell r="AT200">
            <v>-1.4717604161783986</v>
          </cell>
          <cell r="AU200">
            <v>17.101478212183643</v>
          </cell>
        </row>
        <row r="201">
          <cell r="AT201">
            <v>-1.8586376642062037</v>
          </cell>
          <cell r="AU201">
            <v>17.277337168035338</v>
          </cell>
        </row>
        <row r="202">
          <cell r="AT202">
            <v>-2.2450447131520863</v>
          </cell>
          <cell r="AU202">
            <v>17.461121137243953</v>
          </cell>
        </row>
        <row r="203">
          <cell r="AT203">
            <v>-2.6309575176456028</v>
          </cell>
          <cell r="AU203">
            <v>17.65285099478859</v>
          </cell>
        </row>
        <row r="204">
          <cell r="AT204">
            <v>-3.0163513973894629</v>
          </cell>
          <cell r="AU204">
            <v>17.852546751282709</v>
          </cell>
        </row>
        <row r="205">
          <cell r="AT205">
            <v>-3.4012010199396556</v>
          </cell>
          <cell r="AU205">
            <v>18.060227303847512</v>
          </cell>
        </row>
        <row r="206">
          <cell r="AT206">
            <v>-3.7854803847185057</v>
          </cell>
          <cell r="AU206">
            <v>18.275910174630727</v>
          </cell>
        </row>
        <row r="207">
          <cell r="AT207">
            <v>-4.1691628083923211</v>
          </cell>
          <cell r="AU207">
            <v>18.499611236861501</v>
          </cell>
        </row>
        <row r="208">
          <cell r="AT208">
            <v>-4.5522209117610899</v>
          </cell>
          <cell r="AU208">
            <v>18.731344428379934</v>
          </cell>
        </row>
        <row r="209">
          <cell r="AT209">
            <v>-4.9346266083093742</v>
          </cell>
          <cell r="AU209">
            <v>18.971121452641128</v>
          </cell>
        </row>
        <row r="210">
          <cell r="AT210">
            <v>-5.3163510945806367</v>
          </cell>
          <cell r="AU210">
            <v>19.218951467252907</v>
          </cell>
        </row>
        <row r="211">
          <cell r="AT211">
            <v>-5.6973648425431955</v>
          </cell>
          <cell r="AU211">
            <v>19.474840760185707</v>
          </cell>
        </row>
        <row r="212">
          <cell r="AT212">
            <v>-6.0776375941225407</v>
          </cell>
          <cell r="AU212">
            <v>19.738792413869966</v>
          </cell>
        </row>
        <row r="213">
          <cell r="AT213">
            <v>-6.4571383580849098</v>
          </cell>
          <cell r="AU213">
            <v>20.010805957489527</v>
          </cell>
        </row>
        <row r="214">
          <cell r="AT214">
            <v>-6.835835409459091</v>
          </cell>
          <cell r="AU214">
            <v>20.290877007874297</v>
          </cell>
        </row>
        <row r="215">
          <cell r="AT215">
            <v>-7.2136962916921217</v>
          </cell>
          <cell r="AU215">
            <v>20.578996899508954</v>
          </cell>
        </row>
        <row r="216">
          <cell r="AT216">
            <v>-7.5906878217362568</v>
          </cell>
          <cell r="AU216">
            <v>20.875152304282718</v>
          </cell>
        </row>
        <row r="217">
          <cell r="AT217">
            <v>-7.9667760982697802</v>
          </cell>
          <cell r="AU217">
            <v>21.179324841737621</v>
          </cell>
        </row>
        <row r="218">
          <cell r="AT218">
            <v>-8.3419265132528508</v>
          </cell>
          <cell r="AU218">
            <v>21.491490680700949</v>
          </cell>
        </row>
        <row r="219">
          <cell r="AT219">
            <v>-8.7161037670223713</v>
          </cell>
          <cell r="AU219">
            <v>21.811620133328674</v>
          </cell>
        </row>
        <row r="220">
          <cell r="AT220">
            <v>-9.0892718871250331</v>
          </cell>
          <cell r="AU220">
            <v>22.139677242735633</v>
          </cell>
        </row>
        <row r="221">
          <cell r="AT221">
            <v>-9.4613942510858706</v>
          </cell>
          <cell r="AU221">
            <v>22.475619365545747</v>
          </cell>
        </row>
        <row r="222">
          <cell r="AT222">
            <v>-9.8324336133010455</v>
          </cell>
          <cell r="AU222">
            <v>22.819396750845748</v>
          </cell>
        </row>
        <row r="223">
          <cell r="AT223">
            <v>-10.202352136235373</v>
          </cell>
          <cell r="AU223">
            <v>23.170952117201615</v>
          </cell>
        </row>
        <row r="224">
          <cell r="AT224">
            <v>-10.571111426094912</v>
          </cell>
          <cell r="AU224">
            <v>23.530220229554871</v>
          </cell>
        </row>
        <row r="225">
          <cell r="AT225">
            <v>-10.938672573126482</v>
          </cell>
          <cell r="AU225">
            <v>23.897127477985062</v>
          </cell>
        </row>
        <row r="226">
          <cell r="AT226">
            <v>-11.30499619668244</v>
          </cell>
          <cell r="AU226">
            <v>24.271591460494189</v>
          </cell>
        </row>
        <row r="227">
          <cell r="AT227">
            <v>-11.670042495164953</v>
          </cell>
          <cell r="AU227">
            <v>24.653520572126251</v>
          </cell>
        </row>
        <row r="228">
          <cell r="AT228">
            <v>-12.033771300941599</v>
          </cell>
          <cell r="AU228">
            <v>25.042813602898889</v>
          </cell>
        </row>
        <row r="229">
          <cell r="AT229">
            <v>-12.396142140294785</v>
          </cell>
          <cell r="AU229">
            <v>25.439359347164562</v>
          </cell>
        </row>
        <row r="230">
          <cell r="AT230">
            <v>-12.757114298438463</v>
          </cell>
          <cell r="AU230">
            <v>25.843036227167975</v>
          </cell>
        </row>
        <row r="231">
          <cell r="AT231">
            <v>-13.116646889598659</v>
          </cell>
          <cell r="AU231">
            <v>26.253711933672854</v>
          </cell>
        </row>
        <row r="232">
          <cell r="AT232">
            <v>-13.474698932118239</v>
          </cell>
          <cell r="AU232">
            <v>26.671243086657327</v>
          </cell>
        </row>
        <row r="233">
          <cell r="AT233">
            <v>-13.831229428504157</v>
          </cell>
          <cell r="AU233">
            <v>27.095474919142319</v>
          </cell>
        </row>
        <row r="234">
          <cell r="AT234">
            <v>-14.186197450293307</v>
          </cell>
          <cell r="AU234">
            <v>27.526240987293175</v>
          </cell>
        </row>
        <row r="235">
          <cell r="AT235">
            <v>-14.539562227562177</v>
          </cell>
          <cell r="AU235">
            <v>27.963362909956235</v>
          </cell>
        </row>
        <row r="236">
          <cell r="AT236">
            <v>-14.891283242863301</v>
          </cell>
          <cell r="AU236">
            <v>28.406650140805219</v>
          </cell>
        </row>
        <row r="237">
          <cell r="AT237">
            <v>-15.241320329312657</v>
          </cell>
          <cell r="AU237">
            <v>28.855899776230977</v>
          </cell>
        </row>
        <row r="238">
          <cell r="AT238">
            <v>-15.589633772507538</v>
          </cell>
          <cell r="AU238">
            <v>29.310896402049071</v>
          </cell>
        </row>
        <row r="239">
          <cell r="AT239">
            <v>-15.936184415896211</v>
          </cell>
          <cell r="AU239">
            <v>29.771411981984297</v>
          </cell>
        </row>
        <row r="240">
          <cell r="AT240">
            <v>-16.280933769170744</v>
          </cell>
          <cell r="AU240">
            <v>30.237205790753571</v>
          </cell>
        </row>
        <row r="241">
          <cell r="AT241">
            <v>-16.623844119201042</v>
          </cell>
          <cell r="AU241">
            <v>30.708024394369108</v>
          </cell>
        </row>
        <row r="242">
          <cell r="AT242">
            <v>-16.964878642978764</v>
          </cell>
          <cell r="AU242">
            <v>31.183601680055155</v>
          </cell>
        </row>
        <row r="243">
          <cell r="AT243">
            <v>-17.304001521990862</v>
          </cell>
          <cell r="AU243">
            <v>31.663658937898809</v>
          </cell>
        </row>
        <row r="244">
          <cell r="AT244">
            <v>-17.641178057396868</v>
          </cell>
          <cell r="AU244">
            <v>32.147904996022675</v>
          </cell>
        </row>
        <row r="245">
          <cell r="AT245">
            <v>-17.976374785347158</v>
          </cell>
          <cell r="AU245">
            <v>32.636036410729226</v>
          </cell>
        </row>
        <row r="246">
          <cell r="AT246">
            <v>-18.309559591738672</v>
          </cell>
          <cell r="AU246">
            <v>33.127737712639664</v>
          </cell>
        </row>
        <row r="247">
          <cell r="AT247">
            <v>-18.640701825679987</v>
          </cell>
          <cell r="AU247">
            <v>33.62268170944008</v>
          </cell>
        </row>
        <row r="248">
          <cell r="AT248">
            <v>-18.969772410913443</v>
          </cell>
          <cell r="AU248">
            <v>34.120529845371308</v>
          </cell>
        </row>
        <row r="249">
          <cell r="AT249">
            <v>-19.296743954424475</v>
          </cell>
          <cell r="AU249">
            <v>34.620932617097857</v>
          </cell>
        </row>
        <row r="250">
          <cell r="AT250">
            <v>-19.621590851467761</v>
          </cell>
          <cell r="AU250">
            <v>35.123530045100246</v>
          </cell>
        </row>
        <row r="251">
          <cell r="AT251">
            <v>-19.944289386234374</v>
          </cell>
          <cell r="AU251">
            <v>35.62795219918641</v>
          </cell>
        </row>
        <row r="252">
          <cell r="AT252">
            <v>-20.264817827402673</v>
          </cell>
          <cell r="AU252">
            <v>36.13381977620201</v>
          </cell>
        </row>
        <row r="253">
          <cell r="AT253">
            <v>-20.583156517831149</v>
          </cell>
          <cell r="AU253">
            <v>36.640744727478037</v>
          </cell>
        </row>
        <row r="254">
          <cell r="AT254">
            <v>-20.899287957685342</v>
          </cell>
          <cell r="AU254">
            <v>37.148330933039652</v>
          </cell>
        </row>
        <row r="255">
          <cell r="AT255">
            <v>-21.213196880329338</v>
          </cell>
          <cell r="AU255">
            <v>37.656174919091782</v>
          </cell>
        </row>
        <row r="256">
          <cell r="AT256">
            <v>-21.524870320362158</v>
          </cell>
          <cell r="AU256">
            <v>38.163866614826368</v>
          </cell>
        </row>
        <row r="257">
          <cell r="AT257">
            <v>-21.834297673237163</v>
          </cell>
          <cell r="AU257">
            <v>38.670990144146366</v>
          </cell>
        </row>
        <row r="258">
          <cell r="AT258">
            <v>-22.141470745969706</v>
          </cell>
          <cell r="AU258">
            <v>39.177124647513239</v>
          </cell>
        </row>
        <row r="259">
          <cell r="AT259">
            <v>-22.446383798509917</v>
          </cell>
          <cell r="AU259">
            <v>39.681845128763122</v>
          </cell>
        </row>
        <row r="260">
          <cell r="AT260">
            <v>-22.749033575440162</v>
          </cell>
          <cell r="AU260">
            <v>40.184723321456552</v>
          </cell>
        </row>
        <row r="261">
          <cell r="AT261">
            <v>-23.049419327738605</v>
          </cell>
          <cell r="AU261">
            <v>40.685328569082053</v>
          </cell>
        </row>
        <row r="262">
          <cell r="AT262">
            <v>-23.347542824441916</v>
          </cell>
          <cell r="AU262">
            <v>41.183228713283626</v>
          </cell>
        </row>
        <row r="263">
          <cell r="AT263">
            <v>-23.643408354131452</v>
          </cell>
          <cell r="AU263">
            <v>41.677990984171466</v>
          </cell>
        </row>
        <row r="264">
          <cell r="AT264">
            <v>-23.937022716258284</v>
          </cell>
          <cell r="AU264">
            <v>42.169182886767281</v>
          </cell>
        </row>
        <row r="265">
          <cell r="AT265">
            <v>-24.228395202417939</v>
          </cell>
          <cell r="AU265">
            <v>42.65637307766427</v>
          </cell>
        </row>
        <row r="266">
          <cell r="AT266">
            <v>-24.517537567774305</v>
          </cell>
          <cell r="AU266">
            <v>43.139132226122278</v>
          </cell>
        </row>
        <row r="267">
          <cell r="AT267">
            <v>-24.804463992923473</v>
          </cell>
          <cell r="AU267">
            <v>43.617033853983308</v>
          </cell>
        </row>
        <row r="268">
          <cell r="AT268">
            <v>-25.089191036566795</v>
          </cell>
          <cell r="AU268">
            <v>44.08965514906609</v>
          </cell>
        </row>
        <row r="269">
          <cell r="AT269">
            <v>-25.371737579447977</v>
          </cell>
          <cell r="AU269">
            <v>44.55657774699344</v>
          </cell>
        </row>
        <row r="270">
          <cell r="AT270">
            <v>-25.652124760073246</v>
          </cell>
          <cell r="AU270">
            <v>45.01738847678881</v>
          </cell>
        </row>
        <row r="271">
          <cell r="AT271">
            <v>-25.930375902803423</v>
          </cell>
          <cell r="AU271">
            <v>45.471680065983207</v>
          </cell>
        </row>
        <row r="272">
          <cell r="AT272">
            <v>-26.206516438958882</v>
          </cell>
          <cell r="AU272">
            <v>45.919051801437121</v>
          </cell>
        </row>
        <row r="273">
          <cell r="AT273">
            <v>-26.480573821627324</v>
          </cell>
          <cell r="AU273">
            <v>46.359110142567303</v>
          </cell>
        </row>
        <row r="274">
          <cell r="AT274">
            <v>-26.752577434900012</v>
          </cell>
          <cell r="AU274">
            <v>46.791469284188523</v>
          </cell>
        </row>
        <row r="275">
          <cell r="AT275">
            <v>-27.022558498291431</v>
          </cell>
          <cell r="AU275">
            <v>47.215751666697365</v>
          </cell>
        </row>
        <row r="276">
          <cell r="AT276">
            <v>-27.290549967114703</v>
          </cell>
          <cell r="AU276">
            <v>47.631588431882093</v>
          </cell>
        </row>
        <row r="277">
          <cell r="AT277">
            <v>-27.556586429594297</v>
          </cell>
          <cell r="AU277">
            <v>48.038619823157866</v>
          </cell>
        </row>
        <row r="278">
          <cell r="AT278">
            <v>-27.820704001496011</v>
          </cell>
          <cell r="AU278">
            <v>48.436495529577556</v>
          </cell>
        </row>
        <row r="279">
          <cell r="AT279">
            <v>-28.082940219048012</v>
          </cell>
          <cell r="AU279">
            <v>48.824874973462002</v>
          </cell>
        </row>
        <row r="280">
          <cell r="AT280">
            <v>-28.343333930904741</v>
          </cell>
          <cell r="AU280">
            <v>49.203427542002139</v>
          </cell>
        </row>
        <row r="281">
          <cell r="AT281">
            <v>-28.601925189886131</v>
          </cell>
          <cell r="AU281">
            <v>49.571832763640835</v>
          </cell>
        </row>
        <row r="282">
          <cell r="AT282">
            <v>-28.858755145188869</v>
          </cell>
          <cell r="AU282">
            <v>49.929780430475859</v>
          </cell>
        </row>
        <row r="283">
          <cell r="AT283">
            <v>-29.113865935731976</v>
          </cell>
          <cell r="AU283">
            <v>50.276970668328502</v>
          </cell>
        </row>
        <row r="284">
          <cell r="AT284">
            <v>-29.367300585254839</v>
          </cell>
          <cell r="AU284">
            <v>50.613113956467686</v>
          </cell>
        </row>
        <row r="285">
          <cell r="AT285">
            <v>-29.619102899742163</v>
          </cell>
          <cell r="AU285">
            <v>50.937931099307313</v>
          </cell>
        </row>
        <row r="286">
          <cell r="AT286">
            <v>-29.869317367697871</v>
          </cell>
          <cell r="AU286">
            <v>51.251153152660692</v>
          </cell>
        </row>
        <row r="287">
          <cell r="AT287">
            <v>-30.117989063741351</v>
          </cell>
          <cell r="AU287">
            <v>51.552521307367989</v>
          </cell>
        </row>
        <row r="288">
          <cell r="AT288">
            <v>-30.365163555944573</v>
          </cell>
          <cell r="AU288">
            <v>51.841786733300111</v>
          </cell>
        </row>
        <row r="289">
          <cell r="AT289">
            <v>-30.610886817275301</v>
          </cell>
          <cell r="AU289">
            <v>52.118710386888395</v>
          </cell>
        </row>
        <row r="290">
          <cell r="AT290">
            <v>-30.855205141459464</v>
          </cell>
          <cell r="AU290">
            <v>52.383062785435833</v>
          </cell>
        </row>
        <row r="291">
          <cell r="AT291">
            <v>-31.098165063520412</v>
          </cell>
          <cell r="AU291">
            <v>52.634623751531755</v>
          </cell>
        </row>
        <row r="292">
          <cell r="AT292">
            <v>-31.3398132852044</v>
          </cell>
          <cell r="AU292">
            <v>52.873182130925287</v>
          </cell>
        </row>
        <row r="293">
          <cell r="AT293">
            <v>-31.580196605448606</v>
          </cell>
          <cell r="AU293">
            <v>53.098535487211883</v>
          </cell>
        </row>
        <row r="294">
          <cell r="AT294">
            <v>-31.819361856005962</v>
          </cell>
          <cell r="AU294">
            <v>53.310489776658656</v>
          </cell>
        </row>
        <row r="295">
          <cell r="AT295">
            <v>-32.057355842288793</v>
          </cell>
          <cell r="AU295">
            <v>53.508859006436204</v>
          </cell>
        </row>
        <row r="296">
          <cell r="AT296">
            <v>-32.294225289459661</v>
          </cell>
          <cell r="AU296">
            <v>53.693464879446793</v>
          </cell>
        </row>
        <row r="297">
          <cell r="AT297">
            <v>-32.530016793753227</v>
          </cell>
          <cell r="AU297">
            <v>53.864136428837476</v>
          </cell>
        </row>
        <row r="298">
          <cell r="AT298">
            <v>-32.764776778979382</v>
          </cell>
          <cell r="AU298">
            <v>54.020709645179714</v>
          </cell>
        </row>
        <row r="299">
          <cell r="AT299">
            <v>-32.998551458127238</v>
          </cell>
          <cell r="AU299">
            <v>54.163027099151442</v>
          </cell>
        </row>
        <row r="300">
          <cell r="AT300">
            <v>-33.231386799956788</v>
          </cell>
          <cell r="AU300">
            <v>54.290937562438749</v>
          </cell>
        </row>
        <row r="301">
          <cell r="AT301">
            <v>-33.463328500443417</v>
          </cell>
          <cell r="AU301">
            <v>54.404295629413596</v>
          </cell>
        </row>
        <row r="302">
          <cell r="AT302">
            <v>-33.694421958913935</v>
          </cell>
          <cell r="AU302">
            <v>54.502961341994492</v>
          </cell>
        </row>
        <row r="303">
          <cell r="AT303">
            <v>-33.924712258695479</v>
          </cell>
          <cell r="AU303">
            <v>54.586799819949242</v>
          </cell>
        </row>
        <row r="304">
          <cell r="AT304">
            <v>-34.154244152081347</v>
          </cell>
          <cell r="AU304">
            <v>54.655680898735497</v>
          </cell>
        </row>
        <row r="305">
          <cell r="AT305">
            <v>-34.383062049400792</v>
          </cell>
          <cell r="AU305">
            <v>54.709478776824724</v>
          </cell>
        </row>
        <row r="306">
          <cell r="AT306">
            <v>-34.611210011972517</v>
          </cell>
          <cell r="AU306">
            <v>54.748071674301769</v>
          </cell>
        </row>
        <row r="307">
          <cell r="AT307">
            <v>-34.838731748706572</v>
          </cell>
          <cell r="AU307">
            <v>54.771341504390378</v>
          </cell>
        </row>
        <row r="308">
          <cell r="AT308">
            <v>-35.065670616115661</v>
          </cell>
          <cell r="AU308">
            <v>54.779173559399638</v>
          </cell>
        </row>
        <row r="309">
          <cell r="AT309">
            <v>-35.292069621488046</v>
          </cell>
          <cell r="AU309">
            <v>54.771456212463498</v>
          </cell>
        </row>
        <row r="310">
          <cell r="AT310">
            <v>-35.517971428970881</v>
          </cell>
          <cell r="AU310">
            <v>54.748080636305659</v>
          </cell>
        </row>
        <row r="311">
          <cell r="AT311">
            <v>-35.743418368309513</v>
          </cell>
          <cell r="AU311">
            <v>54.708940540139537</v>
          </cell>
        </row>
        <row r="312">
          <cell r="AT312">
            <v>-35.968452445984482</v>
          </cell>
          <cell r="AU312">
            <v>54.653931925700171</v>
          </cell>
        </row>
        <row r="313">
          <cell r="AT313">
            <v>-36.19311535848955</v>
          </cell>
          <cell r="AU313">
            <v>54.582952863285065</v>
          </cell>
        </row>
        <row r="314">
          <cell r="AT314">
            <v>-36.417448507489276</v>
          </cell>
          <cell r="AU314">
            <v>54.495903288588451</v>
          </cell>
        </row>
        <row r="315">
          <cell r="AT315">
            <v>-36.641493016599767</v>
          </cell>
          <cell r="AU315">
            <v>54.392684821008615</v>
          </cell>
        </row>
        <row r="316">
          <cell r="AT316">
            <v>-36.865289749530632</v>
          </cell>
          <cell r="AU316">
            <v>54.273200604016047</v>
          </cell>
        </row>
        <row r="317">
          <cell r="AT317">
            <v>-37.088879329331668</v>
          </cell>
          <cell r="AU317">
            <v>54.13735516809038</v>
          </cell>
        </row>
        <row r="318">
          <cell r="AT318">
            <v>-37.312302158485593</v>
          </cell>
          <cell r="AU318">
            <v>53.985054316645815</v>
          </cell>
        </row>
        <row r="319">
          <cell r="AT319">
            <v>-37.535598439589563</v>
          </cell>
          <cell r="AU319">
            <v>53.816205035293343</v>
          </cell>
        </row>
        <row r="320">
          <cell r="AT320">
            <v>-37.758808196369145</v>
          </cell>
          <cell r="AU320">
            <v>53.630715424708846</v>
          </cell>
        </row>
        <row r="321">
          <cell r="AT321">
            <v>-37.981971294767561</v>
          </cell>
          <cell r="AU321">
            <v>53.428494657313927</v>
          </cell>
        </row>
        <row r="322">
          <cell r="AT322">
            <v>-38.205127463855938</v>
          </cell>
          <cell r="AU322">
            <v>53.209452957896794</v>
          </cell>
        </row>
        <row r="323">
          <cell r="AT323">
            <v>-38.428316316307061</v>
          </cell>
          <cell r="AU323">
            <v>52.973501608238799</v>
          </cell>
        </row>
        <row r="324">
          <cell r="AT324">
            <v>-38.651577368178003</v>
          </cell>
          <cell r="AU324">
            <v>52.720552975745505</v>
          </cell>
        </row>
        <row r="325">
          <cell r="AT325">
            <v>-38.874950057745096</v>
          </cell>
          <cell r="AU325">
            <v>52.450520566006247</v>
          </cell>
        </row>
        <row r="326">
          <cell r="AT326">
            <v>-39.098473763134962</v>
          </cell>
          <cell r="AU326">
            <v>52.163319099141788</v>
          </cell>
        </row>
        <row r="327">
          <cell r="AT327">
            <v>-39.322187818494911</v>
          </cell>
          <cell r="AU327">
            <v>51.858864609721849</v>
          </cell>
        </row>
        <row r="328">
          <cell r="AT328">
            <v>-39.546131528446018</v>
          </cell>
          <cell r="AU328">
            <v>51.537074569964581</v>
          </cell>
        </row>
        <row r="329">
          <cell r="AT329">
            <v>-39.770344180560102</v>
          </cell>
          <cell r="AU329">
            <v>51.197868035842156</v>
          </cell>
        </row>
        <row r="330">
          <cell r="AT330">
            <v>-39.994865055605345</v>
          </cell>
          <cell r="AU330">
            <v>50.841165815639833</v>
          </cell>
        </row>
        <row r="331">
          <cell r="AT331">
            <v>-40.219733435301904</v>
          </cell>
          <cell r="AU331">
            <v>50.466890660421967</v>
          </cell>
        </row>
        <row r="332">
          <cell r="AT332">
            <v>-40.444988607331879</v>
          </cell>
          <cell r="AU332">
            <v>50.074967475762918</v>
          </cell>
        </row>
        <row r="333">
          <cell r="AT333">
            <v>-40.670669867348863</v>
          </cell>
          <cell r="AU333">
            <v>49.665323554003024</v>
          </cell>
        </row>
        <row r="334">
          <cell r="AT334">
            <v>-40.896816517735971</v>
          </cell>
          <cell r="AU334">
            <v>49.237888826181241</v>
          </cell>
        </row>
        <row r="335">
          <cell r="AT335">
            <v>-41.123467862862114</v>
          </cell>
          <cell r="AU335">
            <v>48.792596132676152</v>
          </cell>
        </row>
        <row r="336">
          <cell r="AT336">
            <v>-41.350663200594283</v>
          </cell>
          <cell r="AU336">
            <v>48.329381511481429</v>
          </cell>
        </row>
        <row r="337">
          <cell r="AT337">
            <v>-41.57844180982741</v>
          </cell>
          <cell r="AU337">
            <v>47.848184502899429</v>
          </cell>
        </row>
        <row r="338">
          <cell r="AT338">
            <v>-41.806842933803864</v>
          </cell>
          <cell r="AU338">
            <v>47.348948469316902</v>
          </cell>
        </row>
        <row r="339">
          <cell r="AT339">
            <v>-42.035905759001942</v>
          </cell>
          <cell r="AU339">
            <v>46.831620928586126</v>
          </cell>
        </row>
        <row r="340">
          <cell r="AT340">
            <v>-42.265669389388165</v>
          </cell>
          <cell r="AU340">
            <v>46.29615389939466</v>
          </cell>
        </row>
        <row r="341">
          <cell r="AT341">
            <v>-42.496172815840261</v>
          </cell>
          <cell r="AU341">
            <v>45.742504256862937</v>
          </cell>
        </row>
        <row r="342">
          <cell r="AT342">
            <v>-42.7274548805675</v>
          </cell>
          <cell r="AU342">
            <v>45.170634096467012</v>
          </cell>
        </row>
        <row r="343">
          <cell r="AT343">
            <v>-42.959554236373634</v>
          </cell>
          <cell r="AU343">
            <v>44.580511104233594</v>
          </cell>
        </row>
        <row r="344">
          <cell r="AT344">
            <v>-43.192509300632537</v>
          </cell>
          <cell r="AU344">
            <v>43.972108931018575</v>
          </cell>
        </row>
        <row r="345">
          <cell r="AT345">
            <v>-43.42635820387224</v>
          </cell>
          <cell r="AU345">
            <v>43.345407568535904</v>
          </cell>
        </row>
        <row r="346">
          <cell r="AT346">
            <v>-43.661138732894607</v>
          </cell>
          <cell r="AU346">
            <v>42.700393724669993</v>
          </cell>
        </row>
        <row r="347">
          <cell r="AT347">
            <v>-43.896888268390022</v>
          </cell>
          <cell r="AU347">
            <v>42.037061195489933</v>
          </cell>
        </row>
        <row r="348">
          <cell r="AT348">
            <v>-44.133643717044571</v>
          </cell>
          <cell r="AU348">
            <v>41.355411231254578</v>
          </cell>
        </row>
        <row r="349">
          <cell r="AT349">
            <v>-44.371441438177484</v>
          </cell>
          <cell r="AU349">
            <v>40.655452893621707</v>
          </cell>
        </row>
        <row r="350">
          <cell r="AT350">
            <v>-44.610317164990718</v>
          </cell>
          <cell r="AU350">
            <v>39.937203401174251</v>
          </cell>
        </row>
        <row r="351">
          <cell r="AT351">
            <v>-44.850305920559435</v>
          </cell>
          <cell r="AU351">
            <v>39.200688460328188</v>
          </cell>
        </row>
        <row r="352">
          <cell r="AT352">
            <v>-45.091441928744331</v>
          </cell>
          <cell r="AU352">
            <v>38.445942578647013</v>
          </cell>
        </row>
        <row r="353">
          <cell r="AT353">
            <v>-45.333758520256708</v>
          </cell>
          <cell r="AU353">
            <v>37.673009357581158</v>
          </cell>
        </row>
        <row r="354">
          <cell r="AT354">
            <v>-45.577288034166827</v>
          </cell>
          <cell r="AU354">
            <v>36.881941761665402</v>
          </cell>
        </row>
        <row r="355">
          <cell r="AT355">
            <v>-45.822061715199794</v>
          </cell>
          <cell r="AU355">
            <v>36.072802361270931</v>
          </cell>
        </row>
        <row r="356">
          <cell r="AT356">
            <v>-46.068109607225551</v>
          </cell>
          <cell r="AU356">
            <v>35.245663546082611</v>
          </cell>
        </row>
        <row r="357">
          <cell r="AT357">
            <v>-46.315460443406771</v>
          </cell>
          <cell r="AU357">
            <v>34.400607706612199</v>
          </cell>
        </row>
        <row r="358">
          <cell r="AT358">
            <v>-46.564141533529906</v>
          </cell>
          <cell r="AU358">
            <v>33.53772738121075</v>
          </cell>
        </row>
        <row r="359">
          <cell r="AT359">
            <v>-46.814178649103042</v>
          </cell>
          <cell r="AU359">
            <v>32.657125366252458</v>
          </cell>
        </row>
        <row r="360">
          <cell r="AT360">
            <v>-47.065595906862654</v>
          </cell>
          <cell r="AU360">
            <v>31.758914787400155</v>
          </cell>
        </row>
        <row r="361">
          <cell r="AT361">
            <v>-47.318415651385671</v>
          </cell>
          <cell r="AU361">
            <v>30.84321913015274</v>
          </cell>
        </row>
        <row r="362">
          <cell r="AT362">
            <v>-47.572658337556142</v>
          </cell>
          <cell r="AU362">
            <v>29.910172228188962</v>
          </cell>
        </row>
        <row r="363">
          <cell r="AT363">
            <v>-47.82834241368306</v>
          </cell>
          <cell r="AU363">
            <v>28.959918208379268</v>
          </cell>
        </row>
        <row r="364">
          <cell r="AT364">
            <v>-48.085484206109612</v>
          </cell>
          <cell r="AU364">
            <v>27.992611391733771</v>
          </cell>
        </row>
        <row r="365">
          <cell r="AT365">
            <v>-48.344097806188245</v>
          </cell>
          <cell r="AU365">
            <v>27.008416149963324</v>
          </cell>
        </row>
        <row r="366">
          <cell r="AT366">
            <v>-48.604194960529014</v>
          </cell>
          <cell r="AU366">
            <v>26.007506717786512</v>
          </cell>
        </row>
        <row r="367">
          <cell r="AT367">
            <v>-48.865784965446643</v>
          </cell>
          <cell r="AU367">
            <v>24.990066961564185</v>
          </cell>
        </row>
        <row r="368">
          <cell r="AT368">
            <v>-49.128874566550166</v>
          </cell>
          <cell r="AU368">
            <v>23.956290105330218</v>
          </cell>
        </row>
        <row r="369">
          <cell r="AT369">
            <v>-49.393467864417602</v>
          </cell>
          <cell r="AU369">
            <v>22.906378415759846</v>
          </cell>
        </row>
        <row r="370">
          <cell r="AT370">
            <v>-49.659566227297312</v>
          </cell>
          <cell r="AU370">
            <v>21.84054284809363</v>
          </cell>
        </row>
        <row r="371">
          <cell r="AT371">
            <v>-49.927168211762321</v>
          </cell>
          <cell r="AU371">
            <v>20.759002655504055</v>
          </cell>
        </row>
        <row r="372">
          <cell r="AT372">
            <v>-50.196269492215862</v>
          </cell>
          <cell r="AU372">
            <v>19.661984964834815</v>
          </cell>
        </row>
        <row r="373">
          <cell r="AT373">
            <v>-50.46686280011501</v>
          </cell>
          <cell r="AU373">
            <v>18.549724322061461</v>
          </cell>
        </row>
        <row r="374">
          <cell r="AT374">
            <v>-50.73893787373224</v>
          </cell>
          <cell r="AU374">
            <v>17.422462211206291</v>
          </cell>
        </row>
        <row r="375">
          <cell r="AT375">
            <v>-51.012481419220464</v>
          </cell>
          <cell r="AU375">
            <v>16.28044655076549</v>
          </cell>
        </row>
        <row r="376">
          <cell r="AT376">
            <v>-51.28747708368418</v>
          </cell>
          <cell r="AU376">
            <v>15.123931172006074</v>
          </cell>
        </row>
        <row r="377">
          <cell r="AT377">
            <v>-51.563905440888774</v>
          </cell>
          <cell r="AU377">
            <v>13.953175283695883</v>
          </cell>
        </row>
        <row r="378">
          <cell r="AT378">
            <v>-51.841743990155329</v>
          </cell>
          <cell r="AU378">
            <v>12.768442928002354</v>
          </cell>
        </row>
        <row r="379">
          <cell r="AT379">
            <v>-52.120967168912102</v>
          </cell>
          <cell r="AU379">
            <v>11.570002432368719</v>
          </cell>
        </row>
        <row r="380">
          <cell r="AT380">
            <v>-52.401546379270805</v>
          </cell>
          <cell r="AU380">
            <v>10.358125862205508</v>
          </cell>
        </row>
        <row r="381">
          <cell r="AT381">
            <v>-52.683450028909967</v>
          </cell>
          <cell r="AU381">
            <v>9.1330884791538161</v>
          </cell>
        </row>
        <row r="382">
          <cell r="AT382">
            <v>-52.966643586443361</v>
          </cell>
          <cell r="AU382">
            <v>7.8951682095526055</v>
          </cell>
        </row>
        <row r="383">
          <cell r="AT383">
            <v>-53.251089651350874</v>
          </cell>
          <cell r="AU383">
            <v>6.6446451275168608</v>
          </cell>
        </row>
        <row r="384">
          <cell r="AT384">
            <v>-53.536748038449645</v>
          </cell>
          <cell r="AU384">
            <v>5.3818009567481333</v>
          </cell>
        </row>
        <row r="385">
          <cell r="AT385">
            <v>-53.823575876780836</v>
          </cell>
          <cell r="AU385">
            <v>4.1069185948392768</v>
          </cell>
        </row>
        <row r="386">
          <cell r="AT386">
            <v>-54.111527722686702</v>
          </cell>
          <cell r="AU386">
            <v>2.8202816634194625</v>
          </cell>
        </row>
        <row r="387">
          <cell r="AT387">
            <v>-54.40055568675718</v>
          </cell>
          <cell r="AU387">
            <v>1.522174086996734</v>
          </cell>
        </row>
        <row r="388">
          <cell r="AT388">
            <v>-54.690609574230663</v>
          </cell>
          <cell r="AU388">
            <v>0.21287970284549845</v>
          </cell>
        </row>
        <row r="389">
          <cell r="AT389">
            <v>-54.981637038344225</v>
          </cell>
          <cell r="AU389">
            <v>-1.1073180962890099</v>
          </cell>
        </row>
        <row r="390">
          <cell r="AT390">
            <v>-55.273583746043258</v>
          </cell>
          <cell r="AU390">
            <v>-2.4381366854831126</v>
          </cell>
        </row>
        <row r="391">
          <cell r="AT391">
            <v>-55.566393555384892</v>
          </cell>
          <cell r="AU391">
            <v>-3.7792944963492361</v>
          </cell>
        </row>
        <row r="392">
          <cell r="AT392">
            <v>-55.860008703891133</v>
          </cell>
          <cell r="AU392">
            <v>-5.1305112712005148</v>
          </cell>
        </row>
        <row r="393">
          <cell r="AT393">
            <v>-56.154370007047362</v>
          </cell>
          <cell r="AU393">
            <v>-6.491508283320071</v>
          </cell>
        </row>
        <row r="394">
          <cell r="AT394">
            <v>-56.449417066074936</v>
          </cell>
          <cell r="AU394">
            <v>-7.8620085245576963</v>
          </cell>
        </row>
        <row r="395">
          <cell r="AT395">
            <v>-56.745088484058897</v>
          </cell>
          <cell r="AU395">
            <v>-9.2417368620493612</v>
          </cell>
        </row>
        <row r="396">
          <cell r="AT396">
            <v>-57.041322089459783</v>
          </cell>
          <cell r="AU396">
            <v>-10.63042016637246</v>
          </cell>
        </row>
        <row r="397">
          <cell r="AT397">
            <v>-57.338055166000892</v>
          </cell>
          <cell r="AU397">
            <v>-12.027787413912142</v>
          </cell>
        </row>
        <row r="398">
          <cell r="AT398">
            <v>-57.635224687885895</v>
          </cell>
          <cell r="AU398">
            <v>-13.433569766634479</v>
          </cell>
        </row>
        <row r="399">
          <cell r="AT399">
            <v>-57.932767559272207</v>
          </cell>
          <cell r="AU399">
            <v>-14.847500632794993</v>
          </cell>
        </row>
        <row r="400">
          <cell r="AT400">
            <v>-58.230620856908118</v>
          </cell>
          <cell r="AU400">
            <v>-16.26931571238466</v>
          </cell>
        </row>
        <row r="401">
          <cell r="AT401">
            <v>-58.52872207481667</v>
          </cell>
          <cell r="AU401">
            <v>-17.698753031304214</v>
          </cell>
        </row>
        <row r="402">
          <cell r="AT402">
            <v>-58.827009369908623</v>
          </cell>
          <cell r="AU402">
            <v>-19.135552968359256</v>
          </cell>
        </row>
        <row r="403">
          <cell r="AT403">
            <v>-59.125421807390879</v>
          </cell>
          <cell r="AU403">
            <v>-20.57945827919611</v>
          </cell>
        </row>
        <row r="404">
          <cell r="AT404">
            <v>-59.423899604846866</v>
          </cell>
          <cell r="AU404">
            <v>-22.030214121220045</v>
          </cell>
        </row>
        <row r="405">
          <cell r="AT405">
            <v>-59.722384373864934</v>
          </cell>
          <cell r="AU405">
            <v>-23.487568083404085</v>
          </cell>
        </row>
        <row r="406">
          <cell r="AT406">
            <v>-60.02081935810498</v>
          </cell>
          <cell r="AU406">
            <v>-24.951270224643558</v>
          </cell>
        </row>
        <row r="407">
          <cell r="AT407">
            <v>-60.3191496667122</v>
          </cell>
          <cell r="AU407">
            <v>-26.42107312402117</v>
          </cell>
        </row>
        <row r="408">
          <cell r="AT408">
            <v>-60.617322502008115</v>
          </cell>
          <cell r="AU408">
            <v>-27.896731945944627</v>
          </cell>
        </row>
        <row r="409">
          <cell r="AT409">
            <v>-60.915287380419088</v>
          </cell>
          <cell r="AU409">
            <v>-29.378004522682154</v>
          </cell>
        </row>
        <row r="410">
          <cell r="AT410">
            <v>-61.21299634564086</v>
          </cell>
          <cell r="AU410">
            <v>-30.864651456319667</v>
          </cell>
        </row>
        <row r="411">
          <cell r="AT411">
            <v>-61.510404173074562</v>
          </cell>
          <cell r="AU411">
            <v>-32.356436241596278</v>
          </cell>
        </row>
        <row r="412">
          <cell r="AT412">
            <v>-61.807468564622646</v>
          </cell>
          <cell r="AU412">
            <v>-33.853125410504461</v>
          </cell>
        </row>
        <row r="413">
          <cell r="AT413">
            <v>-62.104150332984666</v>
          </cell>
          <cell r="AU413">
            <v>-35.354488698916285</v>
          </cell>
        </row>
        <row r="414">
          <cell r="AT414">
            <v>-62.400413574654017</v>
          </cell>
          <cell r="AU414">
            <v>-36.860299234874731</v>
          </cell>
        </row>
        <row r="415">
          <cell r="AT415">
            <v>-62.696225830883236</v>
          </cell>
          <cell r="AU415">
            <v>-38.370333747560899</v>
          </cell>
        </row>
        <row r="416">
          <cell r="AT416">
            <v>-62.991558235958607</v>
          </cell>
          <cell r="AU416">
            <v>-39.884372795327856</v>
          </cell>
        </row>
        <row r="417">
          <cell r="AT417">
            <v>-63.286385652199215</v>
          </cell>
          <cell r="AU417">
            <v>-41.402201010600443</v>
          </cell>
        </row>
        <row r="418">
          <cell r="AT418">
            <v>-63.580686791180305</v>
          </cell>
          <cell r="AU418">
            <v>-42.923607358876033</v>
          </cell>
        </row>
        <row r="419">
          <cell r="AT419">
            <v>-63.874444320765122</v>
          </cell>
          <cell r="AU419">
            <v>-44.44838540854078</v>
          </cell>
        </row>
        <row r="420">
          <cell r="AT420">
            <v>-64.167644957617384</v>
          </cell>
          <cell r="AU420">
            <v>-45.976333607761156</v>
          </cell>
        </row>
        <row r="421">
          <cell r="AT421">
            <v>-64.460279544959434</v>
          </cell>
          <cell r="AU421">
            <v>-47.507255564299392</v>
          </cell>
        </row>
        <row r="422">
          <cell r="AT422">
            <v>-64.752343115430392</v>
          </cell>
          <cell r="AU422">
            <v>-49.040960323776318</v>
          </cell>
        </row>
        <row r="423">
          <cell r="AT423">
            <v>-65.043834938994351</v>
          </cell>
          <cell r="AU423">
            <v>-50.577262641650691</v>
          </cell>
        </row>
        <row r="424">
          <cell r="AT424">
            <v>-65.334758555934968</v>
          </cell>
          <cell r="AU424">
            <v>-52.115983244001264</v>
          </cell>
        </row>
        <row r="425">
          <cell r="AT425">
            <v>-65.625121795066349</v>
          </cell>
          <cell r="AU425">
            <v>-53.65694907211634</v>
          </cell>
        </row>
        <row r="426">
          <cell r="AT426">
            <v>-65.914936777371381</v>
          </cell>
          <cell r="AU426">
            <v>-55.199993505872989</v>
          </cell>
        </row>
        <row r="427">
          <cell r="AT427">
            <v>-66.204219905363075</v>
          </cell>
          <cell r="AU427">
            <v>-56.744956560980725</v>
          </cell>
        </row>
        <row r="428">
          <cell r="AT428">
            <v>-66.492991838537151</v>
          </cell>
          <cell r="AU428">
            <v>-58.291685055298672</v>
          </cell>
        </row>
        <row r="429">
          <cell r="AT429">
            <v>-66.781277455354186</v>
          </cell>
          <cell r="AU429">
            <v>-59.840032739693314</v>
          </cell>
        </row>
        <row r="430">
          <cell r="AT430">
            <v>-67.069105802252196</v>
          </cell>
          <cell r="AU430">
            <v>-61.389860389189252</v>
          </cell>
        </row>
        <row r="431">
          <cell r="AT431">
            <v>-67.356510030243257</v>
          </cell>
          <cell r="AU431">
            <v>-62.941035850557874</v>
          </cell>
        </row>
        <row r="432">
          <cell r="AT432">
            <v>-67.643527319693092</v>
          </cell>
          <cell r="AU432">
            <v>-64.493434042909954</v>
          </cell>
        </row>
        <row r="433">
          <cell r="AT433">
            <v>-67.930198793921207</v>
          </cell>
          <cell r="AU433">
            <v>-66.046936908354823</v>
          </cell>
        </row>
        <row r="434">
          <cell r="AT434">
            <v>-68.216569422284039</v>
          </cell>
          <cell r="AU434">
            <v>-67.601433310318697</v>
          </cell>
        </row>
        <row r="435">
          <cell r="AT435">
            <v>-68.502687913426783</v>
          </cell>
          <cell r="AU435">
            <v>-69.15681887767451</v>
          </cell>
        </row>
        <row r="436">
          <cell r="AT436">
            <v>-68.788606599395479</v>
          </cell>
          <cell r="AU436">
            <v>-70.712995793438481</v>
          </cell>
        </row>
        <row r="437">
          <cell r="AT437">
            <v>-69.074381311307476</v>
          </cell>
          <cell r="AU437">
            <v>-72.269872527393318</v>
          </cell>
        </row>
        <row r="438">
          <cell r="AT438">
            <v>-69.360071247270696</v>
          </cell>
          <cell r="AU438">
            <v>-73.827363512614355</v>
          </cell>
        </row>
        <row r="439">
          <cell r="AT439">
            <v>-69.64573883323142</v>
          </cell>
          <cell r="AU439">
            <v>-75.385388766501009</v>
          </cell>
        </row>
        <row r="440">
          <cell r="AT440">
            <v>-69.931449577410589</v>
          </cell>
          <cell r="AU440">
            <v>-76.943873457519786</v>
          </cell>
        </row>
        <row r="441">
          <cell r="AT441">
            <v>-70.217271918967242</v>
          </cell>
          <cell r="AU441">
            <v>-78.502747419454536</v>
          </cell>
        </row>
        <row r="442">
          <cell r="AT442">
            <v>-70.503277071499383</v>
          </cell>
          <cell r="AU442">
            <v>-80.06194461554449</v>
          </cell>
        </row>
        <row r="443">
          <cell r="AT443">
            <v>-70.789538861960494</v>
          </cell>
          <cell r="AU443">
            <v>-81.621402555413994</v>
          </cell>
        </row>
        <row r="444">
          <cell r="AT444">
            <v>-71.076133565540857</v>
          </cell>
          <cell r="AU444">
            <v>-83.181061668214966</v>
          </cell>
        </row>
        <row r="445">
          <cell r="AT445">
            <v>-71.363139737025293</v>
          </cell>
          <cell r="AU445">
            <v>-84.740864635868562</v>
          </cell>
        </row>
        <row r="446">
          <cell r="AT446">
            <v>-71.65063803910752</v>
          </cell>
          <cell r="AU446">
            <v>-86.30075569069767</v>
          </cell>
        </row>
        <row r="447">
          <cell r="AT447">
            <v>-71.93871106810829</v>
          </cell>
          <cell r="AU447">
            <v>-87.860679882132274</v>
          </cell>
        </row>
        <row r="448">
          <cell r="AT448">
            <v>-72.22744317751355</v>
          </cell>
          <cell r="AU448">
            <v>-89.420582317490243</v>
          </cell>
        </row>
        <row r="449">
          <cell r="AT449">
            <v>-72.516920299719303</v>
          </cell>
          <cell r="AU449">
            <v>-90.980407382073352</v>
          </cell>
        </row>
        <row r="450">
          <cell r="AT450">
            <v>-72.807229766346182</v>
          </cell>
          <cell r="AU450">
            <v>-92.540097944076038</v>
          </cell>
        </row>
        <row r="451">
          <cell r="AT451">
            <v>-73.098460127464747</v>
          </cell>
          <cell r="AU451">
            <v>-94.099594549914485</v>
          </cell>
        </row>
        <row r="452">
          <cell r="AT452">
            <v>-73.390700970054354</v>
          </cell>
          <cell r="AU452">
            <v>-95.658834615716572</v>
          </cell>
        </row>
        <row r="453">
          <cell r="AT453">
            <v>-73.684042736005679</v>
          </cell>
          <cell r="AU453">
            <v>-97.217751620721671</v>
          </cell>
        </row>
        <row r="454">
          <cell r="AT454">
            <v>-73.978576539967989</v>
          </cell>
          <cell r="AU454">
            <v>-98.776274308343091</v>
          </cell>
        </row>
        <row r="455">
          <cell r="AT455">
            <v>-74.274393987337533</v>
          </cell>
          <cell r="AU455">
            <v>-100.33432590056293</v>
          </cell>
        </row>
        <row r="456">
          <cell r="AT456">
            <v>-74.571586992681134</v>
          </cell>
          <cell r="AU456">
            <v>-101.89182333119072</v>
          </cell>
        </row>
        <row r="457">
          <cell r="AT457">
            <v>-74.870247598894665</v>
          </cell>
          <cell r="AU457">
            <v>-103.44867650334464</v>
          </cell>
        </row>
        <row r="458">
          <cell r="AT458">
            <v>-75.170467797397308</v>
          </cell>
          <cell r="AU458">
            <v>-105.00478757626632</v>
          </cell>
        </row>
        <row r="459">
          <cell r="AT459">
            <v>-75.472339349674115</v>
          </cell>
          <cell r="AU459">
            <v>-106.5600502862987</v>
          </cell>
        </row>
        <row r="460">
          <cell r="AT460">
            <v>-75.775953610487562</v>
          </cell>
          <cell r="AU460">
            <v>-108.11434930652237</v>
          </cell>
        </row>
        <row r="461">
          <cell r="AT461">
            <v>-76.081401353088765</v>
          </cell>
          <cell r="AU461">
            <v>-109.6675596491701</v>
          </cell>
        </row>
        <row r="462">
          <cell r="AT462">
            <v>-76.388772596769314</v>
          </cell>
          <cell r="AU462">
            <v>-111.21954611452252</v>
          </cell>
        </row>
        <row r="463">
          <cell r="AT463">
            <v>-76.698156437105339</v>
          </cell>
          <cell r="AU463">
            <v>-112.77016278955131</v>
          </cell>
        </row>
        <row r="464">
          <cell r="AT464">
            <v>-77.009640879252274</v>
          </cell>
          <cell r="AU464">
            <v>-114.31925259908992</v>
          </cell>
        </row>
        <row r="465">
          <cell r="AT465">
            <v>-77.323312674653991</v>
          </cell>
          <cell r="AU465">
            <v>-115.86664691182253</v>
          </cell>
        </row>
        <row r="466">
          <cell r="AT466">
            <v>-77.63925716153237</v>
          </cell>
          <cell r="AU466">
            <v>-117.41216520287212</v>
          </cell>
        </row>
        <row r="467">
          <cell r="AT467">
            <v>-77.957558109521102</v>
          </cell>
          <cell r="AU467">
            <v>-118.95561477424626</v>
          </cell>
        </row>
        <row r="468">
          <cell r="AT468">
            <v>-78.278297568802017</v>
          </cell>
          <cell r="AU468">
            <v>-120.49679053388141</v>
          </cell>
        </row>
        <row r="469">
          <cell r="AT469">
            <v>-78.601555724088868</v>
          </cell>
          <cell r="AU469">
            <v>-122.03547483351362</v>
          </cell>
        </row>
        <row r="470">
          <cell r="AT470">
            <v>-78.927410753788948</v>
          </cell>
          <cell r="AU470">
            <v>-123.57143736510376</v>
          </cell>
        </row>
        <row r="471">
          <cell r="AT471">
            <v>-79.255938694650752</v>
          </cell>
          <cell r="AU471">
            <v>-125.10443511507187</v>
          </cell>
        </row>
        <row r="472">
          <cell r="AT472">
            <v>-79.587213312178307</v>
          </cell>
          <cell r="AU472">
            <v>-126.63421237514773</v>
          </cell>
        </row>
        <row r="473">
          <cell r="AT473">
            <v>-79.921305977061905</v>
          </cell>
          <cell r="AU473">
            <v>-128.16050080822805</v>
          </cell>
        </row>
        <row r="474">
          <cell r="AT474">
            <v>-80.258285547837517</v>
          </cell>
          <cell r="AU474">
            <v>-129.68301956727743</v>
          </cell>
        </row>
        <row r="475">
          <cell r="AT475">
            <v>-80.598218259949334</v>
          </cell>
          <cell r="AU475">
            <v>-131.20147546496639</v>
          </cell>
        </row>
        <row r="476">
          <cell r="AT476">
            <v>-80.941167621344121</v>
          </cell>
          <cell r="AU476">
            <v>-132.71556319150886</v>
          </cell>
        </row>
        <row r="477">
          <cell r="AT477">
            <v>-81.287194314684939</v>
          </cell>
          <cell r="AU477">
            <v>-134.22496557790592</v>
          </cell>
        </row>
        <row r="478">
          <cell r="AT478">
            <v>-81.636356106219267</v>
          </cell>
          <cell r="AU478">
            <v>-135.72935390169667</v>
          </cell>
        </row>
        <row r="479">
          <cell r="AT479">
            <v>-81.988707761298315</v>
          </cell>
          <cell r="AU479">
            <v>-137.22838823218797</v>
          </cell>
        </row>
        <row r="480">
          <cell r="AT480">
            <v>-82.344300966492312</v>
          </cell>
          <cell r="AU480">
            <v>-138.72171781212305</v>
          </cell>
        </row>
        <row r="481">
          <cell r="AT481">
            <v>-82.703184258207671</v>
          </cell>
          <cell r="AU481">
            <v>-140.20898147276691</v>
          </cell>
        </row>
        <row r="482">
          <cell r="AT482">
            <v>-83.065402957672276</v>
          </cell>
          <cell r="AU482">
            <v>-141.68980807946014</v>
          </cell>
        </row>
        <row r="483">
          <cell r="AT483">
            <v>-83.430999112117917</v>
          </cell>
          <cell r="AU483">
            <v>-143.16381700482563</v>
          </cell>
        </row>
        <row r="484">
          <cell r="AT484">
            <v>-83.800011441962738</v>
          </cell>
          <cell r="AU484">
            <v>-144.63061862697413</v>
          </cell>
        </row>
        <row r="485">
          <cell r="AT485">
            <v>-84.17247529377039</v>
          </cell>
          <cell r="AU485">
            <v>-146.08981485026868</v>
          </cell>
        </row>
        <row r="486">
          <cell r="AT486">
            <v>-84.548422598747109</v>
          </cell>
          <cell r="AU486">
            <v>-147.54099964643524</v>
          </cell>
        </row>
        <row r="487">
          <cell r="AT487">
            <v>-84.927881836528982</v>
          </cell>
          <cell r="AU487">
            <v>-148.98375961405756</v>
          </cell>
        </row>
        <row r="488">
          <cell r="AT488">
            <v>-85.310878004009183</v>
          </cell>
          <cell r="AU488">
            <v>-150.41767455476227</v>
          </cell>
        </row>
        <row r="489">
          <cell r="AT489">
            <v>-85.69743258895933</v>
          </cell>
          <cell r="AU489">
            <v>-151.84231806466124</v>
          </cell>
        </row>
        <row r="490">
          <cell r="AT490">
            <v>-86.087563548213879</v>
          </cell>
          <cell r="AU490">
            <v>-153.25725813986583</v>
          </cell>
        </row>
        <row r="491">
          <cell r="AT491">
            <v>-86.481285290202422</v>
          </cell>
          <cell r="AU491">
            <v>-154.66205779513982</v>
          </cell>
        </row>
        <row r="492">
          <cell r="AT492">
            <v>-86.878608661642943</v>
          </cell>
          <cell r="AU492">
            <v>-156.05627569495783</v>
          </cell>
        </row>
        <row r="493">
          <cell r="AT493">
            <v>-87.279540938236721</v>
          </cell>
          <cell r="AU493">
            <v>-157.4394667964205</v>
          </cell>
        </row>
        <row r="494">
          <cell r="AT494">
            <v>-87.684085819240138</v>
          </cell>
          <cell r="AU494">
            <v>-158.81118300362959</v>
          </cell>
        </row>
        <row r="495">
          <cell r="AT495">
            <v>-88.092243425826098</v>
          </cell>
          <cell r="AU495">
            <v>-160.17097383320666</v>
          </cell>
        </row>
        <row r="496">
          <cell r="AT496">
            <v>-88.504010303184458</v>
          </cell>
          <cell r="AU496">
            <v>-161.51838709072092</v>
          </cell>
        </row>
        <row r="497">
          <cell r="AT497">
            <v>-88.919379426352236</v>
          </cell>
          <cell r="AU497">
            <v>-162.85296955777517</v>
          </cell>
        </row>
        <row r="498">
          <cell r="AT498">
            <v>-89.338340209796726</v>
          </cell>
          <cell r="AU498">
            <v>-164.17426768947158</v>
          </cell>
        </row>
        <row r="499">
          <cell r="AT499">
            <v>-89.76087852081514</v>
          </cell>
          <cell r="AU499">
            <v>-165.48182832190395</v>
          </cell>
        </row>
        <row r="500">
          <cell r="AT500">
            <v>-90.186976696840716</v>
          </cell>
          <cell r="AU500">
            <v>-166.77519938917453</v>
          </cell>
        </row>
        <row r="501">
          <cell r="AT501">
            <v>-90.616613566774888</v>
          </cell>
          <cell r="AU501">
            <v>-168.05393064929933</v>
          </cell>
        </row>
        <row r="502">
          <cell r="AT502">
            <v>-91.049764476483134</v>
          </cell>
          <cell r="AU502">
            <v>-169.31757441814668</v>
          </cell>
        </row>
        <row r="503">
          <cell r="AT503">
            <v>-91.486401318608145</v>
          </cell>
          <cell r="AU503">
            <v>-170.56568631035708</v>
          </cell>
        </row>
        <row r="504">
          <cell r="AT504">
            <v>-91.926492566859665</v>
          </cell>
          <cell r="AU504">
            <v>-171.79782598594721</v>
          </cell>
        </row>
        <row r="505">
          <cell r="AT505">
            <v>-92.370003314940149</v>
          </cell>
          <cell r="AU505">
            <v>-173.01355790106487</v>
          </cell>
        </row>
        <row r="506">
          <cell r="AT506">
            <v>-92.816895320258965</v>
          </cell>
          <cell r="AU506">
            <v>-174.21245206111905</v>
          </cell>
        </row>
        <row r="507">
          <cell r="AT507">
            <v>-93.267127052567929</v>
          </cell>
          <cell r="AU507">
            <v>-175.39408477428037</v>
          </cell>
        </row>
        <row r="508">
          <cell r="AT508">
            <v>-93.720653747636788</v>
          </cell>
          <cell r="AU508">
            <v>-176.55803940313291</v>
          </cell>
        </row>
        <row r="509">
          <cell r="AT509">
            <v>-94.177427466048641</v>
          </cell>
          <cell r="AU509">
            <v>-177.70390711207028</v>
          </cell>
        </row>
        <row r="510">
          <cell r="AT510">
            <v>-94.637397157169843</v>
          </cell>
          <cell r="AU510">
            <v>-178.83128760787628</v>
          </cell>
        </row>
        <row r="511">
          <cell r="AT511">
            <v>-95.100508728303851</v>
          </cell>
          <cell r="AU511">
            <v>-179.93978987080118</v>
          </cell>
        </row>
        <row r="512">
          <cell r="AT512">
            <v>-95.566705118998982</v>
          </cell>
          <cell r="AU512">
            <v>178.97096712661053</v>
          </cell>
        </row>
        <row r="513">
          <cell r="AT513">
            <v>-96.035926380433352</v>
          </cell>
          <cell r="AU513">
            <v>177.90135371573535</v>
          </cell>
        </row>
        <row r="514">
          <cell r="AT514">
            <v>-96.508109759754632</v>
          </cell>
          <cell r="AU514">
            <v>176.85172884589343</v>
          </cell>
        </row>
        <row r="515">
          <cell r="AT515">
            <v>-96.983189789206079</v>
          </cell>
          <cell r="AU515">
            <v>175.82243941887739</v>
          </cell>
        </row>
        <row r="516">
          <cell r="AT516">
            <v>-97.461098379825728</v>
          </cell>
          <cell r="AU516">
            <v>174.81381964657558</v>
          </cell>
        </row>
        <row r="517">
          <cell r="AT517">
            <v>-97.941764919459885</v>
          </cell>
          <cell r="AU517">
            <v>173.82619043411697</v>
          </cell>
        </row>
        <row r="518">
          <cell r="AT518">
            <v>-98.425116374799615</v>
          </cell>
          <cell r="AU518">
            <v>172.85985879076139</v>
          </cell>
        </row>
        <row r="519">
          <cell r="AT519">
            <v>-98.911077397106936</v>
          </cell>
          <cell r="AU519">
            <v>171.91511727053097</v>
          </cell>
        </row>
        <row r="520">
          <cell r="AT520">
            <v>-99.399570431274356</v>
          </cell>
          <cell r="AU520">
            <v>170.99224344429075</v>
          </cell>
        </row>
        <row r="521">
          <cell r="AT521">
            <v>-99.89051582783523</v>
          </cell>
          <cell r="AU521">
            <v>170.09149940471636</v>
          </cell>
        </row>
        <row r="522">
          <cell r="AT522">
            <v>-100.38383195752708</v>
          </cell>
          <cell r="AU522">
            <v>169.21313130525112</v>
          </cell>
        </row>
        <row r="523">
          <cell r="AT523">
            <v>-100.87943532800071</v>
          </cell>
          <cell r="AU523">
            <v>168.35736893385064</v>
          </cell>
        </row>
        <row r="524">
          <cell r="AT524">
            <v>-101.37724070226523</v>
          </cell>
          <cell r="AU524">
            <v>167.52442532196829</v>
          </cell>
        </row>
        <row r="525">
          <cell r="AT525">
            <v>-101.87716121846412</v>
          </cell>
          <cell r="AU525">
            <v>166.7144963889258</v>
          </cell>
        </row>
        <row r="526">
          <cell r="AT526">
            <v>-102.37910851058716</v>
          </cell>
          <cell r="AU526">
            <v>165.92776062149764</v>
          </cell>
        </row>
        <row r="527">
          <cell r="AT527">
            <v>-102.88299282974494</v>
          </cell>
          <cell r="AU527">
            <v>165.16437878823015</v>
          </cell>
        </row>
        <row r="528">
          <cell r="AT528">
            <v>-103.38872316565143</v>
          </cell>
          <cell r="AU528">
            <v>164.42449368776511</v>
          </cell>
        </row>
        <row r="529">
          <cell r="AT529">
            <v>-103.89620736799159</v>
          </cell>
          <cell r="AU529">
            <v>163.70822993017552</v>
          </cell>
        </row>
        <row r="530">
          <cell r="AT530">
            <v>-104.40535226738615</v>
          </cell>
          <cell r="AU530">
            <v>163.01569375013017</v>
          </cell>
        </row>
        <row r="531">
          <cell r="AT531">
            <v>-104.91606379569865</v>
          </cell>
          <cell r="AU531">
            <v>162.34697285050777</v>
          </cell>
        </row>
        <row r="532">
          <cell r="AT532">
            <v>-105.42824710547448</v>
          </cell>
          <cell r="AU532">
            <v>161.70213627497984</v>
          </cell>
        </row>
        <row r="533">
          <cell r="AT533">
            <v>-105.941806688339</v>
          </cell>
          <cell r="AU533">
            <v>161.08123430796275</v>
          </cell>
        </row>
        <row r="534">
          <cell r="AT534">
            <v>-106.4566464922286</v>
          </cell>
          <cell r="AU534">
            <v>160.48429840031304</v>
          </cell>
        </row>
        <row r="535">
          <cell r="AT535">
            <v>-106.97267003736856</v>
          </cell>
          <cell r="AU535">
            <v>159.91134111912754</v>
          </cell>
        </row>
        <row r="536">
          <cell r="AT536">
            <v>-107.48978053095385</v>
          </cell>
          <cell r="AU536">
            <v>159.36235612004828</v>
          </cell>
        </row>
        <row r="537">
          <cell r="AT537">
            <v>-108.00788098052927</v>
          </cell>
          <cell r="AU537">
            <v>158.83731814056122</v>
          </cell>
        </row>
        <row r="538">
          <cell r="AT538">
            <v>-108.5268743061028</v>
          </cell>
          <cell r="AU538">
            <v>158.33618301288021</v>
          </cell>
        </row>
        <row r="539">
          <cell r="AT539">
            <v>-109.04666345105768</v>
          </cell>
          <cell r="AU539">
            <v>157.8588876951826</v>
          </cell>
        </row>
        <row r="540">
          <cell r="AT540">
            <v>-109.56715149196046</v>
          </cell>
          <cell r="AU540">
            <v>157.40535032012477</v>
          </cell>
        </row>
        <row r="541">
          <cell r="AT541">
            <v>-110.08824174738405</v>
          </cell>
          <cell r="AU541">
            <v>156.97547025980469</v>
          </cell>
        </row>
        <row r="542">
          <cell r="AT542">
            <v>-110.60983788588779</v>
          </cell>
          <cell r="AU542">
            <v>156.56912820654983</v>
          </cell>
        </row>
        <row r="543">
          <cell r="AT543">
            <v>-111.13184403330578</v>
          </cell>
          <cell r="AU543">
            <v>156.18618626917976</v>
          </cell>
        </row>
        <row r="544">
          <cell r="AT544">
            <v>-111.65416487950344</v>
          </cell>
          <cell r="AU544">
            <v>155.82648808465589</v>
          </cell>
        </row>
        <row r="545">
          <cell r="AT545">
            <v>-112.17670578476412</v>
          </cell>
          <cell r="AU545">
            <v>155.48985894529747</v>
          </cell>
        </row>
        <row r="546">
          <cell r="AT546">
            <v>-112.69937288596124</v>
          </cell>
          <cell r="AU546">
            <v>155.17610594201724</v>
          </cell>
        </row>
        <row r="547">
          <cell r="AT547">
            <v>-113.22207320265689</v>
          </cell>
          <cell r="AU547">
            <v>154.88501812431451</v>
          </cell>
        </row>
        <row r="548">
          <cell r="AT548">
            <v>-113.74471474325549</v>
          </cell>
          <cell r="AU548">
            <v>154.61636667799272</v>
          </cell>
        </row>
        <row r="549">
          <cell r="AT549">
            <v>-114.26720661130575</v>
          </cell>
          <cell r="AU549">
            <v>154.36990512184275</v>
          </cell>
        </row>
        <row r="550">
          <cell r="AT550">
            <v>-114.789459112027</v>
          </cell>
          <cell r="AU550">
            <v>154.14536952472335</v>
          </cell>
        </row>
        <row r="551">
          <cell r="AT551">
            <v>-115.31138385908693</v>
          </cell>
          <cell r="AU551">
            <v>153.9424787446824</v>
          </cell>
        </row>
        <row r="552">
          <cell r="AT552">
            <v>-115.83289388162748</v>
          </cell>
          <cell r="AU552">
            <v>153.7609346919125</v>
          </cell>
        </row>
        <row r="553">
          <cell r="AT553">
            <v>-116.35390373148148</v>
          </cell>
          <cell r="AU553">
            <v>153.60042261745278</v>
          </cell>
        </row>
        <row r="554">
          <cell r="AT554">
            <v>-116.87432959048154</v>
          </cell>
          <cell r="AU554">
            <v>153.46061142964447</v>
          </cell>
        </row>
        <row r="555">
          <cell r="AT555">
            <v>-117.39408937770543</v>
          </cell>
          <cell r="AU555">
            <v>153.34115404036029</v>
          </cell>
        </row>
        <row r="556">
          <cell r="AT556">
            <v>-117.91310285645336</v>
          </cell>
          <cell r="AU556">
            <v>153.24168774304209</v>
          </cell>
        </row>
        <row r="557">
          <cell r="AT557">
            <v>-118.43129174069571</v>
          </cell>
          <cell r="AU557">
            <v>153.16183462449078</v>
          </cell>
        </row>
        <row r="558">
          <cell r="AT558">
            <v>-118.94857980067606</v>
          </cell>
          <cell r="AU558">
            <v>153.10120201226971</v>
          </cell>
        </row>
        <row r="559">
          <cell r="AT559">
            <v>-119.46489296730437</v>
          </cell>
          <cell r="AU559">
            <v>153.05938295938677</v>
          </cell>
        </row>
        <row r="560">
          <cell r="AT560">
            <v>-119.98015943492247</v>
          </cell>
          <cell r="AU560">
            <v>153.03595676773264</v>
          </cell>
        </row>
      </sheetData>
      <sheetData sheetId="5"/>
      <sheetData sheetId="6">
        <row r="2">
          <cell r="B2" t="str">
            <v>Eff_OUT_4</v>
          </cell>
        </row>
      </sheetData>
      <sheetData sheetId="7"/>
      <sheetData sheetId="8">
        <row r="1">
          <cell r="A1" t="str">
            <v>sch_PSR_3n2</v>
          </cell>
        </row>
      </sheetData>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
      <sheetName val="Common-Mode Range"/>
      <sheetName val="Code Conversions"/>
      <sheetName val="Digital Filter"/>
      <sheetName val="STATUS"/>
      <sheetName val="CRC"/>
      <sheetName val="About"/>
      <sheetName val="Help"/>
    </sheetNames>
    <sheetDataSet>
      <sheetData sheetId="0" refreshError="1"/>
      <sheetData sheetId="1" refreshError="1"/>
      <sheetData sheetId="2" refreshError="1"/>
      <sheetData sheetId="3">
        <row r="84">
          <cell r="T84" t="b">
            <v>0</v>
          </cell>
        </row>
      </sheetData>
      <sheetData sheetId="4" refreshError="1"/>
      <sheetData sheetId="5" refreshError="1"/>
      <sheetData sheetId="6" refreshError="1"/>
      <sheetData sheetId="7"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3.bin"/><Relationship Id="rId6" Type="http://schemas.openxmlformats.org/officeDocument/2006/relationships/comments" Target="../comments2.xml"/><Relationship Id="rId5" Type="http://schemas.openxmlformats.org/officeDocument/2006/relationships/image" Target="../media/image4.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8.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5.vml"/><Relationship Id="rId7" Type="http://schemas.openxmlformats.org/officeDocument/2006/relationships/image" Target="../media/image11.emf"/><Relationship Id="rId2" Type="http://schemas.openxmlformats.org/officeDocument/2006/relationships/drawing" Target="../drawings/drawing9.xml"/><Relationship Id="rId1" Type="http://schemas.openxmlformats.org/officeDocument/2006/relationships/printerSettings" Target="../printerSettings/printerSettings7.bin"/><Relationship Id="rId6" Type="http://schemas.openxmlformats.org/officeDocument/2006/relationships/package" Target="../embeddings/Microsoft_Visio_Drawing1.vsdx"/><Relationship Id="rId11" Type="http://schemas.openxmlformats.org/officeDocument/2006/relationships/image" Target="../media/image13.emf"/><Relationship Id="rId5" Type="http://schemas.openxmlformats.org/officeDocument/2006/relationships/image" Target="../media/image10.emf"/><Relationship Id="rId10" Type="http://schemas.openxmlformats.org/officeDocument/2006/relationships/package" Target="../embeddings/Microsoft_Visio_Drawing3.vsdx"/><Relationship Id="rId4" Type="http://schemas.openxmlformats.org/officeDocument/2006/relationships/package" Target="../embeddings/Microsoft_Visio_Drawing.vsdx"/><Relationship Id="rId9" Type="http://schemas.openxmlformats.org/officeDocument/2006/relationships/image" Target="../media/image12.emf"/></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K132"/>
  <sheetViews>
    <sheetView tabSelected="1" topLeftCell="A8" zoomScale="85" zoomScaleNormal="85" workbookViewId="0">
      <selection activeCell="H12" sqref="H12"/>
    </sheetView>
  </sheetViews>
  <sheetFormatPr defaultColWidth="8.88671875" defaultRowHeight="14.4" x14ac:dyDescent="0.3"/>
  <cols>
    <col min="1" max="6" width="8.88671875" style="122" customWidth="1"/>
    <col min="7" max="7" width="8.88671875" style="183" customWidth="1"/>
    <col min="8" max="8" width="12" style="122" bestFit="1" customWidth="1"/>
    <col min="9" max="9" width="4.33203125" style="122" bestFit="1" customWidth="1"/>
    <col min="10" max="10" width="4.6640625" style="122" customWidth="1"/>
    <col min="11" max="20" width="8.88671875" style="122" customWidth="1"/>
    <col min="21" max="21" width="8.88671875" style="126" customWidth="1"/>
    <col min="22" max="22" width="7.33203125" style="122" customWidth="1"/>
    <col min="23" max="26" width="8.88671875" style="122" customWidth="1"/>
    <col min="27" max="27" width="1.6640625" style="184" customWidth="1"/>
    <col min="28" max="37" width="8.88671875" style="32"/>
    <col min="38" max="16384" width="8.88671875" style="122"/>
  </cols>
  <sheetData>
    <row r="1" spans="1:37" ht="46.95" customHeight="1" x14ac:dyDescent="0.3">
      <c r="A1" s="117"/>
      <c r="B1" s="117"/>
      <c r="C1" s="117"/>
      <c r="D1" s="117"/>
      <c r="E1" s="118" t="s">
        <v>564</v>
      </c>
      <c r="F1" s="117"/>
      <c r="G1" s="119"/>
      <c r="H1" s="117"/>
      <c r="I1" s="117"/>
      <c r="J1" s="117"/>
      <c r="K1" s="117"/>
      <c r="L1" s="117"/>
      <c r="M1" s="117"/>
      <c r="N1" s="117"/>
      <c r="O1" s="117"/>
      <c r="P1" s="117"/>
      <c r="Q1" s="117"/>
      <c r="R1" s="117"/>
      <c r="S1" s="117"/>
      <c r="T1" s="117"/>
      <c r="U1" s="120"/>
      <c r="V1" s="117"/>
      <c r="W1" s="117"/>
      <c r="X1" s="117"/>
      <c r="Y1" s="117"/>
      <c r="Z1" s="117"/>
      <c r="AA1" s="121"/>
    </row>
    <row r="2" spans="1:37" s="126" customFormat="1" x14ac:dyDescent="0.3">
      <c r="A2" s="123"/>
      <c r="B2" s="123"/>
      <c r="C2" s="123"/>
      <c r="D2" s="123"/>
      <c r="E2" s="123"/>
      <c r="F2" s="123"/>
      <c r="G2" s="124"/>
      <c r="H2" s="123"/>
      <c r="I2" s="123"/>
      <c r="J2" s="123"/>
      <c r="K2" s="123"/>
      <c r="L2" s="123"/>
      <c r="M2" s="123"/>
      <c r="N2" s="123"/>
      <c r="O2" s="123"/>
      <c r="P2" s="123"/>
      <c r="Q2" s="123"/>
      <c r="R2" s="123"/>
      <c r="S2" s="123"/>
      <c r="T2" s="123"/>
      <c r="U2" s="123"/>
      <c r="V2" s="123"/>
      <c r="W2" s="123"/>
      <c r="X2" s="123"/>
      <c r="Y2" s="123"/>
      <c r="Z2" s="123"/>
      <c r="AA2" s="125"/>
      <c r="AB2" s="32"/>
      <c r="AC2" s="32"/>
      <c r="AD2" s="32"/>
      <c r="AE2" s="32"/>
      <c r="AF2" s="32"/>
      <c r="AG2" s="32"/>
      <c r="AH2" s="32"/>
      <c r="AI2" s="32"/>
      <c r="AJ2" s="32"/>
      <c r="AK2" s="32"/>
    </row>
    <row r="3" spans="1:37" s="126" customFormat="1" x14ac:dyDescent="0.3">
      <c r="A3" s="127" t="s">
        <v>1</v>
      </c>
      <c r="B3" s="123"/>
      <c r="C3" s="123"/>
      <c r="D3" s="123"/>
      <c r="E3" s="128"/>
      <c r="F3" s="129" t="s">
        <v>2</v>
      </c>
      <c r="G3" s="124"/>
      <c r="H3" s="123"/>
      <c r="I3" s="123"/>
      <c r="J3" s="123"/>
      <c r="K3" s="123"/>
      <c r="L3" s="123"/>
      <c r="M3" s="123"/>
      <c r="N3" s="123"/>
      <c r="O3" s="256" t="s">
        <v>0</v>
      </c>
      <c r="P3" s="256"/>
      <c r="Q3" s="123"/>
      <c r="R3" s="123"/>
      <c r="S3" s="123"/>
      <c r="T3" s="123"/>
      <c r="U3" s="123"/>
      <c r="V3" s="123"/>
      <c r="W3" s="123"/>
      <c r="X3" s="123"/>
      <c r="Y3" s="123"/>
      <c r="Z3" s="123"/>
      <c r="AA3" s="125"/>
      <c r="AB3" s="32"/>
      <c r="AC3" s="32"/>
      <c r="AD3" s="32"/>
      <c r="AE3" s="32"/>
      <c r="AF3" s="32"/>
      <c r="AG3" s="32"/>
      <c r="AH3" s="32"/>
      <c r="AI3" s="32"/>
      <c r="AJ3" s="32"/>
      <c r="AK3" s="32"/>
    </row>
    <row r="4" spans="1:37" s="133" customFormat="1" x14ac:dyDescent="0.3">
      <c r="A4" s="130"/>
      <c r="B4" s="130"/>
      <c r="C4" s="130"/>
      <c r="D4" s="130"/>
      <c r="E4" s="130"/>
      <c r="F4" s="130"/>
      <c r="G4" s="131"/>
      <c r="H4" s="130"/>
      <c r="I4" s="130"/>
      <c r="J4" s="130"/>
      <c r="K4" s="130"/>
      <c r="L4" s="130"/>
      <c r="M4" s="130"/>
      <c r="N4" s="130"/>
      <c r="O4" s="130"/>
      <c r="P4" s="130"/>
      <c r="Q4" s="130"/>
      <c r="R4" s="130"/>
      <c r="S4" s="130"/>
      <c r="T4" s="130"/>
      <c r="U4" s="130"/>
      <c r="V4" s="130"/>
      <c r="W4" s="130"/>
      <c r="X4" s="130"/>
      <c r="Y4" s="130"/>
      <c r="Z4" s="130"/>
      <c r="AA4" s="132"/>
      <c r="AB4" s="32"/>
      <c r="AC4" s="32"/>
      <c r="AD4" s="32"/>
      <c r="AE4" s="32"/>
      <c r="AF4" s="32"/>
      <c r="AG4" s="32"/>
      <c r="AH4" s="32"/>
      <c r="AI4" s="32"/>
      <c r="AJ4" s="32"/>
      <c r="AK4" s="32"/>
    </row>
    <row r="5" spans="1:37" x14ac:dyDescent="0.3">
      <c r="A5" s="134"/>
      <c r="B5" s="134"/>
      <c r="C5" s="134"/>
      <c r="D5" s="134"/>
      <c r="E5" s="134"/>
      <c r="F5" s="134"/>
      <c r="G5" s="135"/>
      <c r="H5" s="134"/>
      <c r="I5" s="134"/>
      <c r="J5" s="134"/>
      <c r="K5" s="134"/>
      <c r="L5" s="134"/>
      <c r="M5" s="134"/>
      <c r="N5" s="134"/>
      <c r="O5" s="134" t="s">
        <v>585</v>
      </c>
      <c r="P5" s="136" t="s">
        <v>596</v>
      </c>
      <c r="Q5" s="134"/>
      <c r="R5" s="134"/>
      <c r="S5" s="134"/>
      <c r="T5" s="134"/>
      <c r="U5" s="137"/>
      <c r="V5" s="134"/>
      <c r="W5" s="134"/>
      <c r="X5" s="134"/>
      <c r="Y5" s="134"/>
      <c r="Z5" s="134"/>
      <c r="AA5" s="121"/>
    </row>
    <row r="6" spans="1:37" ht="15" thickBot="1" x14ac:dyDescent="0.35">
      <c r="A6" s="138" t="s">
        <v>3</v>
      </c>
      <c r="B6" s="134"/>
      <c r="C6" s="134"/>
      <c r="D6" s="134"/>
      <c r="E6" s="134"/>
      <c r="F6" s="134"/>
      <c r="G6" s="135"/>
      <c r="H6" s="134"/>
      <c r="I6" s="134"/>
      <c r="J6" s="134"/>
      <c r="K6" s="134"/>
      <c r="L6" s="134"/>
      <c r="M6" s="134"/>
      <c r="N6" s="134"/>
      <c r="O6" s="134"/>
      <c r="P6" s="134"/>
      <c r="Q6" s="134"/>
      <c r="R6" s="134"/>
      <c r="S6" s="134"/>
      <c r="T6" s="134"/>
      <c r="U6" s="137"/>
      <c r="V6" s="134"/>
      <c r="W6" s="134"/>
      <c r="X6" s="134"/>
      <c r="Y6" s="134"/>
      <c r="Z6" s="134"/>
      <c r="AA6" s="121"/>
    </row>
    <row r="7" spans="1:37" ht="15" x14ac:dyDescent="0.35">
      <c r="A7" s="139"/>
      <c r="B7" s="140"/>
      <c r="C7" s="140"/>
      <c r="D7" s="140"/>
      <c r="E7" s="140"/>
      <c r="F7" s="140"/>
      <c r="G7" s="141" t="s">
        <v>4</v>
      </c>
      <c r="H7" s="186">
        <v>12</v>
      </c>
      <c r="I7" s="142" t="s">
        <v>11</v>
      </c>
      <c r="J7" s="134"/>
      <c r="K7" s="134"/>
      <c r="L7" s="134"/>
      <c r="M7" s="134"/>
      <c r="N7" s="134"/>
      <c r="O7" s="134"/>
      <c r="P7" s="134"/>
      <c r="Q7" s="134"/>
      <c r="R7" s="134"/>
      <c r="S7" s="134"/>
      <c r="T7" s="134"/>
      <c r="U7" s="137"/>
      <c r="V7" s="134"/>
      <c r="W7" s="134"/>
      <c r="X7" s="134"/>
      <c r="Y7" s="134"/>
      <c r="Z7" s="134"/>
      <c r="AA7" s="121"/>
    </row>
    <row r="8" spans="1:37" ht="15" x14ac:dyDescent="0.35">
      <c r="A8" s="143"/>
      <c r="B8" s="137"/>
      <c r="C8" s="137"/>
      <c r="D8" s="137"/>
      <c r="E8" s="137"/>
      <c r="F8" s="137"/>
      <c r="G8" s="144" t="s">
        <v>5</v>
      </c>
      <c r="H8" s="187">
        <v>15</v>
      </c>
      <c r="I8" s="145" t="s">
        <v>11</v>
      </c>
      <c r="J8" s="134"/>
      <c r="K8" s="134"/>
      <c r="L8" s="134"/>
      <c r="M8" s="134"/>
      <c r="N8" s="134"/>
      <c r="O8" s="134"/>
      <c r="P8" s="134"/>
      <c r="Q8" s="134"/>
      <c r="R8" s="134"/>
      <c r="S8" s="134"/>
      <c r="T8" s="134"/>
      <c r="U8" s="137"/>
      <c r="V8" s="134"/>
      <c r="W8" s="134"/>
      <c r="X8" s="134"/>
      <c r="Y8" s="134"/>
      <c r="Z8" s="134"/>
      <c r="AA8" s="121"/>
    </row>
    <row r="9" spans="1:37" ht="15" x14ac:dyDescent="0.35">
      <c r="A9" s="143"/>
      <c r="B9" s="137"/>
      <c r="C9" s="137"/>
      <c r="D9" s="137"/>
      <c r="E9" s="137"/>
      <c r="F9" s="137"/>
      <c r="G9" s="144" t="s">
        <v>6</v>
      </c>
      <c r="H9" s="187">
        <v>18</v>
      </c>
      <c r="I9" s="145" t="s">
        <v>11</v>
      </c>
      <c r="J9" s="134"/>
      <c r="K9" s="134"/>
      <c r="L9" s="134"/>
      <c r="M9" s="134"/>
      <c r="N9" s="134"/>
      <c r="O9" s="134"/>
      <c r="P9" s="134"/>
      <c r="Q9" s="134"/>
      <c r="R9" s="134"/>
      <c r="S9" s="134"/>
      <c r="T9" s="134"/>
      <c r="U9" s="137"/>
      <c r="V9" s="134"/>
      <c r="W9" s="134"/>
      <c r="X9" s="134"/>
      <c r="Y9" s="134"/>
      <c r="Z9" s="134"/>
      <c r="AA9" s="121"/>
    </row>
    <row r="10" spans="1:37" ht="15" x14ac:dyDescent="0.35">
      <c r="A10" s="143"/>
      <c r="B10" s="137"/>
      <c r="C10" s="137"/>
      <c r="D10" s="137"/>
      <c r="E10" s="137"/>
      <c r="F10" s="137"/>
      <c r="G10" s="144" t="s">
        <v>7</v>
      </c>
      <c r="H10" s="187">
        <v>60</v>
      </c>
      <c r="I10" s="145" t="s">
        <v>11</v>
      </c>
      <c r="J10" s="134"/>
      <c r="K10" s="134"/>
      <c r="L10" s="134"/>
      <c r="M10" s="134"/>
      <c r="N10" s="134"/>
      <c r="O10" s="134"/>
      <c r="P10" s="134"/>
      <c r="Q10" s="134"/>
      <c r="R10" s="134"/>
      <c r="S10" s="134"/>
      <c r="T10" s="134"/>
      <c r="U10" s="137"/>
      <c r="V10" s="134"/>
      <c r="W10" s="134"/>
      <c r="X10" s="134"/>
      <c r="Y10" s="134"/>
      <c r="Z10" s="134"/>
      <c r="AA10" s="121"/>
    </row>
    <row r="11" spans="1:37" ht="15" x14ac:dyDescent="0.35">
      <c r="A11" s="143"/>
      <c r="B11" s="137"/>
      <c r="C11" s="137"/>
      <c r="D11" s="137"/>
      <c r="E11" s="137"/>
      <c r="F11" s="137"/>
      <c r="G11" s="144" t="s">
        <v>8</v>
      </c>
      <c r="H11" s="187">
        <v>0.3</v>
      </c>
      <c r="I11" s="145" t="s">
        <v>12</v>
      </c>
      <c r="J11" s="134"/>
      <c r="K11" s="134"/>
      <c r="L11" s="134"/>
      <c r="M11" s="134"/>
      <c r="N11" s="134"/>
      <c r="O11" s="134"/>
      <c r="P11" s="134"/>
      <c r="Q11" s="134"/>
      <c r="R11" s="134"/>
      <c r="S11" s="134"/>
      <c r="T11" s="134"/>
      <c r="U11" s="137"/>
      <c r="V11" s="134"/>
      <c r="W11" s="134"/>
      <c r="X11" s="134"/>
      <c r="Y11" s="134"/>
      <c r="Z11" s="134"/>
      <c r="AA11" s="121"/>
    </row>
    <row r="12" spans="1:37" ht="15" x14ac:dyDescent="0.35">
      <c r="A12" s="143"/>
      <c r="B12" s="137"/>
      <c r="C12" s="137"/>
      <c r="D12" s="137"/>
      <c r="E12" s="137"/>
      <c r="F12" s="137"/>
      <c r="G12" s="144" t="s">
        <v>9</v>
      </c>
      <c r="H12" s="187">
        <v>2500</v>
      </c>
      <c r="I12" s="145" t="s">
        <v>13</v>
      </c>
      <c r="J12" s="134"/>
      <c r="K12" s="134"/>
      <c r="L12" s="134"/>
      <c r="M12" s="134"/>
      <c r="N12" s="134"/>
      <c r="O12" s="134"/>
      <c r="P12" s="134"/>
      <c r="Q12" s="134"/>
      <c r="R12" s="134"/>
      <c r="S12" s="134"/>
      <c r="T12" s="134"/>
      <c r="U12" s="137"/>
      <c r="V12" s="134"/>
      <c r="W12" s="134"/>
      <c r="X12" s="134"/>
      <c r="Y12" s="134"/>
      <c r="Z12" s="134"/>
      <c r="AA12" s="121"/>
    </row>
    <row r="13" spans="1:37" ht="15" x14ac:dyDescent="0.35">
      <c r="A13" s="143"/>
      <c r="B13" s="137"/>
      <c r="C13" s="137"/>
      <c r="D13" s="137"/>
      <c r="E13" s="137"/>
      <c r="F13" s="137"/>
      <c r="G13" s="144" t="s">
        <v>76</v>
      </c>
      <c r="H13" s="188">
        <f>RT/1000</f>
        <v>7.8849999999999998</v>
      </c>
      <c r="I13" s="145" t="s">
        <v>77</v>
      </c>
      <c r="J13" s="134"/>
      <c r="K13" s="134"/>
      <c r="L13" s="134"/>
      <c r="M13" s="134"/>
      <c r="N13" s="134"/>
      <c r="O13" s="134"/>
      <c r="P13" s="134"/>
      <c r="Q13" s="134"/>
      <c r="R13" s="134"/>
      <c r="S13" s="134"/>
      <c r="T13" s="134"/>
      <c r="U13" s="137"/>
      <c r="V13" s="134"/>
      <c r="W13" s="134"/>
      <c r="X13" s="134"/>
      <c r="Y13" s="134"/>
      <c r="Z13" s="134"/>
      <c r="AA13" s="121"/>
    </row>
    <row r="14" spans="1:37" x14ac:dyDescent="0.3">
      <c r="A14" s="143"/>
      <c r="B14" s="137"/>
      <c r="C14" s="137"/>
      <c r="D14" s="137"/>
      <c r="E14" s="137"/>
      <c r="F14" s="137"/>
      <c r="G14" s="144" t="s">
        <v>10</v>
      </c>
      <c r="H14" s="187">
        <v>80</v>
      </c>
      <c r="I14" s="145" t="s">
        <v>14</v>
      </c>
      <c r="J14" s="134"/>
      <c r="K14" s="134"/>
      <c r="L14" s="134"/>
      <c r="M14" s="134"/>
      <c r="N14" s="134"/>
      <c r="O14" s="134"/>
      <c r="P14" s="134"/>
      <c r="Q14" s="134"/>
      <c r="R14" s="134"/>
      <c r="S14" s="134"/>
      <c r="T14" s="134"/>
      <c r="U14" s="137"/>
      <c r="V14" s="134"/>
      <c r="W14" s="134"/>
      <c r="X14" s="134"/>
      <c r="Y14" s="134"/>
      <c r="Z14" s="134"/>
      <c r="AA14" s="121"/>
    </row>
    <row r="15" spans="1:37" ht="15" x14ac:dyDescent="0.35">
      <c r="A15" s="143"/>
      <c r="B15" s="137"/>
      <c r="C15" s="137"/>
      <c r="D15" s="137"/>
      <c r="E15" s="137"/>
      <c r="F15" s="137"/>
      <c r="G15" s="144" t="s">
        <v>15</v>
      </c>
      <c r="H15" s="189">
        <f>POUT</f>
        <v>18</v>
      </c>
      <c r="I15" s="145" t="s">
        <v>39</v>
      </c>
      <c r="J15" s="134"/>
      <c r="K15" s="134"/>
      <c r="L15" s="134"/>
      <c r="M15" s="134"/>
      <c r="N15" s="134"/>
      <c r="O15" s="134"/>
      <c r="P15" s="134"/>
      <c r="Q15" s="134"/>
      <c r="R15" s="134"/>
      <c r="S15" s="134"/>
      <c r="T15" s="134"/>
      <c r="U15" s="137"/>
      <c r="V15" s="134"/>
      <c r="W15" s="134"/>
      <c r="X15" s="134"/>
      <c r="Y15" s="134"/>
      <c r="Z15" s="134"/>
      <c r="AA15" s="121"/>
    </row>
    <row r="16" spans="1:37" ht="15" x14ac:dyDescent="0.35">
      <c r="A16" s="146"/>
      <c r="B16" s="147"/>
      <c r="C16" s="147"/>
      <c r="D16" s="147"/>
      <c r="E16" s="147"/>
      <c r="F16" s="137"/>
      <c r="G16" s="148" t="s">
        <v>475</v>
      </c>
      <c r="H16" s="192">
        <f>Dc_max_IC*100</f>
        <v>82.954545454545453</v>
      </c>
      <c r="I16" s="145" t="s">
        <v>14</v>
      </c>
      <c r="J16" s="134"/>
      <c r="K16" s="134"/>
      <c r="L16" s="134"/>
      <c r="M16" s="134"/>
      <c r="N16" s="134"/>
      <c r="O16" s="134"/>
      <c r="P16" s="134"/>
      <c r="Q16" s="134"/>
      <c r="R16" s="134"/>
      <c r="S16" s="134"/>
      <c r="T16" s="134"/>
      <c r="U16" s="137"/>
      <c r="V16" s="134"/>
      <c r="W16" s="134"/>
      <c r="X16" s="134"/>
      <c r="Y16" s="134"/>
      <c r="Z16" s="134"/>
      <c r="AA16" s="121"/>
    </row>
    <row r="17" spans="1:27" ht="15.6" thickBot="1" x14ac:dyDescent="0.4">
      <c r="A17" s="149"/>
      <c r="B17" s="150"/>
      <c r="C17" s="150"/>
      <c r="D17" s="150"/>
      <c r="E17" s="150"/>
      <c r="F17" s="151"/>
      <c r="G17" s="152" t="s">
        <v>474</v>
      </c>
      <c r="H17" s="190">
        <f>Variable_Management!B19*100</f>
        <v>80</v>
      </c>
      <c r="I17" s="153" t="s">
        <v>14</v>
      </c>
      <c r="J17" s="134"/>
      <c r="K17" s="134"/>
      <c r="L17" s="134"/>
      <c r="M17" s="134"/>
      <c r="N17" s="134"/>
      <c r="O17" s="134"/>
      <c r="P17" s="134"/>
      <c r="Q17" s="134"/>
      <c r="R17" s="134"/>
      <c r="S17" s="134"/>
      <c r="T17" s="134"/>
      <c r="U17" s="137"/>
      <c r="V17" s="134"/>
      <c r="W17" s="134"/>
      <c r="X17" s="134"/>
      <c r="Y17" s="134"/>
      <c r="Z17" s="134"/>
      <c r="AA17" s="121"/>
    </row>
    <row r="18" spans="1:27" x14ac:dyDescent="0.3">
      <c r="A18" s="147"/>
      <c r="B18" s="154"/>
      <c r="C18" s="154"/>
      <c r="D18" s="154"/>
      <c r="E18" s="147"/>
      <c r="F18" s="134"/>
      <c r="G18" s="135"/>
      <c r="H18" s="134"/>
      <c r="I18" s="134"/>
      <c r="J18" s="134"/>
      <c r="K18" s="134"/>
      <c r="L18" s="134"/>
      <c r="M18" s="134"/>
      <c r="N18" s="134"/>
      <c r="O18" s="134"/>
      <c r="P18" s="134"/>
      <c r="Q18" s="134"/>
      <c r="R18" s="134"/>
      <c r="S18" s="134"/>
      <c r="T18" s="134"/>
      <c r="U18" s="137"/>
      <c r="V18" s="134"/>
      <c r="W18" s="134"/>
      <c r="X18" s="134"/>
      <c r="Y18" s="134"/>
      <c r="Z18" s="134"/>
      <c r="AA18" s="121"/>
    </row>
    <row r="19" spans="1:27" ht="15" thickBot="1" x14ac:dyDescent="0.35">
      <c r="A19" s="155" t="s">
        <v>565</v>
      </c>
      <c r="B19" s="154"/>
      <c r="C19" s="154"/>
      <c r="D19" s="154"/>
      <c r="E19" s="147"/>
      <c r="F19" s="134"/>
      <c r="G19" s="135"/>
      <c r="H19" s="134"/>
      <c r="I19" s="134"/>
      <c r="J19" s="134"/>
      <c r="K19" s="134"/>
      <c r="L19" s="134"/>
      <c r="M19" s="134"/>
      <c r="N19" s="134"/>
      <c r="O19" s="134"/>
      <c r="P19" s="134"/>
      <c r="Q19" s="134"/>
      <c r="R19" s="134"/>
      <c r="S19" s="134"/>
      <c r="T19" s="134"/>
      <c r="U19" s="137"/>
      <c r="V19" s="134"/>
      <c r="W19" s="134"/>
      <c r="X19" s="134"/>
      <c r="Y19" s="134"/>
      <c r="Z19" s="134"/>
      <c r="AA19" s="121"/>
    </row>
    <row r="20" spans="1:27" ht="15" x14ac:dyDescent="0.35">
      <c r="A20" s="156"/>
      <c r="B20" s="157"/>
      <c r="C20" s="157"/>
      <c r="D20" s="157"/>
      <c r="E20" s="157"/>
      <c r="F20" s="140"/>
      <c r="G20" s="141" t="s">
        <v>476</v>
      </c>
      <c r="H20" s="186">
        <v>60</v>
      </c>
      <c r="I20" s="142" t="s">
        <v>14</v>
      </c>
      <c r="J20" s="134"/>
      <c r="K20" s="134"/>
      <c r="L20" s="134"/>
      <c r="M20" s="134"/>
      <c r="N20" s="134"/>
      <c r="O20" s="134"/>
      <c r="P20" s="134"/>
      <c r="Q20" s="134"/>
      <c r="R20" s="134"/>
      <c r="S20" s="134"/>
      <c r="T20" s="134"/>
      <c r="U20" s="137"/>
      <c r="V20" s="134"/>
      <c r="W20" s="134"/>
      <c r="X20" s="134"/>
      <c r="Y20" s="134"/>
      <c r="Z20" s="134"/>
      <c r="AA20" s="121"/>
    </row>
    <row r="21" spans="1:27" ht="15" x14ac:dyDescent="0.35">
      <c r="A21" s="143"/>
      <c r="B21" s="137"/>
      <c r="C21" s="137"/>
      <c r="D21" s="137"/>
      <c r="E21" s="137"/>
      <c r="F21" s="137"/>
      <c r="G21" s="144" t="s">
        <v>448</v>
      </c>
      <c r="H21" s="191">
        <f>Lopt_2*10^6</f>
        <v>8.4000000000000021</v>
      </c>
      <c r="I21" s="145" t="s">
        <v>105</v>
      </c>
      <c r="J21" s="134"/>
      <c r="K21" s="134"/>
      <c r="L21" s="134"/>
      <c r="M21" s="134"/>
      <c r="N21" s="134"/>
      <c r="O21" s="134"/>
      <c r="P21" s="134"/>
      <c r="Q21" s="134"/>
      <c r="R21" s="134"/>
      <c r="S21" s="134"/>
      <c r="T21" s="134"/>
      <c r="U21" s="137"/>
      <c r="V21" s="134"/>
      <c r="W21" s="134"/>
      <c r="X21" s="134"/>
      <c r="Y21" s="134"/>
      <c r="Z21" s="134"/>
      <c r="AA21" s="121"/>
    </row>
    <row r="22" spans="1:27" ht="15" x14ac:dyDescent="0.35">
      <c r="A22" s="143"/>
      <c r="B22" s="137"/>
      <c r="C22" s="137"/>
      <c r="D22" s="137"/>
      <c r="E22" s="137"/>
      <c r="F22" s="137"/>
      <c r="G22" s="144" t="s">
        <v>449</v>
      </c>
      <c r="H22" s="187">
        <v>10</v>
      </c>
      <c r="I22" s="145" t="s">
        <v>105</v>
      </c>
      <c r="J22" s="134"/>
      <c r="K22" s="134"/>
      <c r="L22" s="134"/>
      <c r="M22" s="134"/>
      <c r="N22" s="134"/>
      <c r="O22" s="134"/>
      <c r="P22" s="134"/>
      <c r="Q22" s="134"/>
      <c r="R22" s="134"/>
      <c r="S22" s="134"/>
      <c r="T22" s="134"/>
      <c r="U22" s="137"/>
      <c r="V22" s="134"/>
      <c r="W22" s="134"/>
      <c r="X22" s="134"/>
      <c r="Y22" s="134"/>
      <c r="Z22" s="134"/>
      <c r="AA22" s="121"/>
    </row>
    <row r="23" spans="1:27" ht="15" x14ac:dyDescent="0.35">
      <c r="A23" s="143"/>
      <c r="B23" s="137"/>
      <c r="C23" s="137"/>
      <c r="D23" s="137"/>
      <c r="E23" s="137"/>
      <c r="F23" s="137"/>
      <c r="G23" s="144" t="s">
        <v>82</v>
      </c>
      <c r="H23" s="187">
        <v>10</v>
      </c>
      <c r="I23" s="145" t="s">
        <v>107</v>
      </c>
      <c r="J23" s="134"/>
      <c r="K23" s="134"/>
      <c r="L23" s="134"/>
      <c r="M23" s="134"/>
      <c r="N23" s="134"/>
      <c r="O23" s="134"/>
      <c r="P23" s="134"/>
      <c r="Q23" s="134"/>
      <c r="R23" s="134"/>
      <c r="S23" s="134"/>
      <c r="T23" s="134"/>
      <c r="U23" s="137"/>
      <c r="V23" s="134"/>
      <c r="W23" s="134"/>
      <c r="X23" s="134"/>
      <c r="Y23" s="134"/>
      <c r="Z23" s="134"/>
      <c r="AA23" s="121"/>
    </row>
    <row r="24" spans="1:27" ht="15.6" thickBot="1" x14ac:dyDescent="0.4">
      <c r="A24" s="158"/>
      <c r="B24" s="151"/>
      <c r="C24" s="151"/>
      <c r="D24" s="151"/>
      <c r="E24" s="151"/>
      <c r="F24" s="151"/>
      <c r="G24" s="159" t="s">
        <v>108</v>
      </c>
      <c r="H24" s="250">
        <f>ILp_VINmin</f>
        <v>2.0670000000000002</v>
      </c>
      <c r="I24" s="153" t="s">
        <v>12</v>
      </c>
      <c r="J24" s="134"/>
      <c r="K24" s="134"/>
      <c r="L24" s="134"/>
      <c r="M24" s="134"/>
      <c r="N24" s="134"/>
      <c r="O24" s="134"/>
      <c r="P24" s="134"/>
      <c r="Q24" s="134"/>
      <c r="R24" s="134"/>
      <c r="S24" s="134"/>
      <c r="T24" s="134"/>
      <c r="U24" s="137"/>
      <c r="V24" s="134"/>
      <c r="W24" s="134"/>
      <c r="X24" s="134"/>
      <c r="Y24" s="134"/>
      <c r="Z24" s="134"/>
      <c r="AA24" s="121"/>
    </row>
    <row r="25" spans="1:27" x14ac:dyDescent="0.3">
      <c r="A25" s="137"/>
      <c r="B25" s="137"/>
      <c r="C25" s="137"/>
      <c r="D25" s="137"/>
      <c r="E25" s="137"/>
      <c r="F25" s="137"/>
      <c r="G25" s="144"/>
      <c r="H25" s="251"/>
      <c r="I25" s="137"/>
      <c r="J25" s="134"/>
      <c r="K25" s="134"/>
      <c r="L25" s="134"/>
      <c r="M25" s="134"/>
      <c r="N25" s="134"/>
      <c r="O25" s="134"/>
      <c r="P25" s="134"/>
      <c r="Q25" s="134"/>
      <c r="R25" s="134"/>
      <c r="S25" s="134"/>
      <c r="T25" s="134"/>
      <c r="U25" s="137"/>
      <c r="V25" s="134"/>
      <c r="W25" s="134"/>
      <c r="X25" s="134"/>
      <c r="Y25" s="134"/>
      <c r="Z25" s="134"/>
      <c r="AA25" s="121"/>
    </row>
    <row r="26" spans="1:27" ht="15" thickBot="1" x14ac:dyDescent="0.35">
      <c r="A26" s="155" t="s">
        <v>595</v>
      </c>
      <c r="B26" s="137"/>
      <c r="C26" s="137"/>
      <c r="D26" s="134"/>
      <c r="E26" s="134"/>
      <c r="F26" s="134"/>
      <c r="G26" s="135"/>
      <c r="H26" s="134"/>
      <c r="I26" s="134"/>
      <c r="J26" s="134"/>
      <c r="K26" s="134"/>
      <c r="L26" s="134"/>
      <c r="M26" s="134"/>
      <c r="N26" s="134"/>
      <c r="O26" s="134"/>
      <c r="P26" s="134"/>
      <c r="Q26" s="134"/>
      <c r="R26" s="134"/>
      <c r="S26" s="134"/>
      <c r="T26" s="134"/>
      <c r="U26" s="137"/>
      <c r="V26" s="134"/>
      <c r="W26" s="134"/>
      <c r="X26" s="134"/>
      <c r="Y26" s="134"/>
      <c r="Z26" s="134"/>
      <c r="AA26" s="121"/>
    </row>
    <row r="27" spans="1:27" x14ac:dyDescent="0.3">
      <c r="A27" s="139"/>
      <c r="B27" s="140"/>
      <c r="C27" s="140"/>
      <c r="D27" s="140"/>
      <c r="E27" s="140"/>
      <c r="F27" s="140"/>
      <c r="G27" s="164" t="s">
        <v>497</v>
      </c>
      <c r="H27" s="252" t="str">
        <f>IF(OR(VOUT&gt;Vout_op_max_58,VIN_max&gt;Vin_op_max_58,ILpk*1.15&gt;Isw_lim_57),"No Device",IF(ILpk*1.15&lt;=Isw_lim_581,"LM51581",IF(ILpk*1.15&lt;=Isw_lim_58,"LM5158",IF(AND(VIN_max&lt;=VIN_op_max_57,VOUT&lt;=Vout_op_max_57),IF(ILpk*1.15&lt;=Isw_lim_571,"LM51571","LM5157"),"No Device"))))</f>
        <v>LM5158</v>
      </c>
      <c r="I27" s="142"/>
      <c r="J27" s="134"/>
      <c r="K27" s="134"/>
      <c r="L27" s="134"/>
      <c r="M27" s="134"/>
      <c r="N27" s="134"/>
      <c r="O27" s="134"/>
      <c r="P27" s="134"/>
      <c r="Q27" s="134"/>
      <c r="R27" s="134"/>
      <c r="S27" s="134"/>
      <c r="T27" s="134"/>
      <c r="U27" s="137"/>
      <c r="V27" s="134"/>
      <c r="W27" s="134"/>
      <c r="X27" s="134"/>
      <c r="Y27" s="134"/>
      <c r="Z27" s="134"/>
      <c r="AA27" s="121"/>
    </row>
    <row r="28" spans="1:27" x14ac:dyDescent="0.3">
      <c r="A28" s="143"/>
      <c r="B28" s="137"/>
      <c r="C28" s="137"/>
      <c r="D28" s="137"/>
      <c r="E28" s="137"/>
      <c r="F28" s="137"/>
      <c r="G28" s="144" t="s">
        <v>503</v>
      </c>
      <c r="H28" s="238" t="s">
        <v>558</v>
      </c>
      <c r="I28" s="145"/>
      <c r="J28" s="134"/>
      <c r="K28" s="134"/>
      <c r="L28" s="134"/>
      <c r="M28" s="134"/>
      <c r="N28" s="134"/>
      <c r="O28" s="134"/>
      <c r="P28" s="134"/>
      <c r="Q28" s="134"/>
      <c r="R28" s="134"/>
      <c r="S28" s="134"/>
      <c r="T28" s="134"/>
      <c r="U28" s="137"/>
      <c r="V28" s="134"/>
      <c r="W28" s="134"/>
      <c r="X28" s="134"/>
      <c r="Y28" s="134"/>
      <c r="Z28" s="134"/>
      <c r="AA28" s="121"/>
    </row>
    <row r="29" spans="1:27" x14ac:dyDescent="0.3">
      <c r="A29" s="143"/>
      <c r="B29" s="137"/>
      <c r="C29" s="137"/>
      <c r="D29" s="137"/>
      <c r="E29" s="137"/>
      <c r="F29" s="137"/>
      <c r="G29" s="144" t="s">
        <v>477</v>
      </c>
      <c r="H29" s="254">
        <f>(I_lim_s-ILp_VINmin)/ILp_VINmin*100</f>
        <v>45.137880986937581</v>
      </c>
      <c r="I29" s="145" t="s">
        <v>14</v>
      </c>
      <c r="J29" s="134"/>
      <c r="K29" s="134"/>
      <c r="L29" s="134"/>
      <c r="M29" s="134"/>
      <c r="N29" s="134"/>
      <c r="O29" s="134"/>
      <c r="P29" s="134"/>
      <c r="Q29" s="134"/>
      <c r="R29" s="134"/>
      <c r="S29" s="134"/>
      <c r="T29" s="134"/>
      <c r="U29" s="137"/>
      <c r="V29" s="134"/>
      <c r="W29" s="134"/>
      <c r="X29" s="134"/>
      <c r="Y29" s="134"/>
      <c r="Z29" s="134"/>
      <c r="AA29" s="121"/>
    </row>
    <row r="30" spans="1:27" ht="15" thickBot="1" x14ac:dyDescent="0.35">
      <c r="A30" s="158"/>
      <c r="B30" s="151"/>
      <c r="C30" s="151"/>
      <c r="D30" s="151"/>
      <c r="E30" s="151"/>
      <c r="F30" s="151"/>
      <c r="G30" s="159" t="s">
        <v>484</v>
      </c>
      <c r="H30" s="255" t="str">
        <f>IF(Se&gt;Sn_half, "Pass", "Fail")</f>
        <v>Pass</v>
      </c>
      <c r="I30" s="153"/>
      <c r="J30" s="134"/>
      <c r="K30" s="134"/>
      <c r="L30" s="134"/>
      <c r="M30" s="134"/>
      <c r="N30" s="134"/>
      <c r="O30" s="134"/>
      <c r="P30" s="134"/>
      <c r="Q30" s="134"/>
      <c r="R30" s="134"/>
      <c r="S30" s="134"/>
      <c r="T30" s="134"/>
      <c r="U30" s="137"/>
      <c r="V30" s="134"/>
      <c r="W30" s="134"/>
      <c r="X30" s="134"/>
      <c r="Y30" s="134"/>
      <c r="Z30" s="134"/>
      <c r="AA30" s="121"/>
    </row>
    <row r="31" spans="1:27" x14ac:dyDescent="0.3">
      <c r="A31" s="134"/>
      <c r="B31" s="134"/>
      <c r="C31" s="134"/>
      <c r="D31" s="134"/>
      <c r="E31" s="134"/>
      <c r="F31" s="134"/>
      <c r="G31" s="135"/>
      <c r="H31" s="134"/>
      <c r="I31" s="134"/>
      <c r="J31" s="134"/>
      <c r="K31" s="134"/>
      <c r="L31" s="134"/>
      <c r="M31" s="134"/>
      <c r="N31" s="134"/>
      <c r="O31" s="134"/>
      <c r="P31" s="134"/>
      <c r="Q31" s="134"/>
      <c r="R31" s="134"/>
      <c r="S31" s="134"/>
      <c r="T31" s="134"/>
      <c r="U31" s="137"/>
      <c r="V31" s="134"/>
      <c r="W31" s="134"/>
      <c r="X31" s="134"/>
      <c r="Y31" s="134"/>
      <c r="Z31" s="134"/>
      <c r="AA31" s="121"/>
    </row>
    <row r="32" spans="1:27" ht="15" thickBot="1" x14ac:dyDescent="0.35">
      <c r="A32" s="155" t="s">
        <v>180</v>
      </c>
      <c r="B32" s="134"/>
      <c r="C32" s="134"/>
      <c r="D32" s="134"/>
      <c r="E32" s="134"/>
      <c r="F32" s="134"/>
      <c r="G32" s="135"/>
      <c r="H32" s="134"/>
      <c r="I32" s="134"/>
      <c r="J32" s="134"/>
      <c r="K32" s="134"/>
      <c r="L32" s="134"/>
      <c r="M32" s="134"/>
      <c r="N32" s="134"/>
      <c r="O32" s="134"/>
      <c r="P32" s="134"/>
      <c r="Q32" s="134"/>
      <c r="R32" s="134"/>
      <c r="S32" s="134"/>
      <c r="T32" s="134"/>
      <c r="U32" s="137"/>
      <c r="V32" s="134"/>
      <c r="W32" s="134"/>
      <c r="X32" s="134"/>
      <c r="Y32" s="134"/>
      <c r="Z32" s="134"/>
      <c r="AA32" s="121"/>
    </row>
    <row r="33" spans="1:27" ht="15.6" x14ac:dyDescent="0.35">
      <c r="A33" s="139"/>
      <c r="B33" s="140"/>
      <c r="C33" s="140"/>
      <c r="D33" s="140"/>
      <c r="E33" s="140"/>
      <c r="F33" s="140"/>
      <c r="G33" s="164" t="s">
        <v>181</v>
      </c>
      <c r="H33" s="186">
        <v>100</v>
      </c>
      <c r="I33" s="142" t="s">
        <v>182</v>
      </c>
      <c r="J33" s="134"/>
      <c r="K33" s="134"/>
      <c r="L33" s="134"/>
      <c r="M33" s="134"/>
      <c r="N33" s="134"/>
      <c r="O33" s="134"/>
      <c r="P33" s="134"/>
      <c r="Q33" s="134"/>
      <c r="R33" s="134"/>
      <c r="S33" s="134"/>
      <c r="T33" s="134"/>
      <c r="U33" s="137"/>
      <c r="V33" s="134"/>
      <c r="W33" s="134"/>
      <c r="X33" s="134"/>
      <c r="Y33" s="134"/>
      <c r="Z33" s="134"/>
      <c r="AA33" s="121"/>
    </row>
    <row r="34" spans="1:27" x14ac:dyDescent="0.3">
      <c r="A34" s="143"/>
      <c r="B34" s="137"/>
      <c r="C34" s="137"/>
      <c r="D34" s="137"/>
      <c r="E34" s="137"/>
      <c r="F34" s="137"/>
      <c r="G34" s="160" t="s">
        <v>183</v>
      </c>
      <c r="H34" s="192">
        <f>Cout_min*10^6</f>
        <v>0.96</v>
      </c>
      <c r="I34" s="145" t="s">
        <v>184</v>
      </c>
      <c r="J34" s="134"/>
      <c r="K34" s="134"/>
      <c r="L34" s="134"/>
      <c r="M34" s="134"/>
      <c r="N34" s="134"/>
      <c r="O34" s="134"/>
      <c r="P34" s="134"/>
      <c r="Q34" s="134"/>
      <c r="R34" s="134"/>
      <c r="S34" s="134"/>
      <c r="T34" s="134"/>
      <c r="U34" s="137"/>
      <c r="V34" s="134"/>
      <c r="W34" s="134"/>
      <c r="X34" s="134"/>
      <c r="Y34" s="134"/>
      <c r="Z34" s="134"/>
      <c r="AA34" s="121"/>
    </row>
    <row r="35" spans="1:27" ht="15.6" x14ac:dyDescent="0.35">
      <c r="A35" s="143"/>
      <c r="B35" s="137"/>
      <c r="C35" s="137"/>
      <c r="D35" s="137"/>
      <c r="E35" s="137"/>
      <c r="F35" s="137"/>
      <c r="G35" s="160" t="s">
        <v>191</v>
      </c>
      <c r="H35" s="188">
        <f>IRMS_COUT</f>
        <v>0.60813682670925306</v>
      </c>
      <c r="I35" s="145" t="s">
        <v>12</v>
      </c>
      <c r="J35" s="134"/>
      <c r="K35" s="134"/>
      <c r="L35" s="134"/>
      <c r="M35" s="134"/>
      <c r="N35" s="134"/>
      <c r="O35" s="134"/>
      <c r="P35" s="134"/>
      <c r="Q35" s="134"/>
      <c r="R35" s="134"/>
      <c r="S35" s="134"/>
      <c r="T35" s="134"/>
      <c r="U35" s="137"/>
      <c r="V35" s="134"/>
      <c r="W35" s="134"/>
      <c r="X35" s="134"/>
      <c r="Y35" s="134"/>
      <c r="Z35" s="134"/>
      <c r="AA35" s="121"/>
    </row>
    <row r="36" spans="1:27" ht="15.6" x14ac:dyDescent="0.35">
      <c r="A36" s="143"/>
      <c r="B36" s="137"/>
      <c r="C36" s="137"/>
      <c r="D36" s="137"/>
      <c r="E36" s="137"/>
      <c r="F36" s="137"/>
      <c r="G36" s="160" t="s">
        <v>185</v>
      </c>
      <c r="H36" s="187">
        <v>15</v>
      </c>
      <c r="I36" s="145" t="s">
        <v>184</v>
      </c>
      <c r="J36" s="134"/>
      <c r="K36" s="134"/>
      <c r="L36" s="134"/>
      <c r="M36" s="134"/>
      <c r="N36" s="134"/>
      <c r="O36" s="134"/>
      <c r="P36" s="134"/>
      <c r="Q36" s="134"/>
      <c r="R36" s="134"/>
      <c r="S36" s="134"/>
      <c r="T36" s="134"/>
      <c r="U36" s="137"/>
      <c r="V36" s="134"/>
      <c r="W36" s="134"/>
      <c r="X36" s="134"/>
      <c r="Y36" s="134"/>
      <c r="Z36" s="134"/>
      <c r="AA36" s="121"/>
    </row>
    <row r="37" spans="1:27" ht="16.2" thickBot="1" x14ac:dyDescent="0.4">
      <c r="A37" s="158"/>
      <c r="B37" s="151"/>
      <c r="C37" s="151"/>
      <c r="D37" s="151"/>
      <c r="E37" s="151"/>
      <c r="F37" s="151"/>
      <c r="G37" s="162" t="s">
        <v>194</v>
      </c>
      <c r="H37" s="193">
        <v>0.22</v>
      </c>
      <c r="I37" s="153" t="s">
        <v>107</v>
      </c>
      <c r="J37" s="134"/>
      <c r="K37" s="134"/>
      <c r="L37" s="134"/>
      <c r="M37" s="134"/>
      <c r="N37" s="134"/>
      <c r="O37" s="134"/>
      <c r="P37" s="134"/>
      <c r="Q37" s="134"/>
      <c r="R37" s="134"/>
      <c r="S37" s="134"/>
      <c r="T37" s="134"/>
      <c r="U37" s="137"/>
      <c r="V37" s="134"/>
      <c r="W37" s="134"/>
      <c r="X37" s="134"/>
      <c r="Y37" s="134"/>
      <c r="Z37" s="134"/>
      <c r="AA37" s="121"/>
    </row>
    <row r="38" spans="1:27" x14ac:dyDescent="0.3">
      <c r="A38" s="134"/>
      <c r="B38" s="134"/>
      <c r="C38" s="134"/>
      <c r="D38" s="134"/>
      <c r="E38" s="134"/>
      <c r="F38" s="134"/>
      <c r="G38" s="135"/>
      <c r="H38" s="134"/>
      <c r="I38" s="134"/>
      <c r="J38" s="134"/>
      <c r="K38" s="134"/>
      <c r="L38" s="134"/>
      <c r="M38" s="134"/>
      <c r="N38" s="134"/>
      <c r="O38" s="134"/>
      <c r="P38" s="134"/>
      <c r="Q38" s="134"/>
      <c r="R38" s="134"/>
      <c r="S38" s="134"/>
      <c r="T38" s="134"/>
      <c r="U38" s="137"/>
      <c r="V38" s="134"/>
      <c r="W38" s="134"/>
      <c r="X38" s="134"/>
      <c r="Y38" s="134"/>
      <c r="Z38" s="134"/>
      <c r="AA38" s="121"/>
    </row>
    <row r="39" spans="1:27" ht="15" thickBot="1" x14ac:dyDescent="0.35">
      <c r="A39" s="155" t="s">
        <v>314</v>
      </c>
      <c r="B39" s="134"/>
      <c r="C39" s="134"/>
      <c r="D39" s="134"/>
      <c r="E39" s="134"/>
      <c r="F39" s="134"/>
      <c r="G39" s="135"/>
      <c r="H39" s="134"/>
      <c r="I39" s="134"/>
      <c r="J39" s="134"/>
      <c r="K39" s="134"/>
      <c r="L39" s="134"/>
      <c r="M39" s="134"/>
      <c r="N39" s="134"/>
      <c r="O39" s="134"/>
      <c r="P39" s="134"/>
      <c r="Q39" s="134"/>
      <c r="R39" s="134"/>
      <c r="S39" s="134"/>
      <c r="T39" s="134"/>
      <c r="U39" s="137"/>
      <c r="V39" s="134"/>
      <c r="W39" s="134"/>
      <c r="X39" s="134"/>
      <c r="Y39" s="134"/>
      <c r="Z39" s="134"/>
      <c r="AA39" s="121"/>
    </row>
    <row r="40" spans="1:27" ht="15.6" x14ac:dyDescent="0.35">
      <c r="A40" s="139"/>
      <c r="B40" s="140"/>
      <c r="C40" s="140"/>
      <c r="D40" s="140"/>
      <c r="E40" s="140"/>
      <c r="F40" s="140"/>
      <c r="G40" s="164" t="s">
        <v>336</v>
      </c>
      <c r="H40" s="196">
        <f>Variable_Management!B109*(10^9)</f>
        <v>29.999999999999996</v>
      </c>
      <c r="I40" s="142" t="s">
        <v>212</v>
      </c>
      <c r="J40" s="134"/>
      <c r="K40" s="134"/>
      <c r="L40" s="134"/>
      <c r="M40" s="134"/>
      <c r="N40" s="134"/>
      <c r="O40" s="134"/>
      <c r="P40" s="134"/>
      <c r="Q40" s="134"/>
      <c r="R40" s="134"/>
      <c r="S40" s="134"/>
      <c r="T40" s="134"/>
      <c r="U40" s="137"/>
      <c r="V40" s="134"/>
      <c r="W40" s="134"/>
      <c r="X40" s="134"/>
      <c r="Y40" s="134"/>
      <c r="Z40" s="134"/>
      <c r="AA40" s="121"/>
    </row>
    <row r="41" spans="1:27" ht="15.6" x14ac:dyDescent="0.35">
      <c r="A41" s="143"/>
      <c r="B41" s="137"/>
      <c r="C41" s="137"/>
      <c r="D41" s="137"/>
      <c r="E41" s="137"/>
      <c r="F41" s="137"/>
      <c r="G41" s="160" t="s">
        <v>341</v>
      </c>
      <c r="H41" s="187">
        <v>2</v>
      </c>
      <c r="I41" s="145" t="s">
        <v>337</v>
      </c>
      <c r="J41" s="134"/>
      <c r="K41" s="134"/>
      <c r="L41" s="134"/>
      <c r="M41" s="134"/>
      <c r="N41" s="134"/>
      <c r="O41" s="134"/>
      <c r="P41" s="134"/>
      <c r="Q41" s="134"/>
      <c r="R41" s="134"/>
      <c r="S41" s="134"/>
      <c r="T41" s="134"/>
      <c r="U41" s="137"/>
      <c r="V41" s="134"/>
      <c r="W41" s="134"/>
      <c r="X41" s="134"/>
      <c r="Y41" s="134"/>
      <c r="Z41" s="134"/>
      <c r="AA41" s="121"/>
    </row>
    <row r="42" spans="1:27" ht="16.2" thickBot="1" x14ac:dyDescent="0.4">
      <c r="A42" s="158"/>
      <c r="B42" s="151"/>
      <c r="C42" s="151"/>
      <c r="D42" s="151"/>
      <c r="E42" s="151"/>
      <c r="F42" s="151"/>
      <c r="G42" s="162" t="s">
        <v>340</v>
      </c>
      <c r="H42" s="197">
        <f>Variable_Management!B111*(10^9)</f>
        <v>24.999999999999996</v>
      </c>
      <c r="I42" s="153" t="s">
        <v>212</v>
      </c>
      <c r="J42" s="134"/>
      <c r="K42" s="134"/>
      <c r="L42" s="134"/>
      <c r="M42" s="134"/>
      <c r="N42" s="134"/>
      <c r="O42" s="134"/>
      <c r="P42" s="134"/>
      <c r="Q42" s="134"/>
      <c r="R42" s="134"/>
      <c r="S42" s="134"/>
      <c r="T42" s="134"/>
      <c r="U42" s="137"/>
      <c r="V42" s="134"/>
      <c r="W42" s="134"/>
      <c r="X42" s="134"/>
      <c r="Y42" s="134"/>
      <c r="Z42" s="134"/>
      <c r="AA42" s="121"/>
    </row>
    <row r="43" spans="1:27" x14ac:dyDescent="0.3">
      <c r="A43" s="134"/>
      <c r="B43" s="134"/>
      <c r="C43" s="134"/>
      <c r="D43" s="134"/>
      <c r="E43" s="134"/>
      <c r="F43" s="134"/>
      <c r="G43" s="135"/>
      <c r="H43" s="134"/>
      <c r="I43" s="134"/>
      <c r="J43" s="134"/>
      <c r="K43" s="134"/>
      <c r="L43" s="134"/>
      <c r="M43" s="134"/>
      <c r="N43" s="134"/>
      <c r="O43" s="134"/>
      <c r="P43" s="134"/>
      <c r="Q43" s="134"/>
      <c r="R43" s="134"/>
      <c r="S43" s="134"/>
      <c r="T43" s="134"/>
      <c r="U43" s="137"/>
      <c r="V43" s="134"/>
      <c r="W43" s="134"/>
      <c r="X43" s="134"/>
      <c r="Y43" s="134"/>
      <c r="Z43" s="134"/>
      <c r="AA43" s="121"/>
    </row>
    <row r="44" spans="1:27" ht="15" thickBot="1" x14ac:dyDescent="0.35">
      <c r="A44" s="155" t="s">
        <v>315</v>
      </c>
      <c r="B44" s="134"/>
      <c r="C44" s="134"/>
      <c r="D44" s="134"/>
      <c r="E44" s="134"/>
      <c r="F44" s="134"/>
      <c r="G44" s="135"/>
      <c r="H44" s="134"/>
      <c r="I44" s="134"/>
      <c r="J44" s="134"/>
      <c r="K44" s="134"/>
      <c r="L44" s="134"/>
      <c r="M44" s="134"/>
      <c r="N44" s="134"/>
      <c r="O44" s="134"/>
      <c r="P44" s="134"/>
      <c r="Q44" s="134"/>
      <c r="R44" s="134"/>
      <c r="S44" s="134"/>
      <c r="T44" s="134"/>
      <c r="U44" s="137"/>
      <c r="V44" s="134"/>
      <c r="W44" s="134"/>
      <c r="X44" s="134"/>
      <c r="Y44" s="134"/>
      <c r="Z44" s="134"/>
      <c r="AA44" s="121"/>
    </row>
    <row r="45" spans="1:27" ht="15.6" x14ac:dyDescent="0.35">
      <c r="A45" s="139"/>
      <c r="B45" s="140"/>
      <c r="C45" s="140"/>
      <c r="D45" s="140"/>
      <c r="E45" s="140"/>
      <c r="F45" s="140"/>
      <c r="G45" s="164" t="s">
        <v>343</v>
      </c>
      <c r="H45" s="186">
        <v>2.8</v>
      </c>
      <c r="I45" s="142" t="s">
        <v>11</v>
      </c>
      <c r="J45" s="134"/>
      <c r="K45" s="134"/>
      <c r="L45" s="134"/>
      <c r="M45" s="134"/>
      <c r="N45" s="134"/>
      <c r="O45" s="134"/>
      <c r="P45" s="134"/>
      <c r="Q45" s="134"/>
      <c r="R45" s="134"/>
      <c r="S45" s="134"/>
      <c r="T45" s="134"/>
      <c r="U45" s="137"/>
      <c r="V45" s="134"/>
      <c r="W45" s="134"/>
      <c r="X45" s="134"/>
      <c r="Y45" s="134"/>
      <c r="Z45" s="134"/>
      <c r="AA45" s="121"/>
    </row>
    <row r="46" spans="1:27" ht="15.6" x14ac:dyDescent="0.35">
      <c r="A46" s="143"/>
      <c r="B46" s="137"/>
      <c r="C46" s="137"/>
      <c r="D46" s="137"/>
      <c r="E46" s="137"/>
      <c r="F46" s="137"/>
      <c r="G46" s="160" t="s">
        <v>342</v>
      </c>
      <c r="H46" s="187">
        <v>2.4</v>
      </c>
      <c r="I46" s="145" t="s">
        <v>11</v>
      </c>
      <c r="J46" s="134"/>
      <c r="K46" s="134"/>
      <c r="L46" s="134"/>
      <c r="M46" s="134"/>
      <c r="N46" s="134"/>
      <c r="O46" s="134"/>
      <c r="P46" s="134"/>
      <c r="Q46" s="185">
        <f>VIN_min</f>
        <v>12</v>
      </c>
      <c r="R46" s="134"/>
      <c r="S46" s="134"/>
      <c r="T46" s="134"/>
      <c r="U46" s="137"/>
      <c r="V46" s="134"/>
      <c r="W46" s="134"/>
      <c r="X46" s="134"/>
      <c r="Y46" s="134"/>
      <c r="Z46" s="134"/>
      <c r="AA46" s="121"/>
    </row>
    <row r="47" spans="1:27" ht="15.6" x14ac:dyDescent="0.35">
      <c r="A47" s="143"/>
      <c r="B47" s="137"/>
      <c r="C47" s="137"/>
      <c r="D47" s="137"/>
      <c r="E47" s="137"/>
      <c r="F47" s="137"/>
      <c r="G47" s="160" t="s">
        <v>453</v>
      </c>
      <c r="H47" s="194">
        <f>Ruvlo_top_calc/1000</f>
        <v>61.333333333333336</v>
      </c>
      <c r="I47" s="161" t="s">
        <v>209</v>
      </c>
      <c r="J47" s="134"/>
      <c r="K47" s="134"/>
      <c r="L47" s="134"/>
      <c r="M47" s="134"/>
      <c r="N47" s="134"/>
      <c r="O47" s="134"/>
      <c r="P47" s="134"/>
      <c r="Q47" s="134"/>
      <c r="R47" s="134"/>
      <c r="S47" s="134"/>
      <c r="T47" s="134"/>
      <c r="U47" s="137"/>
      <c r="V47" s="134"/>
      <c r="W47" s="134"/>
      <c r="X47" s="134"/>
      <c r="Y47" s="134"/>
      <c r="Z47" s="134"/>
      <c r="AA47" s="121"/>
    </row>
    <row r="48" spans="1:27" ht="15.6" x14ac:dyDescent="0.35">
      <c r="A48" s="143"/>
      <c r="B48" s="137"/>
      <c r="C48" s="137"/>
      <c r="D48" s="137"/>
      <c r="E48" s="137"/>
      <c r="F48" s="137"/>
      <c r="G48" s="160" t="s">
        <v>454</v>
      </c>
      <c r="H48" s="187">
        <v>61.9</v>
      </c>
      <c r="I48" s="161" t="s">
        <v>209</v>
      </c>
      <c r="J48" s="134"/>
      <c r="K48" s="134"/>
      <c r="L48" s="134"/>
      <c r="M48" s="134"/>
      <c r="N48" s="134"/>
      <c r="O48" s="134"/>
      <c r="P48" s="134"/>
      <c r="Q48" s="134"/>
      <c r="R48" s="134"/>
      <c r="S48" s="134"/>
      <c r="T48" s="134"/>
      <c r="U48" s="137"/>
      <c r="V48" s="134"/>
      <c r="W48" s="134"/>
      <c r="X48" s="134"/>
      <c r="Y48" s="134"/>
      <c r="Z48" s="134"/>
      <c r="AA48" s="121"/>
    </row>
    <row r="49" spans="1:27" ht="16.2" thickBot="1" x14ac:dyDescent="0.4">
      <c r="A49" s="158"/>
      <c r="B49" s="151"/>
      <c r="C49" s="151"/>
      <c r="D49" s="151"/>
      <c r="E49" s="151"/>
      <c r="F49" s="151"/>
      <c r="G49" s="162" t="s">
        <v>455</v>
      </c>
      <c r="H49" s="195">
        <f>Ruvlo_bottom_calc/1000</f>
        <v>71.423076923076934</v>
      </c>
      <c r="I49" s="163" t="s">
        <v>209</v>
      </c>
      <c r="J49" s="134"/>
      <c r="K49" s="134"/>
      <c r="L49" s="134"/>
      <c r="M49" s="134"/>
      <c r="N49" s="134"/>
      <c r="O49" s="134"/>
      <c r="P49" s="134"/>
      <c r="Q49" s="134"/>
      <c r="R49" s="134"/>
      <c r="S49" s="134"/>
      <c r="T49" s="134"/>
      <c r="U49" s="137"/>
      <c r="V49" s="134"/>
      <c r="W49" s="134"/>
      <c r="X49" s="134"/>
      <c r="Y49" s="134"/>
      <c r="Z49" s="134"/>
      <c r="AA49" s="121"/>
    </row>
    <row r="50" spans="1:27" x14ac:dyDescent="0.3">
      <c r="A50" s="134"/>
      <c r="B50" s="134"/>
      <c r="C50" s="134"/>
      <c r="D50" s="134"/>
      <c r="E50" s="134"/>
      <c r="F50" s="134"/>
      <c r="G50" s="135"/>
      <c r="H50" s="134"/>
      <c r="I50" s="134"/>
      <c r="J50" s="134"/>
      <c r="K50" s="134"/>
      <c r="L50" s="134"/>
      <c r="M50" s="134"/>
      <c r="N50" s="134"/>
      <c r="O50" s="134"/>
      <c r="P50" s="134"/>
      <c r="Q50" s="134"/>
      <c r="R50" s="134"/>
      <c r="S50" s="134"/>
      <c r="T50" s="134"/>
      <c r="U50" s="137"/>
      <c r="V50" s="134"/>
      <c r="W50" s="134"/>
      <c r="X50" s="134"/>
      <c r="Y50" s="134"/>
      <c r="Z50" s="134"/>
      <c r="AA50" s="121"/>
    </row>
    <row r="51" spans="1:27" ht="15" thickBot="1" x14ac:dyDescent="0.35">
      <c r="A51" s="155" t="s">
        <v>366</v>
      </c>
      <c r="B51" s="134"/>
      <c r="C51" s="134"/>
      <c r="D51" s="134"/>
      <c r="E51" s="134"/>
      <c r="F51" s="134"/>
      <c r="G51" s="134"/>
      <c r="H51" s="134"/>
      <c r="I51" s="134"/>
      <c r="J51" s="134"/>
      <c r="K51" s="134"/>
      <c r="L51" s="134"/>
      <c r="M51" s="134"/>
      <c r="N51" s="134"/>
      <c r="O51" s="134"/>
      <c r="P51" s="134"/>
      <c r="Q51" s="134"/>
      <c r="R51" s="134"/>
      <c r="S51" s="134"/>
      <c r="T51" s="134"/>
      <c r="U51" s="137"/>
      <c r="V51" s="134"/>
      <c r="W51" s="134"/>
      <c r="X51" s="134"/>
      <c r="Y51" s="134"/>
      <c r="Z51" s="134"/>
      <c r="AA51" s="121"/>
    </row>
    <row r="52" spans="1:27" ht="15.6" x14ac:dyDescent="0.35">
      <c r="A52" s="165"/>
      <c r="B52" s="140"/>
      <c r="C52" s="140"/>
      <c r="D52" s="140"/>
      <c r="E52" s="140"/>
      <c r="F52" s="140"/>
      <c r="G52" s="166" t="s">
        <v>478</v>
      </c>
      <c r="H52" s="198" t="str">
        <f>VIN_nom&amp;"V"</f>
        <v>15V</v>
      </c>
      <c r="I52" s="142"/>
      <c r="J52" s="134"/>
      <c r="K52" s="134"/>
      <c r="L52" s="134"/>
      <c r="M52" s="134"/>
      <c r="N52" s="134"/>
      <c r="O52" s="134"/>
      <c r="P52" s="134"/>
      <c r="Q52" s="134"/>
      <c r="R52" s="134"/>
      <c r="S52" s="134"/>
      <c r="T52" s="134"/>
      <c r="U52" s="137"/>
      <c r="V52" s="134"/>
      <c r="W52" s="134"/>
      <c r="X52" s="134"/>
      <c r="Y52" s="134"/>
      <c r="Z52" s="134"/>
      <c r="AA52" s="121"/>
    </row>
    <row r="53" spans="1:27" x14ac:dyDescent="0.3">
      <c r="A53" s="143"/>
      <c r="B53" s="137"/>
      <c r="C53" s="137"/>
      <c r="D53" s="137"/>
      <c r="E53" s="137"/>
      <c r="F53" s="137"/>
      <c r="G53" s="137"/>
      <c r="H53" s="199"/>
      <c r="I53" s="145"/>
      <c r="J53" s="134"/>
      <c r="K53" s="134"/>
      <c r="L53" s="134"/>
      <c r="M53" s="134"/>
      <c r="N53" s="134"/>
      <c r="O53" s="134"/>
      <c r="P53" s="134"/>
      <c r="Q53" s="134"/>
      <c r="R53" s="134"/>
      <c r="S53" s="134"/>
      <c r="T53" s="134"/>
      <c r="U53" s="137"/>
      <c r="V53" s="134"/>
      <c r="W53" s="134"/>
      <c r="X53" s="134"/>
      <c r="Y53" s="134"/>
      <c r="Z53" s="134"/>
      <c r="AA53" s="121"/>
    </row>
    <row r="54" spans="1:27" x14ac:dyDescent="0.3">
      <c r="A54" s="167"/>
      <c r="B54" s="137"/>
      <c r="C54" s="137"/>
      <c r="D54" s="137"/>
      <c r="E54" s="137"/>
      <c r="F54" s="137"/>
      <c r="G54" s="168" t="s">
        <v>210</v>
      </c>
      <c r="H54" s="189"/>
      <c r="I54" s="145"/>
      <c r="J54" s="134"/>
      <c r="K54" s="134"/>
      <c r="L54" s="134"/>
      <c r="M54" s="134"/>
      <c r="N54" s="134"/>
      <c r="O54" s="134"/>
      <c r="P54" s="134"/>
      <c r="Q54" s="134"/>
      <c r="R54" s="134"/>
      <c r="S54" s="134"/>
      <c r="T54" s="134"/>
      <c r="U54" s="137"/>
      <c r="V54" s="134"/>
      <c r="W54" s="134"/>
      <c r="X54" s="134"/>
      <c r="Y54" s="134"/>
      <c r="Z54" s="134"/>
      <c r="AA54" s="121"/>
    </row>
    <row r="55" spans="1:27" ht="15.6" x14ac:dyDescent="0.35">
      <c r="A55" s="167"/>
      <c r="B55" s="137"/>
      <c r="C55" s="137"/>
      <c r="D55" s="137"/>
      <c r="E55" s="137"/>
      <c r="F55" s="137"/>
      <c r="G55" s="160" t="s">
        <v>312</v>
      </c>
      <c r="H55" s="187">
        <v>49.9</v>
      </c>
      <c r="I55" s="161" t="s">
        <v>209</v>
      </c>
      <c r="J55" s="134"/>
      <c r="K55" s="134"/>
      <c r="L55" s="134"/>
      <c r="M55" s="134"/>
      <c r="N55" s="134"/>
      <c r="O55" s="134"/>
      <c r="P55" s="134"/>
      <c r="Q55" s="134"/>
      <c r="R55" s="134"/>
      <c r="S55" s="134"/>
      <c r="T55" s="134"/>
      <c r="U55" s="137"/>
      <c r="V55" s="134"/>
      <c r="W55" s="134"/>
      <c r="X55" s="134"/>
      <c r="Y55" s="134"/>
      <c r="Z55" s="134"/>
      <c r="AA55" s="121"/>
    </row>
    <row r="56" spans="1:27" ht="15.6" x14ac:dyDescent="0.35">
      <c r="A56" s="167"/>
      <c r="B56" s="137"/>
      <c r="C56" s="137"/>
      <c r="D56" s="137"/>
      <c r="E56" s="137"/>
      <c r="F56" s="137"/>
      <c r="G56" s="160" t="s">
        <v>288</v>
      </c>
      <c r="H56" s="194">
        <f>RFBB_calc/1000</f>
        <v>0.84576271186440677</v>
      </c>
      <c r="I56" s="161" t="s">
        <v>209</v>
      </c>
      <c r="J56" s="134"/>
      <c r="K56" s="134"/>
      <c r="L56" s="134"/>
      <c r="M56" s="134"/>
      <c r="N56" s="134"/>
      <c r="O56" s="134"/>
      <c r="P56" s="134"/>
      <c r="Q56" s="134"/>
      <c r="R56" s="134"/>
      <c r="S56" s="134"/>
      <c r="T56" s="134"/>
      <c r="U56" s="137"/>
      <c r="V56" s="134"/>
      <c r="W56" s="134"/>
      <c r="X56" s="134"/>
      <c r="Y56" s="134"/>
      <c r="Z56" s="134"/>
      <c r="AA56" s="121"/>
    </row>
    <row r="57" spans="1:27" ht="15.6" x14ac:dyDescent="0.35">
      <c r="A57" s="167"/>
      <c r="B57" s="137"/>
      <c r="C57" s="137"/>
      <c r="D57" s="137"/>
      <c r="E57" s="137"/>
      <c r="F57" s="137"/>
      <c r="G57" s="160" t="s">
        <v>313</v>
      </c>
      <c r="H57" s="187">
        <v>4.53</v>
      </c>
      <c r="I57" s="161" t="s">
        <v>209</v>
      </c>
      <c r="J57" s="134"/>
      <c r="K57" s="134"/>
      <c r="L57" s="134"/>
      <c r="M57" s="134"/>
      <c r="N57" s="134"/>
      <c r="O57" s="134"/>
      <c r="P57" s="134"/>
      <c r="Q57" s="134"/>
      <c r="R57" s="134"/>
      <c r="S57" s="134"/>
      <c r="T57" s="134"/>
      <c r="U57" s="137"/>
      <c r="V57" s="134"/>
      <c r="W57" s="134"/>
      <c r="X57" s="134"/>
      <c r="Y57" s="134"/>
      <c r="Z57" s="134"/>
      <c r="AA57" s="121"/>
    </row>
    <row r="58" spans="1:27" x14ac:dyDescent="0.3">
      <c r="A58" s="143"/>
      <c r="B58" s="137"/>
      <c r="C58" s="137"/>
      <c r="D58" s="137"/>
      <c r="E58" s="137"/>
      <c r="F58" s="137"/>
      <c r="G58" s="160"/>
      <c r="H58" s="189"/>
      <c r="I58" s="145"/>
      <c r="J58" s="134"/>
      <c r="K58" s="134"/>
      <c r="L58" s="134"/>
      <c r="M58" s="134"/>
      <c r="N58" s="134"/>
      <c r="O58" s="134"/>
      <c r="P58" s="134"/>
      <c r="Q58" s="134"/>
      <c r="R58" s="134"/>
      <c r="S58" s="134"/>
      <c r="T58" s="134"/>
      <c r="U58" s="137"/>
      <c r="V58" s="134"/>
      <c r="W58" s="134"/>
      <c r="X58" s="134"/>
      <c r="Y58" s="134"/>
      <c r="Z58" s="134"/>
      <c r="AA58" s="121"/>
    </row>
    <row r="59" spans="1:27" x14ac:dyDescent="0.3">
      <c r="A59" s="143"/>
      <c r="B59" s="137"/>
      <c r="C59" s="137"/>
      <c r="D59" s="137"/>
      <c r="E59" s="137"/>
      <c r="F59" s="137"/>
      <c r="G59" s="160"/>
      <c r="H59" s="189"/>
      <c r="I59" s="145"/>
      <c r="J59" s="134"/>
      <c r="K59" s="134"/>
      <c r="L59" s="134"/>
      <c r="M59" s="134"/>
      <c r="N59" s="134"/>
      <c r="O59" s="134"/>
      <c r="P59" s="134"/>
      <c r="Q59" s="134"/>
      <c r="R59" s="134"/>
      <c r="S59" s="134"/>
      <c r="T59" s="134"/>
      <c r="U59" s="137"/>
      <c r="V59" s="134"/>
      <c r="W59" s="134"/>
      <c r="X59" s="134"/>
      <c r="Y59" s="134"/>
      <c r="Z59" s="134"/>
      <c r="AA59" s="121"/>
    </row>
    <row r="60" spans="1:27" x14ac:dyDescent="0.3">
      <c r="A60" s="143"/>
      <c r="B60" s="137"/>
      <c r="C60" s="137"/>
      <c r="D60" s="137"/>
      <c r="E60" s="137"/>
      <c r="F60" s="137"/>
      <c r="G60" s="160" t="s">
        <v>207</v>
      </c>
      <c r="H60" s="200">
        <f>fcross_est/1000</f>
        <v>25.464790894703263</v>
      </c>
      <c r="I60" s="145" t="s">
        <v>13</v>
      </c>
      <c r="J60" s="134"/>
      <c r="K60" s="134"/>
      <c r="L60" s="134"/>
      <c r="M60" s="134"/>
      <c r="N60" s="134"/>
      <c r="O60" s="134"/>
      <c r="P60" s="134"/>
      <c r="Q60" s="134"/>
      <c r="R60" s="134"/>
      <c r="S60" s="134"/>
      <c r="T60" s="134"/>
      <c r="U60" s="137"/>
      <c r="V60" s="134"/>
      <c r="W60" s="134"/>
      <c r="X60" s="134"/>
      <c r="Y60" s="134"/>
      <c r="Z60" s="134"/>
      <c r="AA60" s="121"/>
    </row>
    <row r="61" spans="1:27" ht="15.6" x14ac:dyDescent="0.35">
      <c r="A61" s="143"/>
      <c r="B61" s="137"/>
      <c r="C61" s="137"/>
      <c r="D61" s="137"/>
      <c r="E61" s="137"/>
      <c r="F61" s="137"/>
      <c r="G61" s="160" t="s">
        <v>452</v>
      </c>
      <c r="H61" s="187">
        <v>15</v>
      </c>
      <c r="I61" s="145" t="s">
        <v>13</v>
      </c>
      <c r="J61" s="134"/>
      <c r="K61" s="134"/>
      <c r="L61" s="134"/>
      <c r="M61" s="134"/>
      <c r="N61" s="134"/>
      <c r="O61" s="134"/>
      <c r="P61" s="134"/>
      <c r="Q61" s="134"/>
      <c r="R61" s="134"/>
      <c r="S61" s="134"/>
      <c r="T61" s="134"/>
      <c r="U61" s="137"/>
      <c r="V61" s="134"/>
      <c r="W61" s="134"/>
      <c r="X61" s="134"/>
      <c r="Y61" s="134"/>
      <c r="Z61" s="134"/>
      <c r="AA61" s="121"/>
    </row>
    <row r="62" spans="1:27" x14ac:dyDescent="0.3">
      <c r="A62" s="143"/>
      <c r="B62" s="137"/>
      <c r="C62" s="137"/>
      <c r="D62" s="137"/>
      <c r="E62" s="137"/>
      <c r="F62" s="137"/>
      <c r="G62" s="160"/>
      <c r="H62" s="189"/>
      <c r="I62" s="145"/>
      <c r="J62" s="134"/>
      <c r="K62" s="134"/>
      <c r="L62" s="134"/>
      <c r="M62" s="134"/>
      <c r="N62" s="134"/>
      <c r="O62" s="134"/>
      <c r="P62" s="134"/>
      <c r="Q62" s="134"/>
      <c r="R62" s="134"/>
      <c r="S62" s="134"/>
      <c r="T62" s="134"/>
      <c r="U62" s="137"/>
      <c r="V62" s="134"/>
      <c r="W62" s="134"/>
      <c r="X62" s="134"/>
      <c r="Y62" s="134"/>
      <c r="Z62" s="134"/>
      <c r="AA62" s="121"/>
    </row>
    <row r="63" spans="1:27" ht="15" thickBot="1" x14ac:dyDescent="0.35">
      <c r="A63" s="143"/>
      <c r="B63" s="137"/>
      <c r="C63" s="137"/>
      <c r="D63" s="137"/>
      <c r="E63" s="137"/>
      <c r="F63" s="170" t="s">
        <v>317</v>
      </c>
      <c r="G63" s="170"/>
      <c r="H63" s="201" t="s">
        <v>318</v>
      </c>
      <c r="I63" s="171"/>
      <c r="J63" s="134"/>
      <c r="K63" s="134"/>
      <c r="L63" s="134"/>
      <c r="M63" s="134"/>
      <c r="N63" s="134"/>
      <c r="O63" s="134"/>
      <c r="P63" s="134"/>
      <c r="Q63" s="134"/>
      <c r="R63" s="134"/>
      <c r="S63" s="134"/>
      <c r="T63" s="134"/>
      <c r="U63" s="137"/>
      <c r="V63" s="134"/>
      <c r="W63" s="134"/>
      <c r="X63" s="134"/>
      <c r="Y63" s="134"/>
      <c r="Z63" s="134"/>
      <c r="AA63" s="121"/>
    </row>
    <row r="64" spans="1:27" ht="16.2" thickBot="1" x14ac:dyDescent="0.4">
      <c r="A64" s="143"/>
      <c r="B64" s="137"/>
      <c r="C64" s="137"/>
      <c r="D64" s="137"/>
      <c r="E64" s="160" t="s">
        <v>316</v>
      </c>
      <c r="F64" s="203">
        <f>Rcomp_calc/1000</f>
        <v>8.0158040099079315</v>
      </c>
      <c r="G64" s="207" t="s">
        <v>209</v>
      </c>
      <c r="H64" s="204">
        <v>2.61</v>
      </c>
      <c r="I64" s="161" t="s">
        <v>209</v>
      </c>
      <c r="J64" s="134"/>
      <c r="K64" s="134"/>
      <c r="L64" s="134"/>
      <c r="M64" s="134"/>
      <c r="N64" s="134"/>
      <c r="O64" s="134"/>
      <c r="P64" s="134"/>
      <c r="Q64" s="134"/>
      <c r="R64" s="134"/>
      <c r="S64" s="134"/>
      <c r="T64" s="134"/>
      <c r="U64" s="137"/>
      <c r="V64" s="134"/>
      <c r="W64" s="134"/>
      <c r="X64" s="134"/>
      <c r="Y64" s="134"/>
      <c r="Z64" s="134"/>
      <c r="AA64" s="121"/>
    </row>
    <row r="65" spans="1:27" ht="16.2" thickBot="1" x14ac:dyDescent="0.4">
      <c r="A65" s="143"/>
      <c r="B65" s="137"/>
      <c r="C65" s="137"/>
      <c r="D65" s="137"/>
      <c r="E65" s="160" t="s">
        <v>437</v>
      </c>
      <c r="F65" s="205">
        <f>CComp_calc*(10^9)</f>
        <v>15.738486862337471</v>
      </c>
      <c r="G65" s="207" t="s">
        <v>212</v>
      </c>
      <c r="H65" s="204">
        <v>10</v>
      </c>
      <c r="I65" s="145" t="s">
        <v>212</v>
      </c>
      <c r="J65" s="134"/>
      <c r="K65" s="134"/>
      <c r="L65" s="134"/>
      <c r="M65" s="134"/>
      <c r="N65" s="134"/>
      <c r="O65" s="134"/>
      <c r="P65" s="134"/>
      <c r="Q65" s="134"/>
      <c r="R65" s="134"/>
      <c r="S65" s="134"/>
      <c r="T65" s="134"/>
      <c r="U65" s="137"/>
      <c r="V65" s="134"/>
      <c r="W65" s="134"/>
      <c r="X65" s="134"/>
      <c r="Y65" s="134"/>
      <c r="Z65" s="134"/>
      <c r="AA65" s="121"/>
    </row>
    <row r="66" spans="1:27" ht="16.2" thickBot="1" x14ac:dyDescent="0.4">
      <c r="A66" s="158"/>
      <c r="B66" s="151"/>
      <c r="C66" s="151"/>
      <c r="D66" s="151"/>
      <c r="E66" s="162" t="s">
        <v>438</v>
      </c>
      <c r="F66" s="202">
        <f>Variable_Management!B181*(10^12)</f>
        <v>69.614086682848566</v>
      </c>
      <c r="G66" s="208" t="s">
        <v>211</v>
      </c>
      <c r="H66" s="193">
        <v>100</v>
      </c>
      <c r="I66" s="153" t="s">
        <v>211</v>
      </c>
      <c r="J66" s="134"/>
      <c r="K66" s="134"/>
      <c r="L66" s="134"/>
      <c r="M66" s="134"/>
      <c r="N66" s="134"/>
      <c r="O66" s="134"/>
      <c r="P66" s="134"/>
      <c r="Q66" s="134"/>
      <c r="R66" s="134"/>
      <c r="S66" s="134"/>
      <c r="T66" s="134"/>
      <c r="U66" s="137"/>
      <c r="V66" s="134"/>
      <c r="W66" s="134"/>
      <c r="X66" s="134"/>
      <c r="Y66" s="134"/>
      <c r="Z66" s="134"/>
      <c r="AA66" s="121"/>
    </row>
    <row r="67" spans="1:27" x14ac:dyDescent="0.3">
      <c r="A67" s="134"/>
      <c r="B67" s="134"/>
      <c r="C67" s="134"/>
      <c r="D67" s="134"/>
      <c r="E67" s="135"/>
      <c r="F67" s="172"/>
      <c r="G67" s="135"/>
      <c r="H67" s="173"/>
      <c r="I67" s="134"/>
      <c r="J67" s="134"/>
      <c r="K67" s="134"/>
      <c r="L67" s="134"/>
      <c r="M67" s="134"/>
      <c r="N67" s="134"/>
      <c r="O67" s="134"/>
      <c r="P67" s="134"/>
      <c r="Q67" s="134"/>
      <c r="R67" s="134"/>
      <c r="S67" s="134"/>
      <c r="T67" s="134"/>
      <c r="U67" s="137"/>
      <c r="V67" s="134"/>
      <c r="W67" s="134"/>
      <c r="X67" s="134"/>
      <c r="Y67" s="134"/>
      <c r="Z67" s="134"/>
      <c r="AA67" s="121"/>
    </row>
    <row r="68" spans="1:27" ht="23.4" x14ac:dyDescent="0.45">
      <c r="A68" s="174" t="s">
        <v>578</v>
      </c>
      <c r="B68" s="175"/>
      <c r="C68" s="175"/>
      <c r="D68" s="175"/>
      <c r="E68" s="175"/>
      <c r="F68" s="175"/>
      <c r="G68" s="176"/>
      <c r="H68" s="175"/>
      <c r="I68" s="175"/>
      <c r="J68" s="175"/>
      <c r="K68" s="175"/>
      <c r="L68" s="175"/>
      <c r="M68" s="175"/>
      <c r="N68" s="175"/>
      <c r="O68" s="175"/>
      <c r="P68" s="175"/>
      <c r="Q68" s="175"/>
      <c r="R68" s="175"/>
      <c r="S68" s="175"/>
      <c r="T68" s="177"/>
      <c r="U68" s="178"/>
      <c r="V68" s="177"/>
      <c r="W68" s="177"/>
      <c r="X68" s="177"/>
      <c r="Y68" s="177"/>
      <c r="Z68" s="177"/>
    </row>
    <row r="69" spans="1:27" x14ac:dyDescent="0.3">
      <c r="A69" s="134"/>
      <c r="B69" s="134"/>
      <c r="C69" s="134"/>
      <c r="D69" s="134"/>
      <c r="E69" s="134"/>
      <c r="F69" s="134"/>
      <c r="G69" s="134"/>
      <c r="H69" s="134"/>
      <c r="I69" s="134"/>
      <c r="J69" s="134"/>
      <c r="K69" s="134"/>
      <c r="L69" s="134"/>
      <c r="M69" s="134"/>
      <c r="N69" s="134"/>
      <c r="O69" s="134"/>
      <c r="P69" s="134"/>
      <c r="Q69" s="134"/>
      <c r="R69" s="134"/>
      <c r="S69" s="134"/>
      <c r="T69" s="134"/>
      <c r="U69" s="137"/>
      <c r="V69" s="134"/>
      <c r="W69" s="134"/>
      <c r="X69" s="134"/>
      <c r="Y69" s="134"/>
      <c r="Z69" s="134"/>
      <c r="AA69" s="121"/>
    </row>
    <row r="70" spans="1:27" x14ac:dyDescent="0.3">
      <c r="A70" s="134"/>
      <c r="B70" s="134"/>
      <c r="C70" s="134"/>
      <c r="D70" s="134"/>
      <c r="E70" s="134"/>
      <c r="F70" s="134"/>
      <c r="G70" s="134"/>
      <c r="H70" s="134"/>
      <c r="I70" s="134"/>
      <c r="J70" s="134"/>
      <c r="K70" s="134"/>
      <c r="L70" s="134"/>
      <c r="M70" s="134"/>
      <c r="N70" s="134"/>
      <c r="O70" s="134"/>
      <c r="P70" s="134"/>
      <c r="Q70" s="134"/>
      <c r="R70" s="134"/>
      <c r="S70" s="134"/>
      <c r="T70" s="134"/>
      <c r="U70" s="137"/>
      <c r="V70" s="134"/>
      <c r="W70" s="134"/>
      <c r="X70" s="134"/>
      <c r="Y70" s="134"/>
      <c r="Z70" s="134"/>
      <c r="AA70" s="121"/>
    </row>
    <row r="71" spans="1:27" ht="15" thickBot="1" x14ac:dyDescent="0.35">
      <c r="A71" s="180" t="s">
        <v>390</v>
      </c>
      <c r="B71" s="134"/>
      <c r="C71" s="134"/>
      <c r="D71" s="134"/>
      <c r="E71" s="134"/>
      <c r="F71" s="134"/>
      <c r="G71" s="135"/>
      <c r="H71" s="134"/>
      <c r="I71" s="134"/>
      <c r="J71" s="134"/>
      <c r="K71" s="179"/>
      <c r="L71" s="179"/>
      <c r="M71" s="179"/>
      <c r="N71" s="179"/>
      <c r="O71" s="179"/>
      <c r="P71" s="179"/>
      <c r="Q71" s="179"/>
      <c r="R71" s="179"/>
      <c r="S71" s="179"/>
      <c r="T71" s="179"/>
      <c r="U71" s="169"/>
      <c r="V71" s="173"/>
      <c r="W71" s="179"/>
      <c r="X71" s="179"/>
      <c r="Y71" s="179"/>
      <c r="Z71" s="179"/>
      <c r="AA71" s="121"/>
    </row>
    <row r="72" spans="1:27" ht="15.6" x14ac:dyDescent="0.35">
      <c r="A72" s="139"/>
      <c r="B72" s="140"/>
      <c r="C72" s="140"/>
      <c r="D72" s="140"/>
      <c r="E72" s="140"/>
      <c r="F72" s="140"/>
      <c r="G72" s="164" t="s">
        <v>481</v>
      </c>
      <c r="H72" s="206">
        <f>IOUT</f>
        <v>0.3</v>
      </c>
      <c r="I72" s="142" t="s">
        <v>12</v>
      </c>
      <c r="J72" s="134"/>
      <c r="K72" s="179"/>
      <c r="L72" s="179"/>
      <c r="M72" s="179"/>
      <c r="N72" s="179"/>
      <c r="O72" s="179"/>
      <c r="P72" s="179"/>
      <c r="Q72" s="179"/>
      <c r="R72" s="179"/>
      <c r="S72" s="179"/>
      <c r="T72" s="179"/>
      <c r="U72" s="169"/>
      <c r="V72" s="173"/>
      <c r="W72" s="179"/>
      <c r="X72" s="179"/>
      <c r="Y72" s="179"/>
      <c r="Z72" s="179"/>
      <c r="AA72" s="121"/>
    </row>
    <row r="73" spans="1:27" ht="15.6" x14ac:dyDescent="0.35">
      <c r="A73" s="143"/>
      <c r="B73" s="137"/>
      <c r="C73" s="137"/>
      <c r="D73" s="137"/>
      <c r="E73" s="137"/>
      <c r="F73" s="137"/>
      <c r="G73" s="160" t="s">
        <v>391</v>
      </c>
      <c r="H73" s="187">
        <v>420</v>
      </c>
      <c r="I73" s="145" t="s">
        <v>182</v>
      </c>
      <c r="J73" s="134"/>
      <c r="K73" s="179"/>
      <c r="L73" s="179"/>
      <c r="M73" s="179"/>
      <c r="N73" s="179"/>
      <c r="O73" s="179"/>
      <c r="P73" s="179"/>
      <c r="Q73" s="179"/>
      <c r="R73" s="179"/>
      <c r="S73" s="179"/>
      <c r="T73" s="179"/>
      <c r="U73" s="169"/>
      <c r="V73" s="173"/>
      <c r="W73" s="179"/>
      <c r="X73" s="179"/>
      <c r="Y73" s="179"/>
      <c r="Z73" s="179"/>
      <c r="AA73" s="121"/>
    </row>
    <row r="74" spans="1:27" ht="15" thickBot="1" x14ac:dyDescent="0.35">
      <c r="A74" s="158"/>
      <c r="B74" s="151"/>
      <c r="C74" s="151"/>
      <c r="D74" s="151"/>
      <c r="E74" s="151"/>
      <c r="F74" s="151"/>
      <c r="G74" s="162" t="s">
        <v>399</v>
      </c>
      <c r="H74" s="193">
        <v>5</v>
      </c>
      <c r="I74" s="153" t="s">
        <v>388</v>
      </c>
      <c r="J74" s="134"/>
      <c r="K74" s="179"/>
      <c r="L74" s="179"/>
      <c r="M74" s="179"/>
      <c r="N74" s="179"/>
      <c r="O74" s="179"/>
      <c r="P74" s="179"/>
      <c r="Q74" s="179"/>
      <c r="R74" s="179"/>
      <c r="S74" s="179"/>
      <c r="T74" s="179"/>
      <c r="U74" s="169"/>
      <c r="V74" s="173"/>
      <c r="W74" s="179"/>
      <c r="X74" s="179"/>
      <c r="Y74" s="179"/>
      <c r="Z74" s="179"/>
      <c r="AA74" s="121"/>
    </row>
    <row r="75" spans="1:27" x14ac:dyDescent="0.3">
      <c r="A75" s="134"/>
      <c r="B75" s="134"/>
      <c r="C75" s="134"/>
      <c r="D75" s="134"/>
      <c r="E75" s="134"/>
      <c r="F75" s="134"/>
      <c r="G75" s="134"/>
      <c r="H75" s="134"/>
      <c r="I75" s="134"/>
      <c r="J75" s="134"/>
      <c r="K75" s="179"/>
      <c r="L75" s="179"/>
      <c r="M75" s="179"/>
      <c r="N75" s="179"/>
      <c r="O75" s="179"/>
      <c r="P75" s="179"/>
      <c r="Q75" s="179"/>
      <c r="R75" s="179"/>
      <c r="S75" s="179"/>
      <c r="T75" s="179"/>
      <c r="U75" s="169"/>
      <c r="V75" s="173"/>
      <c r="W75" s="179"/>
      <c r="X75" s="179"/>
      <c r="Y75" s="179"/>
      <c r="Z75" s="179"/>
      <c r="AA75" s="121"/>
    </row>
    <row r="76" spans="1:27" ht="15" thickBot="1" x14ac:dyDescent="0.35">
      <c r="A76" s="180" t="s">
        <v>527</v>
      </c>
      <c r="B76" s="134"/>
      <c r="C76" s="134"/>
      <c r="D76" s="134"/>
      <c r="E76" s="134"/>
      <c r="F76" s="134"/>
      <c r="G76" s="134"/>
      <c r="H76" s="134"/>
      <c r="I76" s="134"/>
      <c r="J76" s="134"/>
      <c r="K76" s="179"/>
      <c r="L76" s="179"/>
      <c r="M76" s="179"/>
      <c r="N76" s="179"/>
      <c r="O76" s="179"/>
      <c r="P76" s="179"/>
      <c r="Q76" s="179"/>
      <c r="R76" s="179"/>
      <c r="S76" s="179"/>
      <c r="T76" s="179"/>
      <c r="U76" s="169"/>
      <c r="V76" s="173"/>
      <c r="W76" s="179"/>
      <c r="X76" s="179"/>
      <c r="Y76" s="179"/>
      <c r="Z76" s="179"/>
      <c r="AA76" s="121"/>
    </row>
    <row r="77" spans="1:27" ht="15" thickBot="1" x14ac:dyDescent="0.35">
      <c r="A77" s="221"/>
      <c r="B77" s="222"/>
      <c r="C77" s="222"/>
      <c r="D77" s="222"/>
      <c r="E77" s="222"/>
      <c r="F77" s="222"/>
      <c r="G77" s="223" t="s">
        <v>528</v>
      </c>
      <c r="H77" s="204">
        <v>25</v>
      </c>
      <c r="I77" s="220" t="s">
        <v>529</v>
      </c>
      <c r="J77" s="134"/>
      <c r="K77" s="179"/>
      <c r="L77" s="179"/>
      <c r="M77" s="179"/>
      <c r="N77" s="179"/>
      <c r="O77" s="179"/>
      <c r="P77" s="179"/>
      <c r="Q77" s="179"/>
      <c r="R77" s="179"/>
      <c r="S77" s="179"/>
      <c r="T77" s="179"/>
      <c r="U77" s="169"/>
      <c r="V77" s="173"/>
      <c r="W77" s="179"/>
      <c r="X77" s="179"/>
      <c r="Y77" s="179"/>
      <c r="Z77" s="179"/>
      <c r="AA77" s="121"/>
    </row>
    <row r="78" spans="1:27" x14ac:dyDescent="0.3">
      <c r="A78" s="134"/>
      <c r="B78" s="134"/>
      <c r="C78" s="134"/>
      <c r="D78" s="134"/>
      <c r="E78" s="134"/>
      <c r="F78" s="134"/>
      <c r="G78" s="134"/>
      <c r="H78" s="134"/>
      <c r="I78" s="134"/>
      <c r="J78" s="134"/>
      <c r="K78" s="134"/>
      <c r="L78" s="134"/>
      <c r="M78" s="134"/>
      <c r="N78" s="134"/>
      <c r="O78" s="134"/>
      <c r="P78" s="134"/>
      <c r="Q78" s="134"/>
      <c r="R78" s="134"/>
      <c r="S78" s="134"/>
      <c r="T78" s="134"/>
      <c r="U78" s="137"/>
      <c r="V78" s="134"/>
      <c r="W78" s="134"/>
      <c r="X78" s="134"/>
      <c r="Y78" s="134"/>
      <c r="Z78" s="134"/>
      <c r="AA78" s="121"/>
    </row>
    <row r="79" spans="1:27" x14ac:dyDescent="0.3">
      <c r="A79" s="134"/>
      <c r="B79" s="134"/>
      <c r="C79" s="134"/>
      <c r="D79" s="134"/>
      <c r="E79" s="134"/>
      <c r="F79" s="134"/>
      <c r="G79" s="134"/>
      <c r="H79" s="134"/>
      <c r="I79" s="134"/>
      <c r="J79" s="134"/>
      <c r="K79" s="134"/>
      <c r="L79" s="134"/>
      <c r="M79" s="134"/>
      <c r="N79" s="134"/>
      <c r="O79" s="134"/>
      <c r="P79" s="134"/>
      <c r="Q79" s="134"/>
      <c r="R79" s="134"/>
      <c r="S79" s="134"/>
      <c r="T79" s="134"/>
      <c r="U79" s="137"/>
      <c r="V79" s="134"/>
      <c r="W79" s="134"/>
      <c r="X79" s="134"/>
      <c r="Y79" s="134"/>
      <c r="Z79" s="134"/>
      <c r="AA79" s="121"/>
    </row>
    <row r="80" spans="1:27" x14ac:dyDescent="0.3">
      <c r="A80" s="134"/>
      <c r="B80" s="134"/>
      <c r="C80" s="134"/>
      <c r="D80" s="134"/>
      <c r="E80" s="134"/>
      <c r="F80" s="134"/>
      <c r="G80" s="134"/>
      <c r="H80" s="134"/>
      <c r="I80" s="134"/>
      <c r="J80" s="179"/>
      <c r="K80" s="179"/>
      <c r="L80" s="179"/>
      <c r="M80" s="179"/>
      <c r="N80" s="179"/>
      <c r="O80" s="179"/>
      <c r="P80" s="179"/>
      <c r="Q80" s="179"/>
      <c r="R80" s="179"/>
      <c r="S80" s="179"/>
      <c r="T80" s="179"/>
      <c r="U80" s="169"/>
      <c r="V80" s="173"/>
      <c r="W80" s="179"/>
      <c r="X80" s="179"/>
      <c r="Y80" s="179"/>
      <c r="Z80" s="179"/>
      <c r="AA80" s="121"/>
    </row>
    <row r="81" spans="1:27" x14ac:dyDescent="0.3">
      <c r="A81" s="134"/>
      <c r="B81" s="134"/>
      <c r="C81" s="134"/>
      <c r="D81" s="134"/>
      <c r="E81" s="134"/>
      <c r="F81" s="134"/>
      <c r="G81" s="134"/>
      <c r="H81" s="134"/>
      <c r="I81" s="134"/>
      <c r="J81" s="179"/>
      <c r="K81" s="179"/>
      <c r="L81" s="179"/>
      <c r="M81" s="179"/>
      <c r="N81" s="179"/>
      <c r="O81" s="179"/>
      <c r="P81" s="179"/>
      <c r="Q81" s="179"/>
      <c r="R81" s="179"/>
      <c r="S81" s="179"/>
      <c r="T81" s="179"/>
      <c r="U81" s="169"/>
      <c r="V81" s="173"/>
      <c r="W81" s="179"/>
      <c r="X81" s="179"/>
      <c r="Y81" s="179"/>
      <c r="Z81" s="179"/>
      <c r="AA81" s="121"/>
    </row>
    <row r="82" spans="1:27" x14ac:dyDescent="0.3">
      <c r="A82" s="134"/>
      <c r="B82" s="134"/>
      <c r="C82" s="134"/>
      <c r="D82" s="134"/>
      <c r="E82" s="134"/>
      <c r="F82" s="134"/>
      <c r="G82" s="134"/>
      <c r="H82" s="134"/>
      <c r="I82" s="134"/>
      <c r="J82" s="179"/>
      <c r="K82" s="179"/>
      <c r="L82" s="179"/>
      <c r="M82" s="179"/>
      <c r="N82" s="179"/>
      <c r="O82" s="179"/>
      <c r="P82" s="179"/>
      <c r="Q82" s="179"/>
      <c r="R82" s="179"/>
      <c r="S82" s="179"/>
      <c r="T82" s="179"/>
      <c r="U82" s="169"/>
      <c r="V82" s="173"/>
      <c r="W82" s="179"/>
      <c r="X82" s="179"/>
      <c r="Y82" s="179"/>
      <c r="Z82" s="179"/>
      <c r="AA82" s="121"/>
    </row>
    <row r="83" spans="1:27" x14ac:dyDescent="0.3">
      <c r="A83" s="134"/>
      <c r="B83" s="134"/>
      <c r="C83" s="134"/>
      <c r="D83" s="134"/>
      <c r="E83" s="134"/>
      <c r="F83" s="134"/>
      <c r="G83" s="134"/>
      <c r="H83" s="134"/>
      <c r="I83" s="134"/>
      <c r="J83" s="134"/>
      <c r="K83" s="134"/>
      <c r="L83" s="134"/>
      <c r="M83" s="134"/>
      <c r="N83" s="134"/>
      <c r="O83" s="134"/>
      <c r="P83" s="134"/>
      <c r="Q83" s="134"/>
      <c r="R83" s="134"/>
      <c r="S83" s="134"/>
      <c r="T83" s="134"/>
      <c r="U83" s="137"/>
      <c r="V83" s="134"/>
      <c r="W83" s="134"/>
      <c r="X83" s="134"/>
      <c r="Y83" s="134"/>
      <c r="Z83" s="134"/>
      <c r="AA83" s="121"/>
    </row>
    <row r="84" spans="1:27" x14ac:dyDescent="0.3">
      <c r="A84" s="134"/>
      <c r="B84" s="134"/>
      <c r="C84" s="134"/>
      <c r="D84" s="134"/>
      <c r="E84" s="134"/>
      <c r="F84" s="134"/>
      <c r="G84" s="134"/>
      <c r="H84" s="134"/>
      <c r="I84" s="134"/>
      <c r="J84" s="134"/>
      <c r="K84" s="134"/>
      <c r="L84" s="134"/>
      <c r="M84" s="134"/>
      <c r="N84" s="134"/>
      <c r="O84" s="134"/>
      <c r="P84" s="134"/>
      <c r="Q84" s="134"/>
      <c r="R84" s="134"/>
      <c r="S84" s="134"/>
      <c r="T84" s="134"/>
      <c r="U84" s="137"/>
      <c r="V84" s="134"/>
      <c r="W84" s="134"/>
      <c r="X84" s="134"/>
      <c r="Y84" s="134"/>
      <c r="Z84" s="134"/>
      <c r="AA84" s="121"/>
    </row>
    <row r="85" spans="1:27" x14ac:dyDescent="0.3">
      <c r="A85" s="134"/>
      <c r="B85" s="134"/>
      <c r="C85" s="134"/>
      <c r="D85" s="134"/>
      <c r="E85" s="134"/>
      <c r="F85" s="134"/>
      <c r="G85" s="134"/>
      <c r="H85" s="134"/>
      <c r="I85" s="134"/>
      <c r="J85" s="134"/>
      <c r="K85" s="134"/>
      <c r="L85" s="134"/>
      <c r="M85" s="134"/>
      <c r="N85" s="134"/>
      <c r="O85" s="134"/>
      <c r="P85" s="134"/>
      <c r="Q85" s="134"/>
      <c r="R85" s="134"/>
      <c r="S85" s="134"/>
      <c r="T85" s="134"/>
      <c r="U85" s="137"/>
      <c r="V85" s="134"/>
      <c r="W85" s="134"/>
      <c r="X85" s="134"/>
      <c r="Y85" s="134"/>
      <c r="Z85" s="134"/>
      <c r="AA85" s="121"/>
    </row>
    <row r="86" spans="1:27" x14ac:dyDescent="0.3">
      <c r="A86" s="134"/>
      <c r="B86" s="134"/>
      <c r="C86" s="134"/>
      <c r="D86" s="134"/>
      <c r="E86" s="134"/>
      <c r="F86" s="134"/>
      <c r="G86" s="135"/>
      <c r="H86" s="134"/>
      <c r="I86" s="134"/>
      <c r="J86" s="134"/>
      <c r="K86" s="134"/>
      <c r="L86" s="134"/>
      <c r="M86" s="134"/>
      <c r="N86" s="134"/>
      <c r="O86" s="134"/>
      <c r="P86" s="134"/>
      <c r="Q86" s="134"/>
      <c r="R86" s="134"/>
      <c r="S86" s="134"/>
      <c r="T86" s="134"/>
      <c r="U86" s="137"/>
      <c r="V86" s="134"/>
      <c r="W86" s="134"/>
      <c r="X86" s="134"/>
      <c r="Y86" s="134"/>
      <c r="Z86" s="134"/>
      <c r="AA86" s="121"/>
    </row>
    <row r="87" spans="1:27" x14ac:dyDescent="0.3">
      <c r="A87" s="134"/>
      <c r="B87" s="134"/>
      <c r="C87" s="134"/>
      <c r="D87" s="134"/>
      <c r="E87" s="134"/>
      <c r="F87" s="134"/>
      <c r="G87" s="135"/>
      <c r="H87" s="134"/>
      <c r="I87" s="134"/>
      <c r="J87" s="134"/>
      <c r="K87" s="134"/>
      <c r="L87" s="134"/>
      <c r="M87" s="134"/>
      <c r="N87" s="134"/>
      <c r="O87" s="134"/>
      <c r="P87" s="134"/>
      <c r="Q87" s="134"/>
      <c r="R87" s="134"/>
      <c r="S87" s="134"/>
      <c r="T87" s="134"/>
      <c r="U87" s="137"/>
      <c r="V87" s="134"/>
      <c r="W87" s="134"/>
      <c r="X87" s="134"/>
      <c r="Y87" s="134"/>
      <c r="Z87" s="134"/>
      <c r="AA87" s="121"/>
    </row>
    <row r="88" spans="1:27" x14ac:dyDescent="0.3">
      <c r="A88" s="134"/>
      <c r="B88" s="134"/>
      <c r="C88" s="134"/>
      <c r="D88" s="134"/>
      <c r="E88" s="134"/>
      <c r="F88" s="134"/>
      <c r="G88" s="135"/>
      <c r="H88" s="134"/>
      <c r="I88" s="134"/>
      <c r="J88" s="134"/>
      <c r="K88" s="134"/>
      <c r="L88" s="134"/>
      <c r="M88" s="134"/>
      <c r="N88" s="134"/>
      <c r="O88" s="134"/>
      <c r="P88" s="134"/>
      <c r="Q88" s="134"/>
      <c r="R88" s="134"/>
      <c r="S88" s="134"/>
      <c r="T88" s="134"/>
      <c r="U88" s="137"/>
      <c r="V88" s="134"/>
      <c r="W88" s="134"/>
      <c r="X88" s="134"/>
      <c r="Y88" s="134"/>
      <c r="Z88" s="134"/>
      <c r="AA88" s="121"/>
    </row>
    <row r="89" spans="1:27" x14ac:dyDescent="0.3">
      <c r="A89" s="134"/>
      <c r="B89" s="134"/>
      <c r="C89" s="134"/>
      <c r="D89" s="134"/>
      <c r="E89" s="134"/>
      <c r="F89" s="134"/>
      <c r="G89" s="135"/>
      <c r="H89" s="134"/>
      <c r="I89" s="134"/>
      <c r="J89" s="134"/>
      <c r="K89" s="134"/>
      <c r="L89" s="134"/>
      <c r="M89" s="134"/>
      <c r="N89" s="134"/>
      <c r="O89" s="134"/>
      <c r="P89" s="134"/>
      <c r="Q89" s="134"/>
      <c r="R89" s="134"/>
      <c r="S89" s="134"/>
      <c r="T89" s="134"/>
      <c r="U89" s="137"/>
      <c r="V89" s="134"/>
      <c r="W89" s="134"/>
      <c r="X89" s="134"/>
      <c r="Y89" s="134"/>
      <c r="Z89" s="134"/>
      <c r="AA89" s="121"/>
    </row>
    <row r="90" spans="1:27" x14ac:dyDescent="0.3">
      <c r="A90" s="134"/>
      <c r="B90" s="134"/>
      <c r="C90" s="134"/>
      <c r="D90" s="134"/>
      <c r="E90" s="134"/>
      <c r="F90" s="134"/>
      <c r="G90" s="135"/>
      <c r="H90" s="134"/>
      <c r="I90" s="134"/>
      <c r="J90" s="134"/>
      <c r="K90" s="134"/>
      <c r="L90" s="134"/>
      <c r="M90" s="134"/>
      <c r="N90" s="134"/>
      <c r="O90" s="134"/>
      <c r="P90" s="134"/>
      <c r="Q90" s="134"/>
      <c r="R90" s="134"/>
      <c r="S90" s="134"/>
      <c r="T90" s="134"/>
      <c r="U90" s="137"/>
      <c r="V90" s="134"/>
      <c r="W90" s="134"/>
      <c r="X90" s="134"/>
      <c r="Y90" s="134"/>
      <c r="Z90" s="134"/>
      <c r="AA90" s="121"/>
    </row>
    <row r="91" spans="1:27" x14ac:dyDescent="0.3">
      <c r="A91" s="134"/>
      <c r="B91" s="134"/>
      <c r="C91" s="134"/>
      <c r="D91" s="134"/>
      <c r="E91" s="134"/>
      <c r="F91" s="134"/>
      <c r="G91" s="135"/>
      <c r="H91" s="134"/>
      <c r="I91" s="134"/>
      <c r="J91" s="134"/>
      <c r="K91" s="134"/>
      <c r="L91" s="134"/>
      <c r="M91" s="134"/>
      <c r="N91" s="134"/>
      <c r="O91" s="134"/>
      <c r="P91" s="134"/>
      <c r="Q91" s="134"/>
      <c r="R91" s="134"/>
      <c r="S91" s="134"/>
      <c r="T91" s="134"/>
      <c r="U91" s="137"/>
      <c r="V91" s="134"/>
      <c r="W91" s="134"/>
      <c r="X91" s="134"/>
      <c r="Y91" s="134"/>
      <c r="Z91" s="134"/>
      <c r="AA91" s="121"/>
    </row>
    <row r="92" spans="1:27" x14ac:dyDescent="0.3">
      <c r="A92" s="134"/>
      <c r="B92" s="134"/>
      <c r="C92" s="134"/>
      <c r="D92" s="134"/>
      <c r="E92" s="134"/>
      <c r="F92" s="134"/>
      <c r="G92" s="135"/>
      <c r="H92" s="134"/>
      <c r="I92" s="134"/>
      <c r="J92" s="134"/>
      <c r="K92" s="134"/>
      <c r="L92" s="134"/>
      <c r="M92" s="134"/>
      <c r="N92" s="134"/>
      <c r="O92" s="134"/>
      <c r="P92" s="134"/>
      <c r="Q92" s="134"/>
      <c r="R92" s="134"/>
      <c r="S92" s="134"/>
      <c r="T92" s="134"/>
      <c r="U92" s="137"/>
      <c r="V92" s="134"/>
      <c r="W92" s="134"/>
      <c r="X92" s="134"/>
      <c r="Y92" s="134"/>
      <c r="Z92" s="134"/>
      <c r="AA92" s="121"/>
    </row>
    <row r="93" spans="1:27" x14ac:dyDescent="0.3">
      <c r="A93" s="134"/>
      <c r="B93" s="134"/>
      <c r="C93" s="134"/>
      <c r="D93" s="134"/>
      <c r="E93" s="134"/>
      <c r="F93" s="134"/>
      <c r="G93" s="135"/>
      <c r="H93" s="134"/>
      <c r="I93" s="134"/>
      <c r="J93" s="134"/>
      <c r="K93" s="134"/>
      <c r="L93" s="134"/>
      <c r="M93" s="134"/>
      <c r="N93" s="134"/>
      <c r="O93" s="134"/>
      <c r="P93" s="134"/>
      <c r="Q93" s="134"/>
      <c r="R93" s="134"/>
      <c r="S93" s="134"/>
      <c r="T93" s="134"/>
      <c r="U93" s="137"/>
      <c r="V93" s="134"/>
      <c r="W93" s="134"/>
      <c r="X93" s="134"/>
      <c r="Y93" s="134"/>
      <c r="Z93" s="134"/>
      <c r="AA93" s="121"/>
    </row>
    <row r="94" spans="1:27" x14ac:dyDescent="0.3">
      <c r="A94" s="134"/>
      <c r="B94" s="134"/>
      <c r="C94" s="134"/>
      <c r="D94" s="134"/>
      <c r="E94" s="134"/>
      <c r="F94" s="134"/>
      <c r="G94" s="135"/>
      <c r="H94" s="134"/>
      <c r="I94" s="134"/>
      <c r="J94" s="134"/>
      <c r="K94" s="134"/>
      <c r="L94" s="134"/>
      <c r="M94" s="134"/>
      <c r="N94" s="134"/>
      <c r="O94" s="134"/>
      <c r="P94" s="134"/>
      <c r="Q94" s="134"/>
      <c r="R94" s="134"/>
      <c r="S94" s="134"/>
      <c r="T94" s="134"/>
      <c r="U94" s="137"/>
      <c r="V94" s="134"/>
      <c r="W94" s="134"/>
      <c r="X94" s="134"/>
      <c r="Y94" s="134"/>
      <c r="Z94" s="134"/>
      <c r="AA94" s="121"/>
    </row>
    <row r="95" spans="1:27" x14ac:dyDescent="0.3">
      <c r="A95" s="181"/>
      <c r="B95" s="181"/>
      <c r="C95" s="181"/>
      <c r="D95" s="181"/>
      <c r="E95" s="181"/>
      <c r="F95" s="181"/>
      <c r="G95" s="182"/>
      <c r="H95" s="181"/>
      <c r="I95" s="181"/>
      <c r="J95" s="181"/>
      <c r="K95" s="181"/>
      <c r="L95" s="181"/>
      <c r="M95" s="181"/>
      <c r="N95" s="181"/>
      <c r="O95" s="181"/>
      <c r="P95" s="181"/>
      <c r="Q95" s="181"/>
      <c r="R95" s="181"/>
      <c r="S95" s="181"/>
      <c r="T95" s="181"/>
      <c r="U95" s="123"/>
      <c r="V95" s="181"/>
      <c r="W95" s="181"/>
      <c r="X95" s="181"/>
      <c r="Y95" s="181"/>
      <c r="Z95" s="181"/>
      <c r="AA95" s="121"/>
    </row>
    <row r="96" spans="1:27" s="32" customFormat="1" x14ac:dyDescent="0.3">
      <c r="A96" s="122"/>
      <c r="B96" s="122"/>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c r="AA96" s="122"/>
    </row>
    <row r="97" spans="1:27" s="32" customFormat="1" x14ac:dyDescent="0.3">
      <c r="A97" s="122"/>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c r="AA97" s="122"/>
    </row>
    <row r="98" spans="1:27" s="32" customFormat="1" x14ac:dyDescent="0.3">
      <c r="A98" s="122"/>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c r="AA98" s="122"/>
    </row>
    <row r="99" spans="1:27" s="32" customFormat="1" x14ac:dyDescent="0.3">
      <c r="A99" s="122"/>
      <c r="B99" s="122"/>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c r="AA99" s="122"/>
    </row>
    <row r="100" spans="1:27" s="32" customFormat="1" x14ac:dyDescent="0.3">
      <c r="A100" s="122"/>
      <c r="B100" s="122"/>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c r="AA100" s="122"/>
    </row>
    <row r="101" spans="1:27" s="32" customFormat="1" x14ac:dyDescent="0.3">
      <c r="A101" s="122"/>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c r="AA101" s="122"/>
    </row>
    <row r="102" spans="1:27" s="32" customFormat="1" x14ac:dyDescent="0.3">
      <c r="A102" s="122"/>
      <c r="B102" s="122"/>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c r="AA102" s="122"/>
    </row>
    <row r="103" spans="1:27" s="32" customFormat="1" x14ac:dyDescent="0.3">
      <c r="A103" s="122"/>
      <c r="B103" s="122"/>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c r="AA103" s="122"/>
    </row>
    <row r="104" spans="1:27" s="32" customFormat="1" x14ac:dyDescent="0.3">
      <c r="A104" s="122"/>
      <c r="B104" s="122"/>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c r="AA104" s="122"/>
    </row>
    <row r="105" spans="1:27" s="32" customFormat="1" x14ac:dyDescent="0.3">
      <c r="A105" s="122"/>
      <c r="B105" s="122"/>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c r="AA105" s="122"/>
    </row>
    <row r="106" spans="1:27" s="32" customFormat="1" x14ac:dyDescent="0.3">
      <c r="A106" s="122"/>
      <c r="B106" s="122"/>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c r="AA106" s="122"/>
    </row>
    <row r="107" spans="1:27" s="32" customFormat="1" x14ac:dyDescent="0.3">
      <c r="A107" s="122"/>
      <c r="B107" s="122"/>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c r="AA107" s="122"/>
    </row>
    <row r="108" spans="1:27" s="32" customFormat="1" x14ac:dyDescent="0.3">
      <c r="A108" s="122"/>
      <c r="B108" s="122"/>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c r="AA108" s="122"/>
    </row>
    <row r="109" spans="1:27" s="32" customFormat="1" x14ac:dyDescent="0.3">
      <c r="A109" s="122"/>
      <c r="B109" s="122"/>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c r="AA109" s="122"/>
    </row>
    <row r="110" spans="1:27" s="32" customFormat="1" x14ac:dyDescent="0.3">
      <c r="A110" s="122"/>
      <c r="B110" s="122"/>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c r="AA110" s="122"/>
    </row>
    <row r="111" spans="1:27" s="32" customFormat="1" x14ac:dyDescent="0.3">
      <c r="A111" s="122"/>
      <c r="B111" s="122"/>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c r="AA111" s="122"/>
    </row>
    <row r="112" spans="1:27" s="32" customFormat="1" x14ac:dyDescent="0.3">
      <c r="A112" s="122"/>
      <c r="B112" s="122"/>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c r="AA112" s="122"/>
    </row>
    <row r="113" spans="1:27" s="32" customFormat="1" x14ac:dyDescent="0.3">
      <c r="A113" s="122"/>
      <c r="B113" s="122"/>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c r="AA113" s="122"/>
    </row>
    <row r="114" spans="1:27" s="32" customFormat="1" x14ac:dyDescent="0.3">
      <c r="A114" s="122"/>
      <c r="B114" s="122"/>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c r="AA114" s="122"/>
    </row>
    <row r="115" spans="1:27" x14ac:dyDescent="0.3">
      <c r="G115" s="122"/>
    </row>
    <row r="116" spans="1:27" x14ac:dyDescent="0.3">
      <c r="G116" s="122"/>
    </row>
    <row r="117" spans="1:27" x14ac:dyDescent="0.3">
      <c r="G117" s="122"/>
    </row>
    <row r="118" spans="1:27" x14ac:dyDescent="0.3">
      <c r="G118" s="122"/>
    </row>
    <row r="119" spans="1:27" x14ac:dyDescent="0.3">
      <c r="G119" s="122"/>
    </row>
    <row r="120" spans="1:27" x14ac:dyDescent="0.3">
      <c r="G120" s="122"/>
    </row>
    <row r="121" spans="1:27" x14ac:dyDescent="0.3">
      <c r="G121" s="122"/>
    </row>
    <row r="122" spans="1:27" x14ac:dyDescent="0.3">
      <c r="G122" s="122"/>
    </row>
    <row r="123" spans="1:27" x14ac:dyDescent="0.3">
      <c r="G123" s="122"/>
    </row>
    <row r="124" spans="1:27" x14ac:dyDescent="0.3">
      <c r="G124" s="122"/>
    </row>
    <row r="125" spans="1:27" x14ac:dyDescent="0.3">
      <c r="G125" s="122"/>
    </row>
    <row r="126" spans="1:27" x14ac:dyDescent="0.3">
      <c r="G126" s="122"/>
    </row>
    <row r="127" spans="1:27" x14ac:dyDescent="0.3">
      <c r="G127" s="122"/>
    </row>
    <row r="128" spans="1:27" x14ac:dyDescent="0.3">
      <c r="G128" s="122"/>
    </row>
    <row r="129" spans="7:7" x14ac:dyDescent="0.3">
      <c r="G129" s="122"/>
    </row>
    <row r="130" spans="7:7" x14ac:dyDescent="0.3">
      <c r="G130" s="122"/>
    </row>
    <row r="131" spans="7:7" x14ac:dyDescent="0.3">
      <c r="G131" s="122"/>
    </row>
    <row r="132" spans="7:7" x14ac:dyDescent="0.3">
      <c r="G132" s="122"/>
    </row>
  </sheetData>
  <sheetProtection algorithmName="SHA-512" hashValue="yHHWrFBuZRm+c6nGLMHlaoKC7q5q19Fk5tS4VuLFo4ctXzFoXChevkiqckxKVWe40V6uVy0ZYAyIEzIsS6FFPA==" saltValue="zFkSUaK7CzQN4zL7mOYORA==" spinCount="100000" sheet="1" objects="1" scenarios="1" selectLockedCells="1"/>
  <mergeCells count="1">
    <mergeCell ref="O3:P3"/>
  </mergeCells>
  <conditionalFormatting sqref="H7">
    <cfRule type="cellIs" dxfId="11" priority="15" operator="lessThan">
      <formula>VIN_op_min</formula>
    </cfRule>
    <cfRule type="cellIs" dxfId="10" priority="16" operator="greaterThan">
      <formula>Vin_op_max_s</formula>
    </cfRule>
  </conditionalFormatting>
  <conditionalFormatting sqref="H8">
    <cfRule type="cellIs" dxfId="9" priority="14" operator="notBetween">
      <formula>$H$7</formula>
      <formula>$H$9</formula>
    </cfRule>
  </conditionalFormatting>
  <conditionalFormatting sqref="H9">
    <cfRule type="cellIs" dxfId="8" priority="11" operator="greaterThan">
      <formula>45</formula>
    </cfRule>
    <cfRule type="cellIs" dxfId="7" priority="12" operator="lessThan">
      <formula>1.5</formula>
    </cfRule>
  </conditionalFormatting>
  <conditionalFormatting sqref="H52">
    <cfRule type="expression" dxfId="6" priority="9">
      <formula>$H$8&gt;$H$9</formula>
    </cfRule>
    <cfRule type="expression" dxfId="5" priority="10">
      <formula>$H$8&lt;$H$7</formula>
    </cfRule>
  </conditionalFormatting>
  <conditionalFormatting sqref="H10">
    <cfRule type="cellIs" dxfId="4" priority="7" operator="lessThan">
      <formula>$H$9</formula>
    </cfRule>
    <cfRule type="cellIs" dxfId="3" priority="8" operator="greaterThan">
      <formula>Vo_op_max_s</formula>
    </cfRule>
  </conditionalFormatting>
  <conditionalFormatting sqref="H30">
    <cfRule type="expression" dxfId="2" priority="4">
      <formula>Se&lt;=Sn_half</formula>
    </cfRule>
  </conditionalFormatting>
  <conditionalFormatting sqref="H17">
    <cfRule type="cellIs" dxfId="1" priority="1" operator="greaterThan">
      <formula>$H$16</formula>
    </cfRule>
  </conditionalFormatting>
  <dataValidations count="1">
    <dataValidation type="list" allowBlank="1" showInputMessage="1" showErrorMessage="1" sqref="H28" xr:uid="{00000000-0002-0000-0000-000000000000}">
      <formula1>"LM5157, LM51571, LM5158, LM51581"</formula1>
    </dataValidation>
  </dataValidations>
  <hyperlinks>
    <hyperlink ref="O3" location="Licenses!A1" display="TERMS OF USE" xr:uid="{FA280B41-A3B4-4463-B1FE-F3FC8DE56305}"/>
  </hyperlinks>
  <pageMargins left="0.2" right="0.2" top="0.25" bottom="0.25" header="0" footer="0"/>
  <pageSetup paperSize="9" scale="44" orientation="portrait" r:id="rId1"/>
  <ignoredErrors>
    <ignoredError sqref="H29:H30"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502920</xdr:colOff>
                    <xdr:row>51</xdr:row>
                    <xdr:rowOff>0</xdr:rowOff>
                  </from>
                  <to>
                    <xdr:col>8</xdr:col>
                    <xdr:colOff>7620</xdr:colOff>
                    <xdr:row>53</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cellIs" priority="3" operator="lessThan" id="{83926640-D04E-4FBC-9AAA-2A352614F337}">
            <xm:f>Constants!$B$62</xm:f>
            <x14:dxf>
              <font>
                <b val="0"/>
                <i val="0"/>
              </font>
              <fill>
                <patternFill>
                  <bgColor rgb="FFFF0000"/>
                </patternFill>
              </fill>
            </x14:dxf>
          </x14:cfRule>
          <xm:sqref>H29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activeCell="AD9" sqref="AD9"/>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3CE44-F86A-47E4-8629-8CE48F52DA12}">
  <dimension ref="A1:AM44"/>
  <sheetViews>
    <sheetView showGridLines="0" showRowColHeaders="0" zoomScaleNormal="100" workbookViewId="0">
      <selection sqref="A1:L3"/>
    </sheetView>
  </sheetViews>
  <sheetFormatPr defaultColWidth="9.109375" defaultRowHeight="13.8" x14ac:dyDescent="0.25"/>
  <cols>
    <col min="1" max="1" width="25.6640625" style="230" bestFit="1" customWidth="1"/>
    <col min="2" max="2" width="56.5546875" style="235" customWidth="1"/>
    <col min="3" max="11" width="9.109375" style="224"/>
    <col min="12" max="12" width="20.44140625" style="224" customWidth="1"/>
    <col min="13" max="16384" width="9.109375" style="224"/>
  </cols>
  <sheetData>
    <row r="1" spans="1:12" x14ac:dyDescent="0.25">
      <c r="A1" s="258"/>
      <c r="B1" s="258"/>
      <c r="C1" s="258"/>
      <c r="D1" s="258"/>
      <c r="E1" s="258"/>
      <c r="F1" s="258"/>
      <c r="G1" s="258"/>
      <c r="H1" s="258"/>
      <c r="I1" s="258"/>
      <c r="J1" s="258"/>
      <c r="K1" s="258"/>
      <c r="L1" s="258"/>
    </row>
    <row r="2" spans="1:12" x14ac:dyDescent="0.25">
      <c r="A2" s="258"/>
      <c r="B2" s="258"/>
      <c r="C2" s="258"/>
      <c r="D2" s="258"/>
      <c r="E2" s="258"/>
      <c r="F2" s="258"/>
      <c r="G2" s="258"/>
      <c r="H2" s="258"/>
      <c r="I2" s="258"/>
      <c r="J2" s="258"/>
      <c r="K2" s="258"/>
      <c r="L2" s="258"/>
    </row>
    <row r="3" spans="1:12" x14ac:dyDescent="0.25">
      <c r="A3" s="258"/>
      <c r="B3" s="258"/>
      <c r="C3" s="258"/>
      <c r="D3" s="258"/>
      <c r="E3" s="258"/>
      <c r="F3" s="258"/>
      <c r="G3" s="258"/>
      <c r="H3" s="258"/>
      <c r="I3" s="258"/>
      <c r="J3" s="258"/>
      <c r="K3" s="258"/>
      <c r="L3" s="258"/>
    </row>
    <row r="4" spans="1:12" ht="12.75" customHeight="1" x14ac:dyDescent="0.25">
      <c r="A4" s="259"/>
      <c r="B4" s="259"/>
      <c r="C4" s="259"/>
      <c r="D4" s="259"/>
      <c r="E4" s="259"/>
      <c r="F4" s="259"/>
      <c r="G4" s="259"/>
      <c r="H4" s="259"/>
      <c r="I4" s="259"/>
      <c r="J4" s="259"/>
      <c r="K4" s="259"/>
      <c r="L4" s="259"/>
    </row>
    <row r="5" spans="1:12" x14ac:dyDescent="0.25">
      <c r="A5" s="225" t="s">
        <v>579</v>
      </c>
      <c r="B5" s="226" t="s">
        <v>580</v>
      </c>
      <c r="C5" s="227"/>
      <c r="D5" s="227"/>
      <c r="E5" s="227"/>
      <c r="F5" s="227"/>
      <c r="G5" s="227"/>
      <c r="H5" s="227"/>
      <c r="I5" s="227"/>
      <c r="J5" s="227"/>
      <c r="K5" s="228"/>
      <c r="L5" s="229"/>
    </row>
    <row r="6" spans="1:12" x14ac:dyDescent="0.25">
      <c r="A6" s="225"/>
      <c r="B6" s="226"/>
      <c r="C6" s="227"/>
      <c r="D6" s="227"/>
      <c r="E6" s="227"/>
      <c r="F6" s="227"/>
      <c r="G6" s="227"/>
      <c r="H6" s="227"/>
      <c r="I6" s="227"/>
      <c r="J6" s="229"/>
      <c r="K6" s="229"/>
      <c r="L6" s="229"/>
    </row>
    <row r="33" spans="1:39" x14ac:dyDescent="0.25">
      <c r="B33" s="231"/>
    </row>
    <row r="34" spans="1:39" x14ac:dyDescent="0.25">
      <c r="B34" s="231"/>
    </row>
    <row r="35" spans="1:39" x14ac:dyDescent="0.25">
      <c r="A35" s="232" t="s">
        <v>581</v>
      </c>
      <c r="B35" s="233"/>
      <c r="C35" s="227"/>
      <c r="D35" s="227"/>
      <c r="E35" s="227"/>
      <c r="F35" s="227"/>
      <c r="G35" s="227"/>
      <c r="H35" s="227"/>
      <c r="I35" s="227"/>
      <c r="J35" s="227"/>
      <c r="K35" s="227"/>
    </row>
    <row r="36" spans="1:39" x14ac:dyDescent="0.25">
      <c r="A36" s="234" t="s">
        <v>582</v>
      </c>
      <c r="B36" s="260" t="s">
        <v>583</v>
      </c>
      <c r="C36" s="260"/>
      <c r="D36" s="260"/>
      <c r="E36" s="260"/>
      <c r="F36" s="260"/>
      <c r="G36" s="260"/>
      <c r="H36" s="260"/>
      <c r="I36" s="260"/>
      <c r="J36" s="260"/>
      <c r="K36" s="260"/>
    </row>
    <row r="37" spans="1:39" x14ac:dyDescent="0.25">
      <c r="A37" s="232" t="s">
        <v>580</v>
      </c>
      <c r="B37" s="261" t="s">
        <v>584</v>
      </c>
      <c r="C37" s="261"/>
      <c r="D37" s="261"/>
      <c r="E37" s="261"/>
      <c r="F37" s="261"/>
      <c r="G37" s="261"/>
      <c r="H37" s="261"/>
      <c r="I37" s="261"/>
      <c r="J37" s="261"/>
      <c r="K37" s="261"/>
    </row>
    <row r="38" spans="1:39" ht="14.25" customHeight="1" x14ac:dyDescent="0.25">
      <c r="A38" s="232"/>
      <c r="B38" s="262"/>
      <c r="C38" s="262"/>
      <c r="D38" s="262"/>
      <c r="E38" s="262"/>
      <c r="F38" s="262"/>
      <c r="G38" s="262"/>
      <c r="H38" s="262"/>
      <c r="I38" s="262"/>
      <c r="J38" s="262"/>
      <c r="K38" s="262"/>
    </row>
    <row r="39" spans="1:39" ht="14.25" customHeight="1" x14ac:dyDescent="0.25">
      <c r="B39" s="257"/>
      <c r="C39" s="257"/>
      <c r="D39" s="257"/>
      <c r="E39" s="257"/>
      <c r="F39" s="257"/>
      <c r="G39" s="257"/>
      <c r="H39" s="257"/>
      <c r="I39" s="257"/>
      <c r="J39" s="257"/>
      <c r="K39" s="257"/>
    </row>
    <row r="40" spans="1:39" ht="14.25" customHeight="1" x14ac:dyDescent="0.25">
      <c r="B40" s="257"/>
      <c r="C40" s="257"/>
      <c r="D40" s="257"/>
      <c r="E40" s="257"/>
      <c r="F40" s="257"/>
      <c r="G40" s="257"/>
      <c r="H40" s="257"/>
      <c r="I40" s="257"/>
      <c r="J40" s="257"/>
      <c r="K40" s="257"/>
    </row>
    <row r="41" spans="1:39" ht="14.25" customHeight="1" x14ac:dyDescent="0.25"/>
    <row r="44" spans="1:39" s="237" customFormat="1" x14ac:dyDescent="0.25">
      <c r="A44" s="230"/>
      <c r="B44" s="231"/>
      <c r="C44" s="236"/>
      <c r="D44" s="236"/>
      <c r="E44" s="236"/>
      <c r="F44" s="236"/>
      <c r="G44" s="236"/>
      <c r="H44" s="236"/>
      <c r="I44" s="236"/>
      <c r="J44" s="236"/>
      <c r="K44" s="236"/>
      <c r="L44" s="23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row>
  </sheetData>
  <sheetProtection algorithmName="SHA-512" hashValue="nwhlwHDJodFJY58azNpZ085IT+rPyRijT5/V3q7QI2cpZnThTnpOfu2hjAgiMqlmiDrAqmrWyscOCdfEmgBlWA==" saltValue="stFQk1g4FUBeyYZKRIxKFQ==" spinCount="100000" sheet="1" objects="1" scenarios="1" selectLockedCells="1" selectUnlockedCells="1"/>
  <mergeCells count="7">
    <mergeCell ref="B40:K40"/>
    <mergeCell ref="A1:L3"/>
    <mergeCell ref="A4:L4"/>
    <mergeCell ref="B36:K36"/>
    <mergeCell ref="B37:K37"/>
    <mergeCell ref="B38:K38"/>
    <mergeCell ref="B39:K3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17"/>
  <sheetViews>
    <sheetView zoomScale="85" zoomScaleNormal="85" workbookViewId="0">
      <pane ySplit="5" topLeftCell="A178" activePane="bottomLeft" state="frozen"/>
      <selection activeCell="AD9" sqref="AD9"/>
      <selection pane="bottomLeft" activeCell="B195" sqref="B195"/>
    </sheetView>
  </sheetViews>
  <sheetFormatPr defaultRowHeight="14.4" x14ac:dyDescent="0.3"/>
  <cols>
    <col min="1" max="1" width="33.33203125" customWidth="1"/>
    <col min="2" max="2" width="19.5546875" customWidth="1"/>
    <col min="3" max="3" width="10.88671875" customWidth="1"/>
    <col min="4" max="4" width="10" bestFit="1" customWidth="1"/>
    <col min="5" max="5" width="18.6640625" customWidth="1"/>
    <col min="6" max="6" width="14.6640625" customWidth="1"/>
    <col min="7" max="7" width="15.109375" customWidth="1"/>
    <col min="8" max="8" width="12.5546875" customWidth="1"/>
    <col min="9" max="9" width="12.5546875" style="4" customWidth="1"/>
    <col min="12" max="12" width="10.33203125" bestFit="1" customWidth="1"/>
    <col min="15" max="15" width="10.33203125" bestFit="1" customWidth="1"/>
  </cols>
  <sheetData>
    <row r="1" spans="1:17" ht="28.2" x14ac:dyDescent="0.5">
      <c r="A1" s="263" t="s">
        <v>16</v>
      </c>
      <c r="B1" s="263"/>
      <c r="C1" s="263"/>
      <c r="D1" s="263"/>
      <c r="E1" s="263"/>
      <c r="F1" s="263"/>
      <c r="G1" s="263"/>
      <c r="H1" s="263"/>
      <c r="I1" s="263"/>
      <c r="J1" s="263"/>
    </row>
    <row r="2" spans="1:17" x14ac:dyDescent="0.3">
      <c r="A2" s="6"/>
      <c r="B2" s="6" t="s">
        <v>17</v>
      </c>
      <c r="C2" s="7"/>
      <c r="D2" s="5"/>
      <c r="E2" s="6"/>
      <c r="F2" s="6"/>
      <c r="G2" s="6"/>
      <c r="H2" s="6"/>
      <c r="I2" s="12"/>
      <c r="J2" s="6"/>
    </row>
    <row r="3" spans="1:17" x14ac:dyDescent="0.3">
      <c r="A3" s="6"/>
      <c r="B3" s="6" t="s">
        <v>18</v>
      </c>
      <c r="C3" s="8"/>
      <c r="D3" s="5"/>
      <c r="E3" s="6"/>
      <c r="F3" s="24" t="s">
        <v>64</v>
      </c>
      <c r="G3" s="25" t="s">
        <v>65</v>
      </c>
      <c r="H3" s="41" t="s">
        <v>68</v>
      </c>
      <c r="I3" s="12"/>
      <c r="J3" s="6"/>
    </row>
    <row r="4" spans="1:17" x14ac:dyDescent="0.3">
      <c r="A4" s="6"/>
      <c r="B4" s="6" t="s">
        <v>19</v>
      </c>
      <c r="C4" s="9"/>
      <c r="D4" s="5"/>
      <c r="E4" s="6"/>
      <c r="F4" s="6"/>
      <c r="G4" s="6"/>
      <c r="H4" s="6"/>
      <c r="I4" s="12"/>
      <c r="J4" s="6"/>
    </row>
    <row r="5" spans="1:17" x14ac:dyDescent="0.3">
      <c r="A5" s="11" t="s">
        <v>20</v>
      </c>
      <c r="B5" s="11" t="s">
        <v>21</v>
      </c>
      <c r="C5" s="11" t="s">
        <v>22</v>
      </c>
      <c r="D5" s="10"/>
      <c r="E5" s="264" t="s">
        <v>23</v>
      </c>
      <c r="F5" s="264"/>
      <c r="G5" s="264"/>
      <c r="H5" s="264"/>
      <c r="I5" s="20"/>
      <c r="J5" s="26" t="s">
        <v>24</v>
      </c>
      <c r="K5" s="11" t="s">
        <v>72</v>
      </c>
      <c r="L5" s="10"/>
      <c r="M5" s="10"/>
      <c r="N5" s="10"/>
      <c r="O5" s="10"/>
      <c r="P5" s="10"/>
      <c r="Q5" s="10"/>
    </row>
    <row r="6" spans="1:17" ht="15.6" x14ac:dyDescent="0.3">
      <c r="A6" s="19" t="s">
        <v>25</v>
      </c>
      <c r="B6" s="16"/>
      <c r="C6" s="16"/>
      <c r="D6" s="16"/>
      <c r="E6" s="17"/>
      <c r="F6" s="17"/>
      <c r="G6" s="17"/>
      <c r="H6" s="17"/>
      <c r="I6" s="17"/>
      <c r="J6" s="16"/>
      <c r="K6" s="10"/>
      <c r="L6" s="10"/>
      <c r="M6" s="10"/>
      <c r="N6" s="10"/>
      <c r="O6" s="10"/>
      <c r="P6" s="10"/>
      <c r="Q6" s="10"/>
    </row>
    <row r="7" spans="1:17" x14ac:dyDescent="0.3">
      <c r="A7" t="s">
        <v>26</v>
      </c>
      <c r="B7" s="3">
        <f>'Design Converter'!H7</f>
        <v>12</v>
      </c>
      <c r="C7" t="s">
        <v>11</v>
      </c>
      <c r="E7" t="s">
        <v>29</v>
      </c>
    </row>
    <row r="8" spans="1:17" x14ac:dyDescent="0.3">
      <c r="A8" t="s">
        <v>27</v>
      </c>
      <c r="B8" s="3">
        <f>'Design Converter'!H8</f>
        <v>15</v>
      </c>
      <c r="C8" t="s">
        <v>11</v>
      </c>
      <c r="E8" t="s">
        <v>30</v>
      </c>
      <c r="K8">
        <f>IF(VIN_min&lt;VIN_min,1,IF(VIN_nom&gt;VIN_max,1,0))</f>
        <v>0</v>
      </c>
    </row>
    <row r="9" spans="1:17" x14ac:dyDescent="0.3">
      <c r="A9" t="s">
        <v>28</v>
      </c>
      <c r="B9" s="3">
        <f>'Design Converter'!H9</f>
        <v>18</v>
      </c>
      <c r="C9" t="s">
        <v>11</v>
      </c>
      <c r="E9" t="s">
        <v>31</v>
      </c>
    </row>
    <row r="10" spans="1:17" s="4" customFormat="1" x14ac:dyDescent="0.3">
      <c r="A10" s="4" t="s">
        <v>69</v>
      </c>
      <c r="B10" s="3">
        <f>'Design Converter'!H12*1000</f>
        <v>2500000</v>
      </c>
      <c r="C10" s="4" t="s">
        <v>70</v>
      </c>
      <c r="E10" s="4" t="s">
        <v>71</v>
      </c>
    </row>
    <row r="11" spans="1:17" s="4" customFormat="1" x14ac:dyDescent="0.3">
      <c r="A11" s="4" t="s">
        <v>74</v>
      </c>
      <c r="B11" s="30">
        <f>((2.21*10^10)/Fsw)-955</f>
        <v>7885</v>
      </c>
      <c r="C11" s="2" t="s">
        <v>37</v>
      </c>
      <c r="E11" s="4" t="s">
        <v>75</v>
      </c>
    </row>
    <row r="13" spans="1:17" x14ac:dyDescent="0.3">
      <c r="A13" t="s">
        <v>32</v>
      </c>
      <c r="B13" s="3">
        <f>'Design Converter'!H10</f>
        <v>60</v>
      </c>
      <c r="C13" t="s">
        <v>11</v>
      </c>
      <c r="E13" t="s">
        <v>33</v>
      </c>
    </row>
    <row r="14" spans="1:17" x14ac:dyDescent="0.3">
      <c r="A14" t="s">
        <v>34</v>
      </c>
      <c r="B14" s="3">
        <f>'Design Converter'!H11</f>
        <v>0.3</v>
      </c>
      <c r="C14" t="s">
        <v>12</v>
      </c>
      <c r="E14" t="s">
        <v>35</v>
      </c>
    </row>
    <row r="15" spans="1:17" x14ac:dyDescent="0.3">
      <c r="A15" t="s">
        <v>36</v>
      </c>
      <c r="B15" s="1">
        <f>VOUT/IOUT</f>
        <v>200</v>
      </c>
      <c r="C15" s="2" t="s">
        <v>37</v>
      </c>
      <c r="E15" t="s">
        <v>43</v>
      </c>
    </row>
    <row r="16" spans="1:17" x14ac:dyDescent="0.3">
      <c r="A16" t="s">
        <v>38</v>
      </c>
      <c r="B16" s="1">
        <f>VOUT*IOUT</f>
        <v>18</v>
      </c>
      <c r="C16" s="2" t="s">
        <v>39</v>
      </c>
      <c r="E16" t="s">
        <v>42</v>
      </c>
    </row>
    <row r="17" spans="1:11" x14ac:dyDescent="0.3">
      <c r="A17" t="s">
        <v>40</v>
      </c>
      <c r="B17" s="21">
        <f>'Design Converter'!H14/100</f>
        <v>0.8</v>
      </c>
      <c r="E17" t="s">
        <v>41</v>
      </c>
    </row>
    <row r="19" spans="1:11" x14ac:dyDescent="0.3">
      <c r="A19" t="s">
        <v>44</v>
      </c>
      <c r="B19" s="1">
        <f>1-VIN_min/VOUT</f>
        <v>0.8</v>
      </c>
      <c r="E19" t="s">
        <v>45</v>
      </c>
    </row>
    <row r="20" spans="1:11" s="4" customFormat="1" x14ac:dyDescent="0.3">
      <c r="A20" t="s">
        <v>46</v>
      </c>
      <c r="B20" s="22">
        <f>Constants!B20</f>
        <v>0.82954545454545459</v>
      </c>
      <c r="C20"/>
      <c r="D20"/>
      <c r="E20" t="s">
        <v>47</v>
      </c>
      <c r="K20">
        <f>IF(((1-D_limit_nom)/Constants!B12)&lt;Fsw,1,0)</f>
        <v>1</v>
      </c>
    </row>
    <row r="21" spans="1:11" s="32" customFormat="1" x14ac:dyDescent="0.3">
      <c r="B21" s="27"/>
    </row>
    <row r="22" spans="1:11" s="32" customFormat="1" x14ac:dyDescent="0.3">
      <c r="A22" s="32" t="s">
        <v>83</v>
      </c>
      <c r="B22" s="1">
        <f>1-VIN_min/VOUT</f>
        <v>0.8</v>
      </c>
      <c r="E22" s="32" t="s">
        <v>86</v>
      </c>
    </row>
    <row r="23" spans="1:11" s="32" customFormat="1" x14ac:dyDescent="0.3">
      <c r="B23" s="23">
        <f>B22/Fsw</f>
        <v>3.2000000000000001E-7</v>
      </c>
      <c r="C23" s="32" t="s">
        <v>55</v>
      </c>
      <c r="E23" s="32" t="s">
        <v>327</v>
      </c>
    </row>
    <row r="24" spans="1:11" s="32" customFormat="1" x14ac:dyDescent="0.3">
      <c r="A24" s="32" t="s">
        <v>93</v>
      </c>
      <c r="B24" s="29">
        <f>(VOUT*IOUT)/(VIN_min)</f>
        <v>1.5</v>
      </c>
      <c r="C24" s="32" t="s">
        <v>12</v>
      </c>
      <c r="E24" s="32" t="s">
        <v>96</v>
      </c>
    </row>
    <row r="25" spans="1:11" s="32" customFormat="1" x14ac:dyDescent="0.3">
      <c r="B25" s="27"/>
    </row>
    <row r="26" spans="1:11" s="32" customFormat="1" x14ac:dyDescent="0.3">
      <c r="A26" s="32" t="s">
        <v>84</v>
      </c>
      <c r="B26" s="1">
        <f>1-VIN_nom/VOUT</f>
        <v>0.75</v>
      </c>
      <c r="E26" s="32" t="s">
        <v>87</v>
      </c>
    </row>
    <row r="27" spans="1:11" s="32" customFormat="1" x14ac:dyDescent="0.3">
      <c r="B27" s="23">
        <f>B26/Fsw</f>
        <v>2.9999999999999999E-7</v>
      </c>
      <c r="C27" s="32" t="s">
        <v>55</v>
      </c>
      <c r="E27" s="32" t="s">
        <v>327</v>
      </c>
    </row>
    <row r="28" spans="1:11" s="32" customFormat="1" x14ac:dyDescent="0.3">
      <c r="A28" s="32" t="s">
        <v>94</v>
      </c>
      <c r="B28" s="29">
        <f>(VOUT*IOUT)/(VIN_nom)</f>
        <v>1.2</v>
      </c>
      <c r="C28" s="32" t="s">
        <v>12</v>
      </c>
      <c r="E28" s="32" t="s">
        <v>97</v>
      </c>
    </row>
    <row r="29" spans="1:11" s="32" customFormat="1" x14ac:dyDescent="0.3">
      <c r="B29" s="27"/>
    </row>
    <row r="30" spans="1:11" s="32" customFormat="1" x14ac:dyDescent="0.3">
      <c r="A30" s="32" t="s">
        <v>85</v>
      </c>
      <c r="B30" s="1">
        <f>1-VIN_max/VOUT</f>
        <v>0.7</v>
      </c>
      <c r="E30" s="32" t="s">
        <v>88</v>
      </c>
    </row>
    <row r="31" spans="1:11" s="32" customFormat="1" x14ac:dyDescent="0.3">
      <c r="B31" s="23">
        <f>B30/Fsw</f>
        <v>2.7999999999999997E-7</v>
      </c>
      <c r="C31" s="32" t="s">
        <v>55</v>
      </c>
      <c r="E31" s="32" t="s">
        <v>327</v>
      </c>
    </row>
    <row r="32" spans="1:11" s="32" customFormat="1" x14ac:dyDescent="0.3">
      <c r="A32" s="32" t="s">
        <v>95</v>
      </c>
      <c r="B32" s="29">
        <f>(VOUT*IOUT)/(VIN_max)</f>
        <v>1</v>
      </c>
      <c r="C32" s="32" t="s">
        <v>12</v>
      </c>
      <c r="E32" s="32" t="s">
        <v>98</v>
      </c>
    </row>
    <row r="34" spans="1:5" x14ac:dyDescent="0.3">
      <c r="A34" s="31" t="s">
        <v>78</v>
      </c>
      <c r="E34" s="32"/>
    </row>
    <row r="35" spans="1:5" x14ac:dyDescent="0.3">
      <c r="A35" t="s">
        <v>100</v>
      </c>
      <c r="B35" s="3">
        <f>'Design Converter'!H20/100</f>
        <v>0.6</v>
      </c>
      <c r="E35" t="s">
        <v>124</v>
      </c>
    </row>
    <row r="36" spans="1:5" s="32" customFormat="1" x14ac:dyDescent="0.3">
      <c r="A36" s="35" t="s">
        <v>109</v>
      </c>
      <c r="B36" s="27"/>
    </row>
    <row r="37" spans="1:5" x14ac:dyDescent="0.3">
      <c r="A37" t="s">
        <v>91</v>
      </c>
      <c r="B37" s="39">
        <f>(VIN_min*Dc_VIN_min)/(IL_avg_VIN_min*ILrip*Fsw)</f>
        <v>4.2666666666666676E-6</v>
      </c>
      <c r="C37" t="s">
        <v>99</v>
      </c>
      <c r="E37" t="s">
        <v>92</v>
      </c>
    </row>
    <row r="38" spans="1:5" x14ac:dyDescent="0.3">
      <c r="A38" s="32" t="s">
        <v>91</v>
      </c>
      <c r="B38" s="39">
        <f>(VIN_nom*Dc_VIN_nom)/(IL_avg_VIN_nom*ILrip*Fsw)</f>
        <v>6.2500000000000003E-6</v>
      </c>
      <c r="C38" s="32" t="s">
        <v>99</v>
      </c>
      <c r="D38" s="32"/>
      <c r="E38" s="32" t="s">
        <v>92</v>
      </c>
    </row>
    <row r="39" spans="1:5" x14ac:dyDescent="0.3">
      <c r="A39" s="32" t="s">
        <v>91</v>
      </c>
      <c r="B39" s="39">
        <f>(VIN_max*Dc_VIN_max)/(IL_avg_VIN_max*ILrip*Fsw)</f>
        <v>8.3999999999999992E-6</v>
      </c>
      <c r="C39" s="32" t="s">
        <v>99</v>
      </c>
      <c r="D39" s="32"/>
      <c r="E39" s="32" t="s">
        <v>92</v>
      </c>
    </row>
    <row r="40" spans="1:5" x14ac:dyDescent="0.3">
      <c r="A40" t="s">
        <v>101</v>
      </c>
      <c r="B40" s="39">
        <f>AVERAGE(B37:B39)</f>
        <v>6.3055555555555563E-6</v>
      </c>
      <c r="C40" t="s">
        <v>99</v>
      </c>
      <c r="E40" t="s">
        <v>102</v>
      </c>
    </row>
    <row r="41" spans="1:5" s="32" customFormat="1" x14ac:dyDescent="0.3"/>
    <row r="42" spans="1:5" s="32" customFormat="1" x14ac:dyDescent="0.3">
      <c r="A42" s="35" t="s">
        <v>110</v>
      </c>
    </row>
    <row r="43" spans="1:5" s="32" customFormat="1" x14ac:dyDescent="0.3">
      <c r="A43" s="40" t="s">
        <v>134</v>
      </c>
      <c r="B43" s="22">
        <v>0.33</v>
      </c>
      <c r="C43" s="32" t="s">
        <v>14</v>
      </c>
      <c r="E43" s="32" t="s">
        <v>133</v>
      </c>
    </row>
    <row r="44" spans="1:5" s="32" customFormat="1" x14ac:dyDescent="0.3">
      <c r="A44" s="32" t="s">
        <v>111</v>
      </c>
      <c r="B44" s="1">
        <f>IF(Dc_VIN_max&lt;Dc_rip_max,VOUT*(1-Dc_rip_max),VOUT*(1-Dc_VIN_max))</f>
        <v>18.000000000000004</v>
      </c>
      <c r="C44" s="32" t="s">
        <v>11</v>
      </c>
      <c r="E44" s="32" t="s">
        <v>137</v>
      </c>
    </row>
    <row r="45" spans="1:5" s="32" customFormat="1" x14ac:dyDescent="0.3">
      <c r="A45" s="32" t="s">
        <v>112</v>
      </c>
      <c r="B45" s="28">
        <f>(VOUT*IOUT)/(VIN_33)</f>
        <v>0.99999999999999978</v>
      </c>
      <c r="C45" s="32" t="s">
        <v>12</v>
      </c>
      <c r="E45" s="32" t="s">
        <v>136</v>
      </c>
    </row>
    <row r="46" spans="1:5" s="32" customFormat="1" x14ac:dyDescent="0.3">
      <c r="A46" s="32" t="s">
        <v>113</v>
      </c>
      <c r="B46" s="39">
        <f>(VIN_33*(1-VIN_33/VOUT))/(IIN_33*ILrip*Fsw)</f>
        <v>8.4000000000000026E-6</v>
      </c>
      <c r="C46" s="32" t="s">
        <v>99</v>
      </c>
      <c r="E46" s="32" t="s">
        <v>135</v>
      </c>
    </row>
    <row r="48" spans="1:5" x14ac:dyDescent="0.3">
      <c r="A48" t="s">
        <v>103</v>
      </c>
      <c r="B48" s="34">
        <f>'Design Converter'!H22*10^-6</f>
        <v>9.9999999999999991E-6</v>
      </c>
      <c r="C48" t="s">
        <v>99</v>
      </c>
      <c r="E48" t="s">
        <v>104</v>
      </c>
    </row>
    <row r="49" spans="1:5" x14ac:dyDescent="0.3">
      <c r="A49" t="s">
        <v>106</v>
      </c>
      <c r="B49" s="3">
        <f>'Design Converter'!H23*10^-3</f>
        <v>0.01</v>
      </c>
      <c r="C49" s="2" t="s">
        <v>37</v>
      </c>
      <c r="E49" t="s">
        <v>138</v>
      </c>
    </row>
    <row r="50" spans="1:5" s="32" customFormat="1" x14ac:dyDescent="0.3">
      <c r="A50" s="32" t="s">
        <v>139</v>
      </c>
      <c r="B50" s="22">
        <v>0.2</v>
      </c>
      <c r="C50" s="2"/>
      <c r="E50" s="32" t="s">
        <v>140</v>
      </c>
    </row>
    <row r="51" spans="1:5" x14ac:dyDescent="0.3">
      <c r="B51" t="s">
        <v>114</v>
      </c>
    </row>
    <row r="52" spans="1:5" s="32" customFormat="1" x14ac:dyDescent="0.3">
      <c r="A52" s="32" t="s">
        <v>117</v>
      </c>
      <c r="B52" s="28">
        <f>(VIN_min*Dc_VIN_min)/(Lm*Fsw)</f>
        <v>0.38400000000000012</v>
      </c>
      <c r="C52" s="32" t="s">
        <v>12</v>
      </c>
      <c r="E52" s="32" t="s">
        <v>118</v>
      </c>
    </row>
    <row r="53" spans="1:5" x14ac:dyDescent="0.3">
      <c r="A53" t="s">
        <v>115</v>
      </c>
      <c r="B53" s="28">
        <f>(IL_avg_VIN_min/EFF_est)+(ILrip_VINmin/2)</f>
        <v>2.0670000000000002</v>
      </c>
      <c r="C53" t="s">
        <v>12</v>
      </c>
      <c r="E53" t="s">
        <v>116</v>
      </c>
    </row>
    <row r="55" spans="1:5" x14ac:dyDescent="0.3">
      <c r="A55" s="32" t="s">
        <v>119</v>
      </c>
      <c r="B55" s="28">
        <f>(VIN_nom*Dc_VIN_nom)/(Lm*Fsw)</f>
        <v>0.45000000000000007</v>
      </c>
      <c r="C55" s="32" t="s">
        <v>12</v>
      </c>
      <c r="E55" s="32" t="s">
        <v>125</v>
      </c>
    </row>
    <row r="56" spans="1:5" x14ac:dyDescent="0.3">
      <c r="A56" s="32" t="s">
        <v>120</v>
      </c>
      <c r="B56" s="28">
        <f>(IL_avg_VIN_nom/EFF_est)+(ILrip_VINnom/2)</f>
        <v>1.7249999999999999</v>
      </c>
      <c r="C56" s="32" t="s">
        <v>12</v>
      </c>
      <c r="E56" s="32" t="s">
        <v>126</v>
      </c>
    </row>
    <row r="58" spans="1:5" x14ac:dyDescent="0.3">
      <c r="A58" s="32" t="s">
        <v>121</v>
      </c>
      <c r="B58" s="28">
        <f>(VIN_max*Dc_VIN_max)/(Lm*Fsw)</f>
        <v>0.504</v>
      </c>
      <c r="C58" s="32" t="s">
        <v>12</v>
      </c>
      <c r="E58" s="32" t="s">
        <v>127</v>
      </c>
    </row>
    <row r="59" spans="1:5" x14ac:dyDescent="0.3">
      <c r="A59" s="32" t="s">
        <v>122</v>
      </c>
      <c r="B59" s="28">
        <f>(IL_avg_VIN_max/EFF_est)+(ILrip_VINmax/2)</f>
        <v>1.502</v>
      </c>
      <c r="C59" s="32" t="s">
        <v>12</v>
      </c>
      <c r="E59" s="32" t="s">
        <v>128</v>
      </c>
    </row>
    <row r="61" spans="1:5" x14ac:dyDescent="0.3">
      <c r="A61" s="31" t="s">
        <v>123</v>
      </c>
    </row>
    <row r="62" spans="1:5" x14ac:dyDescent="0.3">
      <c r="A62" t="s">
        <v>129</v>
      </c>
      <c r="B62" s="3">
        <f>'Design Converter'!H29/100</f>
        <v>0.45137880986937584</v>
      </c>
      <c r="E62" t="s">
        <v>130</v>
      </c>
    </row>
    <row r="63" spans="1:5" x14ac:dyDescent="0.3">
      <c r="A63" t="s">
        <v>131</v>
      </c>
      <c r="B63" s="29">
        <f>(1+Ipk_margin)*ILp_VINmin</f>
        <v>3</v>
      </c>
      <c r="C63" t="s">
        <v>12</v>
      </c>
      <c r="E63" t="s">
        <v>132</v>
      </c>
    </row>
    <row r="64" spans="1:5" s="32" customFormat="1" x14ac:dyDescent="0.3">
      <c r="B64" s="29"/>
    </row>
    <row r="65" spans="1:13" s="32" customFormat="1" x14ac:dyDescent="0.3">
      <c r="A65" s="32" t="s">
        <v>143</v>
      </c>
      <c r="B65" s="22">
        <v>0.6</v>
      </c>
      <c r="E65" s="32" t="s">
        <v>144</v>
      </c>
      <c r="J65" s="32">
        <f>Fsw*Isl*Rsl_int*Lm</f>
        <v>12.499999999999996</v>
      </c>
    </row>
    <row r="66" spans="1:13" s="32" customFormat="1" x14ac:dyDescent="0.3">
      <c r="B66" s="27"/>
      <c r="J66" s="32">
        <f>Isl</f>
        <v>9.9999999999999991E-6</v>
      </c>
      <c r="K66" s="32">
        <f>Fsw</f>
        <v>2500000</v>
      </c>
      <c r="L66" s="32">
        <f>Lm</f>
        <v>9.9999999999999991E-6</v>
      </c>
      <c r="M66" s="32">
        <f>Rsl_int</f>
        <v>50000</v>
      </c>
    </row>
    <row r="67" spans="1:13" x14ac:dyDescent="0.3">
      <c r="A67" t="s">
        <v>141</v>
      </c>
      <c r="B67" s="39">
        <f>(1/B65)*((Fsw*Isl*Rsl_int*Lm)/(VOUT-VIN_min))</f>
        <v>0.43402777777777762</v>
      </c>
      <c r="C67" s="2" t="s">
        <v>37</v>
      </c>
      <c r="E67" t="s">
        <v>142</v>
      </c>
    </row>
    <row r="68" spans="1:13" x14ac:dyDescent="0.3">
      <c r="A68" t="s">
        <v>147</v>
      </c>
      <c r="B68" s="39">
        <f>Vcl/Ipk_selected</f>
        <v>3.3333333333333333E-2</v>
      </c>
      <c r="C68" s="2" t="s">
        <v>37</v>
      </c>
      <c r="E68" t="s">
        <v>148</v>
      </c>
    </row>
    <row r="69" spans="1:13" s="32" customFormat="1" x14ac:dyDescent="0.3">
      <c r="B69" s="27"/>
    </row>
    <row r="70" spans="1:13" s="32" customFormat="1" x14ac:dyDescent="0.3">
      <c r="A70" s="32" t="s">
        <v>154</v>
      </c>
      <c r="B70" s="22">
        <v>0.83299999999999996</v>
      </c>
      <c r="E70" s="32" t="s">
        <v>155</v>
      </c>
    </row>
    <row r="71" spans="1:13" x14ac:dyDescent="0.3">
      <c r="A71" t="s">
        <v>153</v>
      </c>
      <c r="B71" s="38">
        <f>(Lm*Fsw*(Vcl+(Dc_VIN_min*Isl*Rsl_int)))/((Dc_VIN_min*Kslope*VOUT)-(Dc_VIN_min*Kslope*VIN_min)+(Ipk_selected*Lm*Fsw))</f>
        <v>0.11683640659817247</v>
      </c>
      <c r="C71" s="2" t="s">
        <v>37</v>
      </c>
      <c r="E71" t="s">
        <v>164</v>
      </c>
    </row>
    <row r="72" spans="1:13" x14ac:dyDescent="0.3">
      <c r="A72" t="s">
        <v>156</v>
      </c>
      <c r="B72" s="28">
        <f>(Vcl-(Ipk_selected*Rcs_w_sl))/(Isl*Dc_VIN_min)</f>
        <v>-31313.652474314684</v>
      </c>
      <c r="C72" s="2" t="s">
        <v>37</v>
      </c>
      <c r="E72" s="32" t="s">
        <v>163</v>
      </c>
    </row>
    <row r="74" spans="1:13" x14ac:dyDescent="0.3">
      <c r="A74" t="s">
        <v>151</v>
      </c>
      <c r="B74" s="1">
        <f>IF(Rcs_wo_sl&gt;Rcs_max,1,0)</f>
        <v>0</v>
      </c>
      <c r="E74" t="s">
        <v>152</v>
      </c>
    </row>
    <row r="75" spans="1:13" x14ac:dyDescent="0.3">
      <c r="A75" t="s">
        <v>157</v>
      </c>
      <c r="B75" s="42">
        <f>IF(B74=0,Rcs_wo_sl,Rcs_w_sl)</f>
        <v>3.3333333333333333E-2</v>
      </c>
      <c r="C75" s="2" t="s">
        <v>37</v>
      </c>
      <c r="E75" t="s">
        <v>161</v>
      </c>
    </row>
    <row r="76" spans="1:13" x14ac:dyDescent="0.3">
      <c r="A76" t="s">
        <v>158</v>
      </c>
      <c r="B76" s="1">
        <f>IF(B74=0,0,B72)</f>
        <v>0</v>
      </c>
      <c r="C76" s="2" t="s">
        <v>37</v>
      </c>
      <c r="E76" t="s">
        <v>162</v>
      </c>
    </row>
    <row r="79" spans="1:13" x14ac:dyDescent="0.3">
      <c r="A79" t="s">
        <v>160</v>
      </c>
      <c r="B79" s="3">
        <v>0</v>
      </c>
      <c r="C79" s="2" t="s">
        <v>37</v>
      </c>
      <c r="E79" t="s">
        <v>165</v>
      </c>
    </row>
    <row r="81" spans="1:11" x14ac:dyDescent="0.3">
      <c r="A81" t="s">
        <v>168</v>
      </c>
      <c r="B81" s="1">
        <f>(Isl*(Rsl_int+R_sl)*Fsw)/(((VOUT-VIN_min)/Lm)*R_cs)</f>
        <v>1.370614035087719</v>
      </c>
      <c r="C81" t="s">
        <v>175</v>
      </c>
      <c r="E81" t="s">
        <v>166</v>
      </c>
      <c r="K81">
        <f>IF(B81&lt;0.5,1,0)</f>
        <v>0</v>
      </c>
    </row>
    <row r="82" spans="1:11" s="32" customFormat="1" x14ac:dyDescent="0.3">
      <c r="A82" s="32" t="s">
        <v>169</v>
      </c>
      <c r="B82" s="29">
        <f>(Vcl-(Isl*R_sl*Dc_VIN_min))/R_cs</f>
        <v>0.52631578947368418</v>
      </c>
      <c r="C82" s="32" t="s">
        <v>12</v>
      </c>
      <c r="E82" s="32" t="s">
        <v>171</v>
      </c>
      <c r="K82">
        <f>IF(IL_pk&lt;Ipk_selected,1,0)</f>
        <v>1</v>
      </c>
    </row>
    <row r="83" spans="1:11" x14ac:dyDescent="0.3">
      <c r="A83" t="s">
        <v>170</v>
      </c>
      <c r="B83" s="29">
        <f>(Vcl-(Isl*R_sl*Dc_VIN_max))/R_cs</f>
        <v>0.52631578947368418</v>
      </c>
      <c r="C83" t="s">
        <v>12</v>
      </c>
      <c r="E83" t="s">
        <v>172</v>
      </c>
    </row>
    <row r="84" spans="1:11" x14ac:dyDescent="0.3">
      <c r="A84" t="s">
        <v>173</v>
      </c>
      <c r="B84" s="1">
        <f>0.15</f>
        <v>0.15</v>
      </c>
      <c r="E84" t="s">
        <v>174</v>
      </c>
    </row>
    <row r="85" spans="1:11" x14ac:dyDescent="0.3">
      <c r="A85" t="s">
        <v>176</v>
      </c>
      <c r="B85" s="28">
        <f>(1+B84)*B83</f>
        <v>0.60526315789473673</v>
      </c>
      <c r="C85" t="s">
        <v>12</v>
      </c>
      <c r="E85" t="s">
        <v>177</v>
      </c>
    </row>
    <row r="86" spans="1:11" s="32" customFormat="1" x14ac:dyDescent="0.3">
      <c r="B86" s="209"/>
    </row>
    <row r="87" spans="1:11" s="32" customFormat="1" x14ac:dyDescent="0.3">
      <c r="A87" s="32" t="s">
        <v>244</v>
      </c>
      <c r="B87" s="209">
        <f>(VOUT-VIN_min)/Lm*R_cs</f>
        <v>912000</v>
      </c>
      <c r="E87" s="32" t="s">
        <v>485</v>
      </c>
    </row>
    <row r="88" spans="1:11" s="32" customFormat="1" x14ac:dyDescent="0.3">
      <c r="A88" s="32" t="s">
        <v>489</v>
      </c>
      <c r="B88" s="209">
        <f>Sn/2</f>
        <v>456000</v>
      </c>
      <c r="E88" s="32" t="s">
        <v>490</v>
      </c>
    </row>
    <row r="89" spans="1:11" s="32" customFormat="1" x14ac:dyDescent="0.3">
      <c r="A89" s="32" t="s">
        <v>241</v>
      </c>
      <c r="B89" s="209">
        <f>0.5*Fsw</f>
        <v>1250000</v>
      </c>
      <c r="E89" s="32" t="s">
        <v>488</v>
      </c>
    </row>
    <row r="90" spans="1:11" s="32" customFormat="1" x14ac:dyDescent="0.3">
      <c r="B90" s="209"/>
    </row>
    <row r="91" spans="1:11" s="32" customFormat="1" x14ac:dyDescent="0.3">
      <c r="A91" s="32" t="s">
        <v>509</v>
      </c>
      <c r="B91" s="209">
        <f>VLOOKUP('Design Converter'!H27,Lists!A10:B13,2,FALSE)</f>
        <v>3</v>
      </c>
      <c r="C91" s="32" t="s">
        <v>12</v>
      </c>
      <c r="E91" s="32" t="s">
        <v>505</v>
      </c>
    </row>
    <row r="92" spans="1:11" s="32" customFormat="1" x14ac:dyDescent="0.3">
      <c r="A92" s="32" t="s">
        <v>508</v>
      </c>
      <c r="B92" s="209">
        <f>VLOOKUP('Design Converter'!H28,Lists!A10:B13,2,FALSE)</f>
        <v>3</v>
      </c>
      <c r="C92" s="32" t="s">
        <v>12</v>
      </c>
      <c r="E92" s="32" t="s">
        <v>502</v>
      </c>
    </row>
    <row r="93" spans="1:11" s="32" customFormat="1" x14ac:dyDescent="0.3">
      <c r="B93" s="209"/>
    </row>
    <row r="95" spans="1:11" x14ac:dyDescent="0.3">
      <c r="A95" s="35" t="s">
        <v>178</v>
      </c>
    </row>
    <row r="96" spans="1:11" x14ac:dyDescent="0.3">
      <c r="A96" t="s">
        <v>179</v>
      </c>
    </row>
    <row r="98" spans="1:5" x14ac:dyDescent="0.3">
      <c r="A98" s="44" t="s">
        <v>180</v>
      </c>
    </row>
    <row r="100" spans="1:5" x14ac:dyDescent="0.3">
      <c r="A100" t="s">
        <v>187</v>
      </c>
      <c r="B100" s="45">
        <f>'Design Converter'!H33/1000</f>
        <v>0.1</v>
      </c>
      <c r="C100" t="s">
        <v>11</v>
      </c>
      <c r="E100" t="s">
        <v>186</v>
      </c>
    </row>
    <row r="101" spans="1:5" x14ac:dyDescent="0.3">
      <c r="A101" t="s">
        <v>188</v>
      </c>
      <c r="B101" s="1">
        <f>IOUT*Dc_VIN_min/(Fsw*Vout_rip_sel)</f>
        <v>9.5999999999999991E-7</v>
      </c>
      <c r="C101" t="s">
        <v>189</v>
      </c>
      <c r="E101" t="s">
        <v>190</v>
      </c>
    </row>
    <row r="102" spans="1:5" x14ac:dyDescent="0.3">
      <c r="A102" t="s">
        <v>192</v>
      </c>
      <c r="B102" s="28">
        <f>SQRT((1-Dc_VIN_min)*((IOUT^2)*(Dc_VIN_min/((1-Dc_VIN_min)^2))+((ILrip_VINmin^2)/3)))</f>
        <v>0.60813682670925306</v>
      </c>
      <c r="C102" t="s">
        <v>12</v>
      </c>
      <c r="E102" t="s">
        <v>193</v>
      </c>
    </row>
    <row r="103" spans="1:5" x14ac:dyDescent="0.3">
      <c r="A103" t="s">
        <v>198</v>
      </c>
      <c r="B103" s="3">
        <f>'Design Converter'!H36*(10^-6)</f>
        <v>1.4999999999999999E-5</v>
      </c>
      <c r="C103" t="s">
        <v>189</v>
      </c>
      <c r="E103" t="s">
        <v>196</v>
      </c>
    </row>
    <row r="104" spans="1:5" x14ac:dyDescent="0.3">
      <c r="A104" t="s">
        <v>195</v>
      </c>
      <c r="B104" s="3">
        <f>'Design Converter'!H37/1000</f>
        <v>2.2000000000000001E-4</v>
      </c>
      <c r="C104" s="2" t="s">
        <v>37</v>
      </c>
      <c r="E104" t="s">
        <v>197</v>
      </c>
    </row>
    <row r="105" spans="1:5" x14ac:dyDescent="0.3">
      <c r="A105" t="s">
        <v>325</v>
      </c>
      <c r="B105">
        <f>SQRT((IOUT^2)+(IL_avg_VIN_min^2)-(2*IOUT*IL_avg_VIN_min)-(2*Dc_VIN_min*(IOUT^2))-(Dc_VIN_min*(IL_avg_VIN_min^2))+(2*Dc_VIN_min*IOUT*IL_avg_VIN_min))</f>
        <v>0.46475800154489</v>
      </c>
      <c r="E105" s="98" t="s">
        <v>326</v>
      </c>
    </row>
    <row r="106" spans="1:5" s="32" customFormat="1" x14ac:dyDescent="0.3"/>
    <row r="107" spans="1:5" s="32" customFormat="1" x14ac:dyDescent="0.3">
      <c r="A107" s="44" t="s">
        <v>345</v>
      </c>
    </row>
    <row r="108" spans="1:5" s="32" customFormat="1" x14ac:dyDescent="0.3">
      <c r="A108" s="32" t="s">
        <v>329</v>
      </c>
      <c r="B108" s="22">
        <f>Iss</f>
        <v>9.9999999999999991E-6</v>
      </c>
      <c r="C108" s="32" t="s">
        <v>12</v>
      </c>
      <c r="E108" s="32" t="s">
        <v>331</v>
      </c>
    </row>
    <row r="109" spans="1:5" s="32" customFormat="1" x14ac:dyDescent="0.3">
      <c r="A109" s="32" t="s">
        <v>332</v>
      </c>
      <c r="B109" s="1">
        <f>Iss*VOUT*Cout/(Vref*IOUT)</f>
        <v>2.9999999999999997E-8</v>
      </c>
      <c r="C109" s="32" t="s">
        <v>189</v>
      </c>
      <c r="E109" s="32" t="s">
        <v>333</v>
      </c>
    </row>
    <row r="110" spans="1:5" s="32" customFormat="1" x14ac:dyDescent="0.3">
      <c r="A110" s="32" t="s">
        <v>334</v>
      </c>
      <c r="B110" s="3">
        <f>'Design Converter'!H41*(10^-3)</f>
        <v>2E-3</v>
      </c>
      <c r="C110" s="32" t="s">
        <v>55</v>
      </c>
      <c r="E110" s="32" t="s">
        <v>335</v>
      </c>
    </row>
    <row r="111" spans="1:5" s="32" customFormat="1" x14ac:dyDescent="0.3">
      <c r="A111" s="32" t="s">
        <v>338</v>
      </c>
      <c r="B111" s="1">
        <f>(tss*Iss)/(Vref*(1-(VIN_min/VOUT)))</f>
        <v>2.4999999999999996E-8</v>
      </c>
      <c r="C111" s="32" t="s">
        <v>189</v>
      </c>
      <c r="E111" s="32" t="s">
        <v>339</v>
      </c>
    </row>
    <row r="112" spans="1:5" s="32" customFormat="1" x14ac:dyDescent="0.3"/>
    <row r="113" spans="1:5" s="32" customFormat="1" x14ac:dyDescent="0.3">
      <c r="A113" s="44" t="s">
        <v>344</v>
      </c>
    </row>
    <row r="114" spans="1:5" s="32" customFormat="1" x14ac:dyDescent="0.3">
      <c r="A114" s="32" t="s">
        <v>346</v>
      </c>
      <c r="B114" s="3">
        <f>'Design Converter'!H45</f>
        <v>2.8</v>
      </c>
      <c r="C114" s="32" t="s">
        <v>11</v>
      </c>
      <c r="E114" s="32" t="s">
        <v>348</v>
      </c>
    </row>
    <row r="115" spans="1:5" s="32" customFormat="1" x14ac:dyDescent="0.3">
      <c r="A115" s="32" t="s">
        <v>347</v>
      </c>
      <c r="B115" s="3">
        <f>'Design Converter'!H46</f>
        <v>2.4</v>
      </c>
      <c r="C115" s="32" t="s">
        <v>11</v>
      </c>
      <c r="E115" s="32" t="s">
        <v>349</v>
      </c>
    </row>
    <row r="116" spans="1:5" s="32" customFormat="1" x14ac:dyDescent="0.3">
      <c r="A116" s="32" t="s">
        <v>351</v>
      </c>
      <c r="B116" s="22">
        <f>UV_rise</f>
        <v>1.5</v>
      </c>
      <c r="C116" s="32" t="s">
        <v>11</v>
      </c>
      <c r="E116" s="32" t="s">
        <v>356</v>
      </c>
    </row>
    <row r="117" spans="1:5" s="32" customFormat="1" x14ac:dyDescent="0.3">
      <c r="A117" s="32" t="s">
        <v>352</v>
      </c>
      <c r="B117" s="22">
        <f>UV_fall</f>
        <v>1.45</v>
      </c>
      <c r="C117" s="32" t="s">
        <v>11</v>
      </c>
      <c r="E117" s="32" t="s">
        <v>355</v>
      </c>
    </row>
    <row r="118" spans="1:5" s="32" customFormat="1" x14ac:dyDescent="0.3">
      <c r="A118" s="32" t="s">
        <v>357</v>
      </c>
      <c r="B118" s="22">
        <f>UV_I_hyst</f>
        <v>4.9999999999999996E-6</v>
      </c>
      <c r="C118" s="32" t="s">
        <v>12</v>
      </c>
      <c r="E118" s="32" t="s">
        <v>359</v>
      </c>
    </row>
    <row r="119" spans="1:5" s="32" customFormat="1" x14ac:dyDescent="0.3">
      <c r="A119" s="32" t="s">
        <v>360</v>
      </c>
      <c r="B119" s="30">
        <f>((Vuvlo_on*UV_fall/UV_rise)-Vuvlo_off)/(UV_I_hyst)</f>
        <v>61333.333333333336</v>
      </c>
      <c r="C119" s="2" t="s">
        <v>37</v>
      </c>
      <c r="E119" s="32" t="s">
        <v>456</v>
      </c>
    </row>
    <row r="120" spans="1:5" s="32" customFormat="1" x14ac:dyDescent="0.3">
      <c r="A120" s="32" t="s">
        <v>360</v>
      </c>
      <c r="B120" s="3">
        <f>'Design Converter'!H48*1000</f>
        <v>61900</v>
      </c>
      <c r="C120" s="2" t="s">
        <v>37</v>
      </c>
      <c r="E120" s="32" t="s">
        <v>457</v>
      </c>
    </row>
    <row r="121" spans="1:5" s="32" customFormat="1" x14ac:dyDescent="0.3">
      <c r="A121" s="32" t="s">
        <v>361</v>
      </c>
      <c r="B121" s="30">
        <f>UV_rise*Ruvlo_top/(Vuvlo_on-UV_rise)</f>
        <v>71423.076923076937</v>
      </c>
      <c r="C121" s="2" t="s">
        <v>37</v>
      </c>
      <c r="E121" s="32" t="s">
        <v>458</v>
      </c>
    </row>
    <row r="122" spans="1:5" s="32" customFormat="1" x14ac:dyDescent="0.3">
      <c r="A122" s="32" t="s">
        <v>362</v>
      </c>
      <c r="B122" s="29">
        <f>UV_rise*(Ruvlo_top+Ruvlo_bottom_calc)/Ruvlo_bottom_calc</f>
        <v>2.8</v>
      </c>
      <c r="E122" s="32" t="s">
        <v>364</v>
      </c>
    </row>
    <row r="123" spans="1:5" s="32" customFormat="1" x14ac:dyDescent="0.3">
      <c r="A123" s="32" t="s">
        <v>363</v>
      </c>
      <c r="B123" s="29">
        <f>Ruvlo_top*((UV_fall/Ruvlo_top)-(UV_I_hyst)+(UV_fall/Ruvlo_bottom_calc))</f>
        <v>2.3971666666666667</v>
      </c>
      <c r="E123" s="32" t="s">
        <v>365</v>
      </c>
    </row>
    <row r="124" spans="1:5" s="32" customFormat="1" x14ac:dyDescent="0.3"/>
    <row r="125" spans="1:5" s="32" customFormat="1" x14ac:dyDescent="0.3"/>
    <row r="126" spans="1:5" x14ac:dyDescent="0.3">
      <c r="A126" s="44" t="s">
        <v>199</v>
      </c>
    </row>
    <row r="127" spans="1:5" s="32" customFormat="1" x14ac:dyDescent="0.3">
      <c r="A127" s="49" t="s">
        <v>226</v>
      </c>
      <c r="B127" s="3" t="str">
        <f>'Design Converter'!H52</f>
        <v>15V</v>
      </c>
      <c r="C127" s="32" t="s">
        <v>11</v>
      </c>
      <c r="E127" s="32" t="s">
        <v>270</v>
      </c>
    </row>
    <row r="128" spans="1:5" s="32" customFormat="1" x14ac:dyDescent="0.3">
      <c r="A128" s="49"/>
      <c r="B128" s="27"/>
    </row>
    <row r="129" spans="1:5" x14ac:dyDescent="0.3">
      <c r="A129" s="48" t="s">
        <v>285</v>
      </c>
    </row>
    <row r="130" spans="1:5" s="32" customFormat="1" x14ac:dyDescent="0.3">
      <c r="A130" s="32" t="s">
        <v>218</v>
      </c>
      <c r="B130" s="3">
        <f>'Design Converter'!H55*(10^3)</f>
        <v>49900</v>
      </c>
      <c r="C130" s="2" t="s">
        <v>37</v>
      </c>
      <c r="E130" s="32" t="s">
        <v>271</v>
      </c>
    </row>
    <row r="131" spans="1:5" s="32" customFormat="1" x14ac:dyDescent="0.3">
      <c r="A131" s="32" t="s">
        <v>275</v>
      </c>
      <c r="B131" s="30">
        <f>(RFBT*Vref)/(VOUT-Vref)</f>
        <v>845.76271186440681</v>
      </c>
      <c r="C131" s="2" t="s">
        <v>37</v>
      </c>
      <c r="E131" s="32" t="s">
        <v>278</v>
      </c>
    </row>
    <row r="132" spans="1:5" x14ac:dyDescent="0.3">
      <c r="A132" t="s">
        <v>219</v>
      </c>
      <c r="B132" s="3">
        <f>'Design Converter'!H57*(10^3)</f>
        <v>4530</v>
      </c>
      <c r="C132" s="2" t="s">
        <v>37</v>
      </c>
      <c r="E132" t="s">
        <v>279</v>
      </c>
    </row>
    <row r="133" spans="1:5" x14ac:dyDescent="0.3">
      <c r="A133" t="s">
        <v>280</v>
      </c>
      <c r="B133" s="1">
        <f>VOUT/(RFBB+RFBT)</f>
        <v>1.1023332720925959E-3</v>
      </c>
      <c r="C133" s="2" t="s">
        <v>12</v>
      </c>
      <c r="E133" t="s">
        <v>281</v>
      </c>
    </row>
    <row r="134" spans="1:5" s="32" customFormat="1" x14ac:dyDescent="0.3">
      <c r="B134" s="27"/>
      <c r="C134" s="2"/>
    </row>
    <row r="135" spans="1:5" s="32" customFormat="1" x14ac:dyDescent="0.3">
      <c r="A135" s="48" t="s">
        <v>286</v>
      </c>
      <c r="E135" s="32" t="s">
        <v>446</v>
      </c>
    </row>
    <row r="136" spans="1:5" s="32" customFormat="1" x14ac:dyDescent="0.3"/>
    <row r="137" spans="1:5" s="32" customFormat="1" x14ac:dyDescent="0.3">
      <c r="A137" s="32" t="s">
        <v>460</v>
      </c>
      <c r="B137" s="32">
        <f>(Gcomp*(VIN_min/VOUT)*(VOUT/IOUT))/(2*R_cs*Acs)</f>
        <v>105.26315789473684</v>
      </c>
    </row>
    <row r="138" spans="1:5" s="32" customFormat="1" x14ac:dyDescent="0.3"/>
    <row r="139" spans="1:5" s="32" customFormat="1" x14ac:dyDescent="0.3">
      <c r="A139" s="32" t="s">
        <v>461</v>
      </c>
      <c r="B139" s="22">
        <f>2/(Cout*(VOUT/IOUT))</f>
        <v>666.66666666666674</v>
      </c>
      <c r="C139" s="32" t="s">
        <v>443</v>
      </c>
      <c r="E139" s="32" t="s">
        <v>442</v>
      </c>
    </row>
    <row r="140" spans="1:5" s="32" customFormat="1" x14ac:dyDescent="0.3">
      <c r="A140" s="32" t="s">
        <v>462</v>
      </c>
      <c r="B140" s="1">
        <f>B139/(2*PI())</f>
        <v>106.10329539459691</v>
      </c>
      <c r="C140" s="32" t="s">
        <v>70</v>
      </c>
      <c r="E140" s="32" t="s">
        <v>282</v>
      </c>
    </row>
    <row r="141" spans="1:5" s="32" customFormat="1" x14ac:dyDescent="0.3">
      <c r="B141" s="27"/>
    </row>
    <row r="142" spans="1:5" s="32" customFormat="1" x14ac:dyDescent="0.3">
      <c r="A142" s="32" t="s">
        <v>463</v>
      </c>
      <c r="B142" s="22">
        <f>1/(Cout*Resr)</f>
        <v>303030303.03030306</v>
      </c>
      <c r="C142" s="32" t="s">
        <v>444</v>
      </c>
      <c r="E142" s="32" t="s">
        <v>445</v>
      </c>
    </row>
    <row r="143" spans="1:5" s="32" customFormat="1" x14ac:dyDescent="0.3">
      <c r="A143" s="32" t="s">
        <v>464</v>
      </c>
      <c r="B143" s="1">
        <f>B142/(2*PI())</f>
        <v>48228770.633907683</v>
      </c>
      <c r="C143" s="32" t="s">
        <v>70</v>
      </c>
      <c r="E143" s="32" t="s">
        <v>284</v>
      </c>
    </row>
    <row r="144" spans="1:5" s="32" customFormat="1" x14ac:dyDescent="0.3">
      <c r="B144" s="27"/>
    </row>
    <row r="145" spans="1:15" s="32" customFormat="1" x14ac:dyDescent="0.3">
      <c r="A145" s="32" t="s">
        <v>465</v>
      </c>
      <c r="B145" s="22">
        <f>((VOUT/IOUT)*((VIN_min/VOUT)^2))/(Lm)</f>
        <v>800000.00000000023</v>
      </c>
      <c r="E145" s="32" t="s">
        <v>441</v>
      </c>
    </row>
    <row r="146" spans="1:15" s="32" customFormat="1" x14ac:dyDescent="0.3">
      <c r="A146" s="32" t="s">
        <v>466</v>
      </c>
      <c r="B146" s="30">
        <f>B145/(2*PI())</f>
        <v>127323.95447351631</v>
      </c>
      <c r="C146" s="32" t="s">
        <v>70</v>
      </c>
      <c r="E146" s="32" t="s">
        <v>283</v>
      </c>
    </row>
    <row r="147" spans="1:15" s="32" customFormat="1" x14ac:dyDescent="0.3">
      <c r="B147" s="27">
        <f>Fsw/10</f>
        <v>250000</v>
      </c>
      <c r="C147" s="32" t="s">
        <v>70</v>
      </c>
      <c r="E147" s="32" t="s">
        <v>291</v>
      </c>
    </row>
    <row r="148" spans="1:15" s="32" customFormat="1" x14ac:dyDescent="0.3">
      <c r="B148" s="32">
        <f>IF((B146/5)&lt;(B147),0,1)</f>
        <v>0</v>
      </c>
      <c r="E148" s="32" t="s">
        <v>293</v>
      </c>
    </row>
    <row r="149" spans="1:15" s="32" customFormat="1" x14ac:dyDescent="0.3">
      <c r="A149" s="32" t="s">
        <v>493</v>
      </c>
      <c r="B149" s="32">
        <f>((VOUT/IOUT)*((VIN_nom/VOUT)^2))/(Lm)</f>
        <v>1250000</v>
      </c>
    </row>
    <row r="150" spans="1:15" s="32" customFormat="1" x14ac:dyDescent="0.3">
      <c r="A150" s="32" t="s">
        <v>492</v>
      </c>
      <c r="B150" s="32">
        <f>B145/(2*PI())</f>
        <v>127323.95447351631</v>
      </c>
    </row>
    <row r="151" spans="1:15" s="32" customFormat="1" x14ac:dyDescent="0.3">
      <c r="O151" s="32">
        <f>CComp_calc*Rcomp_calc*VIN_nom^2-IOUT*Lm*VOUT</f>
        <v>2.82052408727268E-2</v>
      </c>
    </row>
    <row r="152" spans="1:15" s="32" customFormat="1" x14ac:dyDescent="0.3">
      <c r="A152" s="32" t="s">
        <v>467</v>
      </c>
      <c r="B152" s="1">
        <f>(Isl*(Rsl_int+R_sl)*Fsw)</f>
        <v>1249999.9999999998</v>
      </c>
      <c r="C152" s="32" t="s">
        <v>175</v>
      </c>
      <c r="E152" s="32" t="s">
        <v>242</v>
      </c>
      <c r="O152" s="32">
        <f>CComp_calc*Rcomp_calc*VIN_nom^2</f>
        <v>2.83852408727268E-2</v>
      </c>
    </row>
    <row r="153" spans="1:15" s="32" customFormat="1" x14ac:dyDescent="0.3">
      <c r="A153" s="32" t="s">
        <v>468</v>
      </c>
      <c r="B153" s="1">
        <f>(R_cs*VIN_min*Acs)/Lm</f>
        <v>228000.00000000006</v>
      </c>
      <c r="C153" s="32" t="s">
        <v>175</v>
      </c>
      <c r="E153" s="32" t="s">
        <v>243</v>
      </c>
    </row>
    <row r="154" spans="1:15" s="32" customFormat="1" x14ac:dyDescent="0.3">
      <c r="B154" s="1"/>
    </row>
    <row r="155" spans="1:15" s="32" customFormat="1" x14ac:dyDescent="0.3">
      <c r="A155" s="32" t="s">
        <v>469</v>
      </c>
      <c r="B155" s="1">
        <f>2*PI()*Fsw</f>
        <v>15707963.267948966</v>
      </c>
      <c r="C155" s="32" t="s">
        <v>245</v>
      </c>
    </row>
    <row r="156" spans="1:15" s="32" customFormat="1" x14ac:dyDescent="0.3">
      <c r="A156" s="32" t="s">
        <v>470</v>
      </c>
      <c r="B156" s="1">
        <f>1/(PI()*(((VIN_min/VOUT)*(1+(B152/B153)))-0.5))</f>
        <v>0.39964016547304143</v>
      </c>
    </row>
    <row r="157" spans="1:15" s="32" customFormat="1" x14ac:dyDescent="0.3"/>
    <row r="158" spans="1:15" s="32" customFormat="1" x14ac:dyDescent="0.3"/>
    <row r="159" spans="1:15" s="32" customFormat="1" x14ac:dyDescent="0.3"/>
    <row r="160" spans="1:15" s="32" customFormat="1" x14ac:dyDescent="0.3"/>
    <row r="161" spans="1:5" s="32" customFormat="1" x14ac:dyDescent="0.3">
      <c r="B161" s="27"/>
    </row>
    <row r="162" spans="1:5" s="32" customFormat="1" x14ac:dyDescent="0.3">
      <c r="A162" s="32" t="s">
        <v>287</v>
      </c>
      <c r="B162" s="29">
        <f>IF(B148=0,fz_rhp/5,Fsw/10)</f>
        <v>25464.790894703263</v>
      </c>
      <c r="C162" s="32" t="s">
        <v>70</v>
      </c>
      <c r="E162" s="32" t="s">
        <v>292</v>
      </c>
    </row>
    <row r="163" spans="1:5" s="32" customFormat="1" x14ac:dyDescent="0.3">
      <c r="A163" s="32" t="s">
        <v>289</v>
      </c>
      <c r="B163" s="3">
        <f>'Design Converter'!H61*1000</f>
        <v>15000</v>
      </c>
      <c r="C163" s="32" t="s">
        <v>70</v>
      </c>
      <c r="E163" s="32" t="s">
        <v>290</v>
      </c>
    </row>
    <row r="164" spans="1:5" s="32" customFormat="1" x14ac:dyDescent="0.3"/>
    <row r="165" spans="1:5" s="32" customFormat="1" x14ac:dyDescent="0.3">
      <c r="A165" s="32" t="s">
        <v>298</v>
      </c>
      <c r="B165" s="33">
        <f>Gplant_fc_dB</f>
        <v>-2.5047390662608304</v>
      </c>
      <c r="C165" s="32" t="s">
        <v>269</v>
      </c>
      <c r="E165" s="32" t="s">
        <v>299</v>
      </c>
    </row>
    <row r="166" spans="1:5" s="32" customFormat="1" x14ac:dyDescent="0.3">
      <c r="A166" s="32" t="s">
        <v>294</v>
      </c>
      <c r="B166" s="33">
        <f>10^(B165/20)</f>
        <v>0.7494851747734631</v>
      </c>
      <c r="C166" s="32" t="s">
        <v>175</v>
      </c>
      <c r="E166" s="32" t="s">
        <v>295</v>
      </c>
    </row>
    <row r="167" spans="1:5" s="32" customFormat="1" x14ac:dyDescent="0.3">
      <c r="A167" s="32" t="s">
        <v>300</v>
      </c>
      <c r="B167" s="33">
        <f>1/B166</f>
        <v>1.3342492068669092</v>
      </c>
      <c r="C167" s="32" t="s">
        <v>175</v>
      </c>
      <c r="E167" s="32" t="s">
        <v>301</v>
      </c>
    </row>
    <row r="168" spans="1:5" s="32" customFormat="1" x14ac:dyDescent="0.3"/>
    <row r="169" spans="1:5" s="32" customFormat="1" x14ac:dyDescent="0.3">
      <c r="A169" s="32" t="s">
        <v>307</v>
      </c>
      <c r="B169" s="32">
        <f>fcross/10</f>
        <v>1500</v>
      </c>
      <c r="C169" s="32" t="s">
        <v>70</v>
      </c>
      <c r="E169" s="32" t="s">
        <v>305</v>
      </c>
    </row>
    <row r="170" spans="1:5" s="32" customFormat="1" x14ac:dyDescent="0.3">
      <c r="A170" s="32" t="s">
        <v>308</v>
      </c>
      <c r="B170" s="72">
        <f>SQRT(B140*fcross)</f>
        <v>1261.5662610100801</v>
      </c>
      <c r="C170" s="32" t="s">
        <v>70</v>
      </c>
      <c r="E170" s="32" t="s">
        <v>306</v>
      </c>
    </row>
    <row r="171" spans="1:5" s="32" customFormat="1" x14ac:dyDescent="0.3">
      <c r="A171" s="32" t="s">
        <v>304</v>
      </c>
      <c r="B171" s="72">
        <f>B170</f>
        <v>1261.5662610100801</v>
      </c>
      <c r="C171" s="32" t="s">
        <v>70</v>
      </c>
    </row>
    <row r="172" spans="1:5" s="32" customFormat="1" x14ac:dyDescent="0.3"/>
    <row r="173" spans="1:5" s="32" customFormat="1" x14ac:dyDescent="0.3">
      <c r="A173" s="32" t="s">
        <v>311</v>
      </c>
      <c r="B173" s="46">
        <f>fz_rhp</f>
        <v>127323.95447351631</v>
      </c>
      <c r="C173" s="32" t="s">
        <v>70</v>
      </c>
      <c r="E173" s="32" t="s">
        <v>479</v>
      </c>
    </row>
    <row r="174" spans="1:5" s="32" customFormat="1" x14ac:dyDescent="0.3">
      <c r="E174" s="32" t="s">
        <v>480</v>
      </c>
    </row>
    <row r="175" spans="1:5" s="32" customFormat="1" x14ac:dyDescent="0.3"/>
    <row r="176" spans="1:5" s="32" customFormat="1" x14ac:dyDescent="0.3"/>
    <row r="177" spans="1:5" s="32" customFormat="1" x14ac:dyDescent="0.3">
      <c r="A177" s="32" t="s">
        <v>302</v>
      </c>
      <c r="B177" s="37">
        <f>(Gea_mid_calc*(RFBT+RFBB)/(RFBB*gm_ea))</f>
        <v>8015.8040099079317</v>
      </c>
      <c r="C177" s="2" t="s">
        <v>37</v>
      </c>
      <c r="E177" s="32" t="s">
        <v>303</v>
      </c>
    </row>
    <row r="178" spans="1:5" x14ac:dyDescent="0.3">
      <c r="A178" t="s">
        <v>208</v>
      </c>
      <c r="B178" s="3">
        <f>'Design Converter'!H64*1000</f>
        <v>2610</v>
      </c>
      <c r="C178" s="2" t="s">
        <v>37</v>
      </c>
      <c r="E178" t="s">
        <v>215</v>
      </c>
    </row>
    <row r="179" spans="1:5" s="32" customFormat="1" x14ac:dyDescent="0.3">
      <c r="A179" s="32" t="s">
        <v>309</v>
      </c>
      <c r="B179" s="96">
        <f>1/(2*PI()*fz_ea_est*Rcomp_calc)</f>
        <v>1.5738486862337471E-8</v>
      </c>
      <c r="C179" s="2" t="s">
        <v>189</v>
      </c>
    </row>
    <row r="180" spans="1:5" x14ac:dyDescent="0.3">
      <c r="A180" t="s">
        <v>213</v>
      </c>
      <c r="B180" s="3">
        <f>'Design Converter'!H65*(10^-9)</f>
        <v>1E-8</v>
      </c>
      <c r="C180" t="s">
        <v>189</v>
      </c>
      <c r="E180" t="s">
        <v>216</v>
      </c>
    </row>
    <row r="181" spans="1:5" s="32" customFormat="1" x14ac:dyDescent="0.3">
      <c r="A181" s="32" t="s">
        <v>494</v>
      </c>
      <c r="B181" s="27">
        <f>(CComp_calc*IOUT*Lm*VOUT)/(CComp_calc*Rcomp_calc*VIN_max^2-IOUT*Lm*VOUT)</f>
        <v>6.9614086682848568E-11</v>
      </c>
      <c r="E181" s="32" t="s">
        <v>496</v>
      </c>
    </row>
    <row r="182" spans="1:5" s="32" customFormat="1" x14ac:dyDescent="0.3">
      <c r="A182" s="32" t="s">
        <v>310</v>
      </c>
      <c r="B182" s="96">
        <f>(CComp_calc)/((CComp_calc*Rcomp_calc*2*PI()*fp_ea_est)-1)</f>
        <v>1.5750252161973232E-10</v>
      </c>
      <c r="C182" s="32" t="s">
        <v>189</v>
      </c>
      <c r="E182" s="32" t="s">
        <v>495</v>
      </c>
    </row>
    <row r="183" spans="1:5" x14ac:dyDescent="0.3">
      <c r="A183" t="s">
        <v>214</v>
      </c>
      <c r="B183" s="3">
        <f>'Design Converter'!H66*(10^-12)</f>
        <v>1E-10</v>
      </c>
      <c r="C183" t="s">
        <v>189</v>
      </c>
      <c r="E183" t="s">
        <v>217</v>
      </c>
    </row>
    <row r="186" spans="1:5" x14ac:dyDescent="0.3">
      <c r="A186" s="44" t="s">
        <v>374</v>
      </c>
    </row>
    <row r="187" spans="1:5" s="32" customFormat="1" x14ac:dyDescent="0.3">
      <c r="A187" s="44" t="s">
        <v>390</v>
      </c>
    </row>
    <row r="188" spans="1:5" s="32" customFormat="1" x14ac:dyDescent="0.3">
      <c r="A188" s="116" t="s">
        <v>450</v>
      </c>
      <c r="E188" s="32" t="s">
        <v>451</v>
      </c>
    </row>
    <row r="189" spans="1:5" x14ac:dyDescent="0.3">
      <c r="A189" t="s">
        <v>375</v>
      </c>
      <c r="B189">
        <f>'Design Converter'!H73/1000</f>
        <v>0.42</v>
      </c>
      <c r="C189" t="s">
        <v>11</v>
      </c>
      <c r="E189" t="s">
        <v>376</v>
      </c>
    </row>
    <row r="190" spans="1:5" x14ac:dyDescent="0.3">
      <c r="A190" t="s">
        <v>402</v>
      </c>
      <c r="B190">
        <f>'Design Converter'!H74*(10^-9)</f>
        <v>5.0000000000000001E-9</v>
      </c>
      <c r="C190" t="s">
        <v>400</v>
      </c>
      <c r="E190" t="s">
        <v>401</v>
      </c>
    </row>
    <row r="192" spans="1:5" s="32" customFormat="1" x14ac:dyDescent="0.3"/>
    <row r="193" spans="1:8" x14ac:dyDescent="0.3">
      <c r="A193" s="44" t="s">
        <v>392</v>
      </c>
    </row>
    <row r="194" spans="1:8" s="32" customFormat="1" x14ac:dyDescent="0.3">
      <c r="A194" s="32" t="s">
        <v>524</v>
      </c>
      <c r="B194" s="22">
        <v>5.1799999999999999E-2</v>
      </c>
      <c r="C194" s="2" t="s">
        <v>37</v>
      </c>
      <c r="E194" s="32" t="s">
        <v>574</v>
      </c>
    </row>
    <row r="195" spans="1:8" s="32" customFormat="1" x14ac:dyDescent="0.3">
      <c r="A195" s="32" t="s">
        <v>571</v>
      </c>
      <c r="B195" s="22">
        <f>IF(Vcc_real&gt;=3.5, (51.67-1.33*Vcc_real)/1000, (93.67-13.3*Vcc_real)/1000)</f>
        <v>4.5020000000000004E-2</v>
      </c>
      <c r="C195" s="2" t="s">
        <v>37</v>
      </c>
      <c r="E195" s="32" t="s">
        <v>572</v>
      </c>
    </row>
    <row r="196" spans="1:8" ht="15.6" x14ac:dyDescent="0.35">
      <c r="A196" t="s">
        <v>403</v>
      </c>
      <c r="B196" s="22">
        <f>B195/0.045*B194</f>
        <v>5.1823022222222237E-2</v>
      </c>
      <c r="C196" s="2" t="s">
        <v>37</v>
      </c>
      <c r="E196" s="219" t="s">
        <v>573</v>
      </c>
    </row>
    <row r="197" spans="1:8" ht="15.6" x14ac:dyDescent="0.35">
      <c r="A197" t="s">
        <v>393</v>
      </c>
      <c r="B197" s="22">
        <v>6.9999999999999998E-9</v>
      </c>
      <c r="C197" t="s">
        <v>189</v>
      </c>
      <c r="E197" s="104" t="s">
        <v>382</v>
      </c>
    </row>
    <row r="198" spans="1:8" ht="15.6" x14ac:dyDescent="0.35">
      <c r="A198" t="s">
        <v>395</v>
      </c>
      <c r="B198" s="22">
        <v>1.11E-8</v>
      </c>
      <c r="C198" t="s">
        <v>189</v>
      </c>
      <c r="E198" s="104" t="s">
        <v>383</v>
      </c>
    </row>
    <row r="199" spans="1:8" ht="15.6" x14ac:dyDescent="0.35">
      <c r="A199" t="s">
        <v>394</v>
      </c>
      <c r="B199" s="22">
        <v>1.2299999999999999E-8</v>
      </c>
      <c r="C199" t="s">
        <v>189</v>
      </c>
      <c r="E199" s="104" t="s">
        <v>384</v>
      </c>
    </row>
    <row r="200" spans="1:8" ht="15.6" x14ac:dyDescent="0.35">
      <c r="A200" t="s">
        <v>396</v>
      </c>
      <c r="B200" s="22">
        <v>1.5</v>
      </c>
      <c r="C200" s="2" t="s">
        <v>37</v>
      </c>
      <c r="E200" s="104" t="s">
        <v>385</v>
      </c>
    </row>
    <row r="201" spans="1:8" s="32" customFormat="1" x14ac:dyDescent="0.3">
      <c r="A201" s="32" t="s">
        <v>404</v>
      </c>
      <c r="B201" s="22">
        <v>1.5</v>
      </c>
      <c r="C201" s="2"/>
      <c r="E201" s="104" t="s">
        <v>405</v>
      </c>
      <c r="H201" s="32" t="s">
        <v>413</v>
      </c>
    </row>
    <row r="202" spans="1:8" ht="15.6" x14ac:dyDescent="0.35">
      <c r="A202" t="s">
        <v>397</v>
      </c>
      <c r="B202" s="22">
        <v>60</v>
      </c>
      <c r="C202" s="2" t="s">
        <v>389</v>
      </c>
      <c r="E202" s="104" t="s">
        <v>386</v>
      </c>
    </row>
    <row r="203" spans="1:8" ht="15.6" x14ac:dyDescent="0.35">
      <c r="A203" t="s">
        <v>398</v>
      </c>
      <c r="B203" s="22">
        <v>1.7</v>
      </c>
      <c r="C203" s="2" t="s">
        <v>11</v>
      </c>
      <c r="E203" s="104" t="s">
        <v>387</v>
      </c>
    </row>
    <row r="204" spans="1:8" s="32" customFormat="1" x14ac:dyDescent="0.3">
      <c r="A204" s="32" t="s">
        <v>525</v>
      </c>
      <c r="B204" s="22">
        <f>IF(VIN_var&lt;5, VIN_var, 5)</f>
        <v>5</v>
      </c>
      <c r="C204" s="2" t="s">
        <v>11</v>
      </c>
      <c r="E204" s="104" t="s">
        <v>526</v>
      </c>
    </row>
    <row r="205" spans="1:8" s="32" customFormat="1" x14ac:dyDescent="0.3">
      <c r="B205" s="27"/>
      <c r="C205" s="2"/>
      <c r="E205" s="104"/>
    </row>
    <row r="206" spans="1:8" s="32" customFormat="1" x14ac:dyDescent="0.3">
      <c r="B206" s="27"/>
      <c r="C206" s="2"/>
      <c r="E206" s="104"/>
    </row>
    <row r="207" spans="1:8" x14ac:dyDescent="0.3">
      <c r="A207" t="s">
        <v>406</v>
      </c>
      <c r="B207" s="42">
        <f>Vth+(((VOUT*IOUT)/VIN_min)/gfs)</f>
        <v>1.7249999999999999</v>
      </c>
      <c r="C207" s="2" t="s">
        <v>11</v>
      </c>
      <c r="E207" s="104" t="s">
        <v>407</v>
      </c>
    </row>
    <row r="208" spans="1:8" x14ac:dyDescent="0.3">
      <c r="A208" t="s">
        <v>414</v>
      </c>
      <c r="B208" s="1">
        <f>(Qgd+(Qgs/2))*((Rgate+B201)/(Vcc-B207))</f>
        <v>1.5801526717557247E-8</v>
      </c>
      <c r="C208" s="2" t="s">
        <v>55</v>
      </c>
      <c r="E208" s="104" t="s">
        <v>408</v>
      </c>
    </row>
    <row r="209" spans="1:5" ht="15" thickBot="1" x14ac:dyDescent="0.35">
      <c r="A209" t="s">
        <v>415</v>
      </c>
      <c r="B209" s="1">
        <f>(Qgd+(Qgs/2))*((B201+Rgate)/B207)</f>
        <v>3.0000000000000004E-8</v>
      </c>
      <c r="C209" t="s">
        <v>55</v>
      </c>
      <c r="E209" s="105" t="s">
        <v>409</v>
      </c>
    </row>
    <row r="211" spans="1:5" x14ac:dyDescent="0.3">
      <c r="A211" t="s">
        <v>510</v>
      </c>
      <c r="B211" s="211">
        <v>6.9999999999999998E-9</v>
      </c>
      <c r="C211" t="s">
        <v>55</v>
      </c>
    </row>
    <row r="212" spans="1:5" x14ac:dyDescent="0.3">
      <c r="A212" t="s">
        <v>511</v>
      </c>
      <c r="B212" s="211">
        <v>6.9999999999999998E-9</v>
      </c>
      <c r="C212" t="s">
        <v>55</v>
      </c>
    </row>
    <row r="214" spans="1:5" x14ac:dyDescent="0.3">
      <c r="A214" s="44" t="s">
        <v>513</v>
      </c>
    </row>
    <row r="215" spans="1:5" x14ac:dyDescent="0.3">
      <c r="A215" t="s">
        <v>516</v>
      </c>
      <c r="B215">
        <v>60</v>
      </c>
      <c r="C215" t="s">
        <v>517</v>
      </c>
      <c r="E215" t="s">
        <v>577</v>
      </c>
    </row>
    <row r="216" spans="1:5" s="32" customFormat="1" x14ac:dyDescent="0.3">
      <c r="A216" s="32" t="s">
        <v>576</v>
      </c>
      <c r="B216" s="32">
        <v>35</v>
      </c>
      <c r="C216" s="32" t="s">
        <v>517</v>
      </c>
      <c r="E216" s="32" t="s">
        <v>515</v>
      </c>
    </row>
    <row r="217" spans="1:5" x14ac:dyDescent="0.3">
      <c r="A217" t="s">
        <v>519</v>
      </c>
      <c r="B217">
        <f>'Design Converter'!H77</f>
        <v>25</v>
      </c>
      <c r="C217" t="s">
        <v>520</v>
      </c>
      <c r="E217" t="s">
        <v>518</v>
      </c>
    </row>
  </sheetData>
  <mergeCells count="2">
    <mergeCell ref="A1:J1"/>
    <mergeCell ref="E5:H5"/>
  </mergeCells>
  <pageMargins left="0.7" right="0.7" top="0.75" bottom="0.75" header="0.3" footer="0.3"/>
  <pageSetup orientation="portrait" r:id="rId1"/>
  <drawing r:id="rId2"/>
  <legacyDrawing r:id="rId3"/>
  <oleObjects>
    <mc:AlternateContent xmlns:mc="http://schemas.openxmlformats.org/markup-compatibility/2006">
      <mc:Choice Requires="x14">
        <oleObject progId="Mathcad" shapeId="2053" r:id="rId4">
          <objectPr defaultSize="0" autoPict="0" r:id="rId5">
            <anchor moveWithCells="1">
              <from>
                <xdr:col>8</xdr:col>
                <xdr:colOff>60960</xdr:colOff>
                <xdr:row>102</xdr:row>
                <xdr:rowOff>137160</xdr:rowOff>
              </from>
              <to>
                <xdr:col>13</xdr:col>
                <xdr:colOff>160020</xdr:colOff>
                <xdr:row>105</xdr:row>
                <xdr:rowOff>22860</xdr:rowOff>
              </to>
            </anchor>
          </objectPr>
        </oleObject>
      </mc:Choice>
      <mc:Fallback>
        <oleObject progId="Mathcad" shapeId="205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C325"/>
  <sheetViews>
    <sheetView zoomScale="70" zoomScaleNormal="70" workbookViewId="0">
      <pane ySplit="6" topLeftCell="A287" activePane="bottomLeft" state="frozen"/>
      <selection activeCell="AD9" sqref="AD9"/>
      <selection pane="bottomLeft" activeCell="A326" sqref="A326:XFD329"/>
    </sheetView>
  </sheetViews>
  <sheetFormatPr defaultRowHeight="14.4" x14ac:dyDescent="0.3"/>
  <cols>
    <col min="10" max="10" width="10" bestFit="1" customWidth="1"/>
    <col min="18" max="20" width="9.109375" style="32"/>
    <col min="21" max="21" width="8.88671875" style="32"/>
    <col min="24" max="24" width="8.88671875" style="32"/>
    <col min="26" max="26" width="0" hidden="1" customWidth="1"/>
    <col min="27" max="27" width="0" style="32" hidden="1" customWidth="1"/>
    <col min="28" max="28" width="12" hidden="1" customWidth="1"/>
    <col min="29" max="30" width="0" hidden="1" customWidth="1"/>
    <col min="31" max="31" width="0" style="32" hidden="1" customWidth="1"/>
    <col min="33" max="33" width="8.88671875" style="32"/>
    <col min="37" max="37" width="9.109375" hidden="1" customWidth="1"/>
    <col min="38" max="38" width="0" style="32" hidden="1" customWidth="1"/>
    <col min="39" max="41" width="0" hidden="1" customWidth="1"/>
    <col min="42" max="42" width="11" bestFit="1" customWidth="1"/>
    <col min="45" max="45" width="12.109375" style="32" customWidth="1"/>
    <col min="46" max="46" width="14" style="32" customWidth="1"/>
    <col min="47" max="47" width="9.109375" style="32"/>
    <col min="48" max="48" width="8.88671875" style="32"/>
    <col min="80" max="80" width="9.109375" style="32"/>
    <col min="81" max="81" width="13.5546875" customWidth="1"/>
  </cols>
  <sheetData>
    <row r="1" spans="1:81" ht="28.2" x14ac:dyDescent="0.5">
      <c r="A1" s="263" t="s">
        <v>16</v>
      </c>
      <c r="B1" s="263"/>
      <c r="C1" s="263"/>
      <c r="D1" s="263"/>
      <c r="E1" s="263"/>
      <c r="F1" s="263"/>
      <c r="G1" s="263"/>
      <c r="H1" s="263"/>
      <c r="I1" s="263"/>
      <c r="J1" s="263"/>
      <c r="K1" s="263"/>
      <c r="L1" s="263"/>
      <c r="M1" s="263"/>
    </row>
    <row r="2" spans="1:81" x14ac:dyDescent="0.3">
      <c r="S2" s="274" t="s">
        <v>523</v>
      </c>
      <c r="T2" s="274"/>
      <c r="U2" s="274"/>
      <c r="V2" s="274"/>
      <c r="W2" s="274"/>
      <c r="X2" s="274"/>
      <c r="Y2" s="274"/>
      <c r="Z2" s="274"/>
      <c r="AA2" s="274"/>
      <c r="AB2" s="274"/>
      <c r="AC2" s="274"/>
      <c r="AD2" s="274"/>
      <c r="AE2" s="274"/>
      <c r="AF2" s="274"/>
      <c r="AG2" s="274"/>
      <c r="AH2" s="274"/>
      <c r="AI2" s="274"/>
      <c r="AJ2" s="274"/>
      <c r="AK2" s="274"/>
      <c r="AL2" s="274"/>
      <c r="AM2" s="274"/>
      <c r="AN2" s="274"/>
      <c r="AO2" s="274"/>
      <c r="AP2" s="274"/>
      <c r="AQ2" s="274"/>
      <c r="AR2" s="274"/>
      <c r="AS2" s="274"/>
      <c r="AT2" s="274"/>
      <c r="AU2" s="274"/>
      <c r="AV2" s="274"/>
      <c r="AW2" s="274"/>
    </row>
    <row r="3" spans="1:81" x14ac:dyDescent="0.3">
      <c r="S3" s="275"/>
      <c r="T3" s="275"/>
      <c r="U3" s="275"/>
      <c r="V3" s="275"/>
      <c r="W3" s="275"/>
      <c r="X3" s="275"/>
      <c r="Y3" s="275"/>
      <c r="Z3" s="275"/>
      <c r="AA3" s="275"/>
      <c r="AB3" s="275"/>
      <c r="AC3" s="275"/>
      <c r="AD3" s="275"/>
      <c r="AE3" s="275"/>
      <c r="AF3" s="275"/>
      <c r="AG3" s="275"/>
      <c r="AH3" s="275"/>
      <c r="AI3" s="275"/>
      <c r="AJ3" s="275"/>
      <c r="AK3" s="275"/>
      <c r="AL3" s="275"/>
      <c r="AM3" s="275"/>
      <c r="AN3" s="275"/>
      <c r="AO3" s="275"/>
      <c r="AP3" s="275"/>
      <c r="AQ3" s="275"/>
      <c r="AR3" s="275"/>
      <c r="AS3" s="275"/>
      <c r="AT3" s="275"/>
      <c r="AU3" s="275"/>
      <c r="AV3" s="275"/>
      <c r="AW3" s="275"/>
    </row>
    <row r="4" spans="1:81" ht="15" thickBot="1" x14ac:dyDescent="0.35">
      <c r="S4" s="109"/>
      <c r="T4" s="109"/>
      <c r="U4" s="109"/>
      <c r="V4" s="109"/>
      <c r="W4" s="109"/>
      <c r="X4" s="109"/>
      <c r="Y4" s="109"/>
      <c r="Z4" s="109"/>
      <c r="AA4" s="109"/>
      <c r="AB4" s="109"/>
      <c r="AC4" s="109"/>
      <c r="AD4" s="109"/>
      <c r="AE4" s="109"/>
      <c r="AF4" s="109"/>
      <c r="AG4" s="109"/>
      <c r="AH4" s="109"/>
      <c r="AI4" s="109"/>
      <c r="AJ4" s="109"/>
      <c r="AK4" s="109"/>
      <c r="AL4" s="109"/>
      <c r="AM4" s="109"/>
      <c r="AN4" s="109"/>
      <c r="AO4" s="109"/>
      <c r="AP4" s="109"/>
      <c r="AQ4" s="109"/>
      <c r="AR4" s="109"/>
      <c r="AS4" s="109"/>
      <c r="AT4" s="109"/>
      <c r="AU4" s="109"/>
      <c r="AV4" s="109"/>
      <c r="AW4" s="109"/>
      <c r="AX4" s="32"/>
      <c r="AY4" s="109"/>
      <c r="AZ4" s="109"/>
      <c r="BA4" s="109"/>
      <c r="BB4" s="109"/>
      <c r="BC4" s="109"/>
      <c r="BD4" s="109"/>
      <c r="BE4" s="109"/>
      <c r="BF4" s="109"/>
      <c r="BG4" s="109"/>
      <c r="BH4" s="109"/>
      <c r="BI4" s="109"/>
      <c r="BJ4" s="109"/>
      <c r="BK4" s="109"/>
      <c r="BL4" s="109"/>
      <c r="BM4" s="109"/>
      <c r="BN4" s="109"/>
      <c r="BO4" s="109"/>
      <c r="BP4" s="109"/>
      <c r="BQ4" s="109"/>
      <c r="BR4" s="109"/>
      <c r="BS4" s="109"/>
      <c r="BT4" s="109"/>
      <c r="BU4" s="109"/>
      <c r="BV4" s="109"/>
      <c r="BW4" s="109"/>
      <c r="BX4" s="109"/>
      <c r="BY4" s="109"/>
      <c r="BZ4" s="109"/>
      <c r="CA4" s="109"/>
      <c r="CB4" s="51"/>
    </row>
    <row r="5" spans="1:81" ht="28.8" x14ac:dyDescent="0.3">
      <c r="Q5" s="32"/>
      <c r="S5" s="268" t="s">
        <v>367</v>
      </c>
      <c r="T5" s="269"/>
      <c r="U5" s="269"/>
      <c r="V5" s="270"/>
      <c r="W5" s="268" t="s">
        <v>368</v>
      </c>
      <c r="X5" s="269"/>
      <c r="Y5" s="270"/>
      <c r="Z5" s="271" t="s">
        <v>435</v>
      </c>
      <c r="AA5" s="272"/>
      <c r="AB5" s="272"/>
      <c r="AC5" s="272"/>
      <c r="AD5" s="272"/>
      <c r="AE5" s="273"/>
      <c r="AF5" s="268" t="s">
        <v>434</v>
      </c>
      <c r="AG5" s="269"/>
      <c r="AH5" s="269"/>
      <c r="AI5" s="269"/>
      <c r="AJ5" s="270"/>
      <c r="AK5" s="268" t="s">
        <v>436</v>
      </c>
      <c r="AL5" s="269"/>
      <c r="AM5" s="269"/>
      <c r="AN5" s="269"/>
      <c r="AO5" s="270"/>
      <c r="AP5" s="265" t="s">
        <v>431</v>
      </c>
      <c r="AQ5" s="266"/>
      <c r="AR5" s="267"/>
      <c r="AS5" s="212" t="s">
        <v>512</v>
      </c>
      <c r="AT5" s="213"/>
      <c r="AU5" s="213"/>
      <c r="AV5" s="114"/>
      <c r="AW5" s="115"/>
      <c r="AX5" s="32"/>
      <c r="AY5" s="268" t="s">
        <v>367</v>
      </c>
      <c r="AZ5" s="269"/>
      <c r="BA5" s="269"/>
      <c r="BB5" s="270"/>
      <c r="BC5" s="268" t="s">
        <v>368</v>
      </c>
      <c r="BD5" s="269"/>
      <c r="BE5" s="270"/>
      <c r="BF5" s="268" t="s">
        <v>435</v>
      </c>
      <c r="BG5" s="269"/>
      <c r="BH5" s="269"/>
      <c r="BI5" s="269"/>
      <c r="BJ5" s="269"/>
      <c r="BK5" s="270"/>
      <c r="BL5" s="268" t="s">
        <v>434</v>
      </c>
      <c r="BM5" s="269"/>
      <c r="BN5" s="269"/>
      <c r="BO5" s="269"/>
      <c r="BP5" s="270"/>
      <c r="BQ5" s="268" t="s">
        <v>436</v>
      </c>
      <c r="BR5" s="269"/>
      <c r="BS5" s="269"/>
      <c r="BT5" s="269"/>
      <c r="BU5" s="270"/>
      <c r="BV5" s="265" t="s">
        <v>431</v>
      </c>
      <c r="BW5" s="266"/>
      <c r="BX5" s="267"/>
      <c r="BY5" s="113" t="s">
        <v>424</v>
      </c>
      <c r="BZ5" s="114"/>
      <c r="CA5" s="115"/>
      <c r="CB5" s="218" t="s">
        <v>521</v>
      </c>
    </row>
    <row r="6" spans="1:81" ht="15.6" x14ac:dyDescent="0.35">
      <c r="S6" s="99" t="s">
        <v>32</v>
      </c>
      <c r="T6" s="97" t="s">
        <v>34</v>
      </c>
      <c r="U6" s="97" t="s">
        <v>321</v>
      </c>
      <c r="V6" s="100" t="s">
        <v>324</v>
      </c>
      <c r="W6" s="99" t="s">
        <v>322</v>
      </c>
      <c r="X6" s="97" t="s">
        <v>323</v>
      </c>
      <c r="Y6" s="100" t="s">
        <v>372</v>
      </c>
      <c r="Z6" s="110" t="s">
        <v>369</v>
      </c>
      <c r="AA6" s="107" t="s">
        <v>371</v>
      </c>
      <c r="AB6" s="107" t="s">
        <v>370</v>
      </c>
      <c r="AC6" s="108" t="s">
        <v>378</v>
      </c>
      <c r="AD6" s="108" t="s">
        <v>379</v>
      </c>
      <c r="AE6" s="111" t="s">
        <v>422</v>
      </c>
      <c r="AF6" s="110" t="s">
        <v>416</v>
      </c>
      <c r="AG6" s="107" t="s">
        <v>417</v>
      </c>
      <c r="AH6" s="108" t="s">
        <v>419</v>
      </c>
      <c r="AI6" s="108" t="s">
        <v>418</v>
      </c>
      <c r="AJ6" s="111" t="s">
        <v>420</v>
      </c>
      <c r="AK6" s="110" t="s">
        <v>377</v>
      </c>
      <c r="AL6" s="107" t="s">
        <v>373</v>
      </c>
      <c r="AM6" s="107" t="s">
        <v>380</v>
      </c>
      <c r="AN6" s="107" t="s">
        <v>381</v>
      </c>
      <c r="AO6" s="112" t="s">
        <v>421</v>
      </c>
      <c r="AP6" s="110" t="s">
        <v>423</v>
      </c>
      <c r="AQ6" s="107" t="s">
        <v>426</v>
      </c>
      <c r="AR6" s="112" t="s">
        <v>427</v>
      </c>
      <c r="AS6" s="110" t="s">
        <v>425</v>
      </c>
      <c r="AT6" s="214" t="s">
        <v>513</v>
      </c>
      <c r="AU6" s="214" t="s">
        <v>514</v>
      </c>
      <c r="AV6" s="107" t="s">
        <v>433</v>
      </c>
      <c r="AW6" s="112" t="s">
        <v>432</v>
      </c>
      <c r="AX6" s="32"/>
      <c r="AY6" s="99" t="s">
        <v>32</v>
      </c>
      <c r="AZ6" s="97" t="s">
        <v>34</v>
      </c>
      <c r="BA6" s="97" t="s">
        <v>321</v>
      </c>
      <c r="BB6" s="100" t="s">
        <v>324</v>
      </c>
      <c r="BC6" s="99" t="s">
        <v>322</v>
      </c>
      <c r="BD6" s="97" t="s">
        <v>323</v>
      </c>
      <c r="BE6" s="100" t="s">
        <v>372</v>
      </c>
      <c r="BF6" s="110" t="s">
        <v>369</v>
      </c>
      <c r="BG6" s="107" t="s">
        <v>371</v>
      </c>
      <c r="BH6" s="107" t="s">
        <v>370</v>
      </c>
      <c r="BI6" s="108" t="s">
        <v>378</v>
      </c>
      <c r="BJ6" s="108" t="s">
        <v>379</v>
      </c>
      <c r="BK6" s="111" t="s">
        <v>422</v>
      </c>
      <c r="BL6" s="110" t="s">
        <v>416</v>
      </c>
      <c r="BM6" s="107" t="s">
        <v>417</v>
      </c>
      <c r="BN6" s="108" t="s">
        <v>419</v>
      </c>
      <c r="BO6" s="108" t="s">
        <v>418</v>
      </c>
      <c r="BP6" s="111" t="s">
        <v>420</v>
      </c>
      <c r="BQ6" s="110" t="s">
        <v>377</v>
      </c>
      <c r="BR6" s="107" t="s">
        <v>373</v>
      </c>
      <c r="BS6" s="107" t="s">
        <v>380</v>
      </c>
      <c r="BT6" s="107" t="s">
        <v>381</v>
      </c>
      <c r="BU6" s="112" t="s">
        <v>421</v>
      </c>
      <c r="BV6" s="110" t="s">
        <v>423</v>
      </c>
      <c r="BW6" s="107" t="s">
        <v>426</v>
      </c>
      <c r="BX6" s="112" t="s">
        <v>427</v>
      </c>
      <c r="BY6" s="110" t="s">
        <v>425</v>
      </c>
      <c r="BZ6" s="107" t="s">
        <v>433</v>
      </c>
      <c r="CA6" s="112" t="s">
        <v>432</v>
      </c>
      <c r="CB6" s="217" t="s">
        <v>522</v>
      </c>
      <c r="CC6" s="214" t="s">
        <v>513</v>
      </c>
    </row>
    <row r="7" spans="1:81" x14ac:dyDescent="0.3">
      <c r="Q7">
        <v>0</v>
      </c>
      <c r="S7" s="99">
        <f t="shared" ref="S7:S70" si="0">VOUT</f>
        <v>60</v>
      </c>
      <c r="T7" s="97">
        <f>Q7*$O$12</f>
        <v>0</v>
      </c>
      <c r="U7" s="97">
        <f t="shared" ref="U7:U70" si="1">VIN_var</f>
        <v>15</v>
      </c>
      <c r="V7" s="100">
        <f t="shared" ref="V7:V70" si="2">(S7*T7)/(U7*EFF_est)</f>
        <v>0</v>
      </c>
      <c r="W7" s="99">
        <f t="shared" ref="W7:W70" si="3">IF((T7*S7/U7)&lt;((U7*(1-(U7/S7)))/(2*Lm*Fsw)),1,2)</f>
        <v>1</v>
      </c>
      <c r="X7" s="97">
        <f t="shared" ref="X7:X70" si="4">CHOOSE(W7,SQRT((2*T7*Lm*Fsw*(S7-U7))/((U7)^2)),1-(U7/S7))</f>
        <v>0</v>
      </c>
      <c r="Y7" s="100">
        <f t="shared" ref="Y7:Y38" si="5">CHOOSE(W7,(Lm*AA7*Fsw)/(S7-U7),1-X7)</f>
        <v>0</v>
      </c>
      <c r="Z7" s="99">
        <f t="shared" ref="Z7:Z70" si="6">(U7*X7)/(Lm*Fsw)</f>
        <v>0</v>
      </c>
      <c r="AA7" s="97">
        <f>CHOOSE(W7,Z7,V7+(0.5*Z7))</f>
        <v>0</v>
      </c>
      <c r="AB7" s="97">
        <f>CHOOSE(W7,AA7*SQRT((X7+Y7)/3),SQRT((V7^2)+((Z7^2)/12)))</f>
        <v>0</v>
      </c>
      <c r="AC7" s="97">
        <v>0</v>
      </c>
      <c r="AD7" s="97">
        <f t="shared" ref="AD7:AD70" si="7">(AB7^2)*Rdcr</f>
        <v>0</v>
      </c>
      <c r="AE7" s="100">
        <f>AC7+AD7</f>
        <v>0</v>
      </c>
      <c r="AF7" s="99">
        <f t="shared" ref="AF7:AF38" si="8">V7*X7</f>
        <v>0</v>
      </c>
      <c r="AG7" s="97">
        <f t="shared" ref="AG7:AG38" si="9">CHOOSE(W7,AA7*SQRT(X7/3),SQRT(X7*((AA7^2)+((Z7^2)/3)-(AA7*Z7))))</f>
        <v>0</v>
      </c>
      <c r="AH7" s="97">
        <f t="shared" ref="AH7:AH70" si="10">(AG7^2)*RDS_on</f>
        <v>0</v>
      </c>
      <c r="AI7" s="97">
        <f>((S7*V7)/2)*Fsw*(tr_sw+tf_sw)</f>
        <v>0</v>
      </c>
      <c r="AJ7" s="100">
        <f>AH7+AI7</f>
        <v>0</v>
      </c>
      <c r="AK7" s="99">
        <f t="shared" ref="AK7:AK38" si="11">Y7*V7</f>
        <v>0</v>
      </c>
      <c r="AL7" s="97">
        <f t="shared" ref="AL7:AL38" si="12">CHOOSE(W7,AA7*SQRT(Y7/3),SQRT(Y7*((AA7^2)+((Z7^2)/3)-(Z7*AA7))))</f>
        <v>0</v>
      </c>
      <c r="AM7" s="97">
        <f t="shared" ref="AM7:AM38" si="13">T7*Vd_rect</f>
        <v>0</v>
      </c>
      <c r="AN7" s="97">
        <f t="shared" ref="AN7:AN38" si="14">CHOOSE(W7,(S7+Vd_rect)*Qrr*Fsw,(S7+Vd_rect)*Qrr*Fsw)</f>
        <v>0.75525000000000009</v>
      </c>
      <c r="AO7" s="100">
        <f>AM7+AN7</f>
        <v>0.75525000000000009</v>
      </c>
      <c r="AP7" s="99">
        <f>(AG7^2)*0</f>
        <v>0</v>
      </c>
      <c r="AQ7" s="97">
        <f t="shared" ref="AQ7:AQ70" si="15">Qg_tot*Vcc*Fsw</f>
        <v>8.7499999999999994E-2</v>
      </c>
      <c r="AR7" s="100">
        <f t="shared" ref="AR7:AR38" si="16">IQ*U7</f>
        <v>1.155E-2</v>
      </c>
      <c r="AS7" s="99">
        <f t="shared" ref="AS7:AS38" si="17">AP7+AJ7+AQ7+AR7</f>
        <v>9.9049999999999999E-2</v>
      </c>
      <c r="AT7" s="215">
        <f t="shared" ref="AT7:AT38" si="18">Ta+Tk*AS7</f>
        <v>30.942999999999998</v>
      </c>
      <c r="AU7" s="216">
        <f t="shared" ref="AU7:AU38" si="19">RDS_on/51.8*(47.12+AT7*0.244)</f>
        <v>5.4694389818666686E-2</v>
      </c>
      <c r="AV7" s="97">
        <f t="shared" ref="AV7:AV38" si="20">S7*T7</f>
        <v>0</v>
      </c>
      <c r="AW7" s="100">
        <f>(AV7/(AV7+AS7))*100</f>
        <v>0</v>
      </c>
      <c r="AX7" s="32"/>
      <c r="AY7" s="99">
        <f t="shared" ref="AY7:AY70" si="21">VOUT</f>
        <v>60</v>
      </c>
      <c r="AZ7" s="97">
        <f t="shared" ref="AZ7:AZ38" si="22">Q7*$O$12</f>
        <v>0</v>
      </c>
      <c r="BA7" s="97">
        <f t="shared" ref="BA7:BA70" si="23">VIN_var</f>
        <v>15</v>
      </c>
      <c r="BB7" s="100">
        <f t="shared" ref="BB7:BB38" si="24">(AY7*AZ7)/(BA7*EFF_est)</f>
        <v>0</v>
      </c>
      <c r="BC7" s="99">
        <f t="shared" ref="BC7:BC38" si="25">IF((AZ7*AY7/BA7)&lt;((BA7*(1-(BA7/AY7)))/(2*Lm*Fsw)),1,2)</f>
        <v>1</v>
      </c>
      <c r="BD7" s="97">
        <f t="shared" ref="BD7:BD38" si="26">CHOOSE(BC7,SQRT((2*AZ7*Lm*Fsw*(AY7-BA7))/((BA7)^2)),1-(BA7/AY7))</f>
        <v>0</v>
      </c>
      <c r="BE7" s="100">
        <f t="shared" ref="BE7:BE38" si="27">CHOOSE(BC7,(Lm*BG7*Fsw)/(AY7-BA7),1-BD7)</f>
        <v>0</v>
      </c>
      <c r="BF7" s="99">
        <f t="shared" ref="BF7:BF38" si="28">(BA7*BD7)/(Lm*Fsw)</f>
        <v>0</v>
      </c>
      <c r="BG7" s="97">
        <f>CHOOSE(BC7,BF7,BB7+(0.5*BF7))</f>
        <v>0</v>
      </c>
      <c r="BH7" s="97">
        <f>CHOOSE(BC7,BG7*SQRT((BD7+BE7)/3),SQRT((BB7^2)+((BF7^2)/12)))</f>
        <v>0</v>
      </c>
      <c r="BI7" s="97">
        <v>0</v>
      </c>
      <c r="BJ7" s="97">
        <f t="shared" ref="BJ7:BJ38" si="29">(BH7^2)*Rdcr</f>
        <v>0</v>
      </c>
      <c r="BK7" s="100">
        <f>BI7+BJ7</f>
        <v>0</v>
      </c>
      <c r="BL7" s="99">
        <f>BB7*BD7</f>
        <v>0</v>
      </c>
      <c r="BM7" s="97">
        <f>CHOOSE(BC7,BG7*SQRT(BD7/3),SQRT(BD7*((BG7^2)+((BF7^2)/3)-(BG7*BF7))))</f>
        <v>0</v>
      </c>
      <c r="BN7" s="97">
        <f>(BM7^2)*AU7</f>
        <v>0</v>
      </c>
      <c r="BO7" s="97">
        <f>((AY7*BB7)/2)*Fsw*(tr_sw+tf_sw)</f>
        <v>0</v>
      </c>
      <c r="BP7" s="100">
        <f>BN7+BO7</f>
        <v>0</v>
      </c>
      <c r="BQ7" s="99">
        <f>BE7*BB7</f>
        <v>0</v>
      </c>
      <c r="BR7" s="97">
        <f t="shared" ref="BR7:BR38" si="30">CHOOSE(BC7,BG7*SQRT(BE7/3),SQRT(BE7*((BG7^2)+((BF7^2)/3)-(BF7*BG7))))</f>
        <v>0</v>
      </c>
      <c r="BS7" s="97">
        <f t="shared" ref="BS7:BS38" si="31">AZ7*Vd_rect</f>
        <v>0</v>
      </c>
      <c r="BT7" s="97">
        <f t="shared" ref="BT7:BT38" si="32">CHOOSE(BC7,(AY7+Vd_rect)*Qrr*Fsw,(AY7+Vd_rect)*Qrr*Fsw)</f>
        <v>0.75525000000000009</v>
      </c>
      <c r="BU7" s="100">
        <f>BS7+BT7</f>
        <v>0.75525000000000009</v>
      </c>
      <c r="BV7" s="99">
        <f>(BM7^2)*0</f>
        <v>0</v>
      </c>
      <c r="BW7" s="97">
        <f t="shared" ref="BW7:BW38" si="33">Qg_tot*Vcc*Fsw</f>
        <v>8.7499999999999994E-2</v>
      </c>
      <c r="BX7" s="100">
        <f t="shared" ref="BX7:BX38" si="34">IQ*BA7</f>
        <v>1.155E-2</v>
      </c>
      <c r="BY7" s="99">
        <f>BV7+BU7+BP7+BK7+BW7+BX7</f>
        <v>0.85430000000000006</v>
      </c>
      <c r="BZ7" s="97">
        <f>AY7*AZ7</f>
        <v>0</v>
      </c>
      <c r="CA7" s="100">
        <f>(BZ7/(BZ7+BY7))*100</f>
        <v>0</v>
      </c>
      <c r="CB7" s="51">
        <f>BP7+BW7+BX7+BV7</f>
        <v>9.9049999999999999E-2</v>
      </c>
      <c r="CC7" s="32">
        <f t="shared" ref="CC7:CC38" si="35">Ta+Tk_f*CB7</f>
        <v>28.466750000000001</v>
      </c>
    </row>
    <row r="8" spans="1:81" x14ac:dyDescent="0.3">
      <c r="M8">
        <f>Fsw</f>
        <v>2500000</v>
      </c>
      <c r="Q8">
        <v>1</v>
      </c>
      <c r="S8" s="99">
        <f t="shared" si="0"/>
        <v>60</v>
      </c>
      <c r="T8" s="97">
        <f t="shared" ref="T8:T71" si="36">Q8*$O$12</f>
        <v>2E-3</v>
      </c>
      <c r="U8" s="97">
        <f t="shared" si="1"/>
        <v>15</v>
      </c>
      <c r="V8" s="100">
        <f t="shared" si="2"/>
        <v>0.01</v>
      </c>
      <c r="W8" s="99">
        <f t="shared" si="3"/>
        <v>1</v>
      </c>
      <c r="X8" s="97">
        <f t="shared" si="4"/>
        <v>0.1414213562373095</v>
      </c>
      <c r="Y8" s="100">
        <f t="shared" si="5"/>
        <v>4.7140452079103161E-2</v>
      </c>
      <c r="Z8" s="99">
        <f t="shared" si="6"/>
        <v>8.4852813742385708E-2</v>
      </c>
      <c r="AA8" s="97">
        <f t="shared" ref="AA8:AA71" si="37">CHOOSE(W8,Z8,V8+(0.5*Z8))</f>
        <v>8.4852813742385708E-2</v>
      </c>
      <c r="AB8" s="97">
        <f t="shared" ref="AB8:AB71" si="38">CHOOSE(W8,AA8*SQRT((X8+Y8)/3),SQRT((V8^2)+((Z8^2)/12)))</f>
        <v>2.1273183587779958E-2</v>
      </c>
      <c r="AC8" s="97">
        <v>0</v>
      </c>
      <c r="AD8" s="97">
        <f t="shared" si="7"/>
        <v>4.5254833995939053E-6</v>
      </c>
      <c r="AE8" s="100">
        <f t="shared" ref="AE8:AE71" si="39">AC8+AD8</f>
        <v>4.5254833995939053E-6</v>
      </c>
      <c r="AF8" s="99">
        <f t="shared" si="8"/>
        <v>1.414213562373095E-3</v>
      </c>
      <c r="AG8" s="97">
        <f t="shared" si="9"/>
        <v>1.8423117406387628E-2</v>
      </c>
      <c r="AH8" s="97">
        <f t="shared" si="10"/>
        <v>1.7589317008758952E-5</v>
      </c>
      <c r="AI8" s="97">
        <f t="shared" ref="AI8:AI39" si="40">((S8*V8)/2)*Fsw*(tr_sw_fix+tf_sw_fix)</f>
        <v>1.0499999999999999E-2</v>
      </c>
      <c r="AJ8" s="100">
        <f t="shared" ref="AJ8:AJ71" si="41">AH8+AI8</f>
        <v>1.0517589317008759E-2</v>
      </c>
      <c r="AK8" s="99">
        <f t="shared" si="11"/>
        <v>4.7140452079103164E-4</v>
      </c>
      <c r="AL8" s="97">
        <f t="shared" si="12"/>
        <v>1.0636591793889977E-2</v>
      </c>
      <c r="AM8" s="97">
        <f t="shared" si="13"/>
        <v>8.4000000000000003E-4</v>
      </c>
      <c r="AN8" s="97">
        <f t="shared" si="14"/>
        <v>0.75525000000000009</v>
      </c>
      <c r="AO8" s="100">
        <f t="shared" ref="AO8:AO71" si="42">AM8+AN8</f>
        <v>0.75609000000000004</v>
      </c>
      <c r="AP8" s="99">
        <f t="shared" ref="AP8:AP71" si="43">(AG8^2)*0</f>
        <v>0</v>
      </c>
      <c r="AQ8" s="97">
        <f t="shared" si="15"/>
        <v>8.7499999999999994E-2</v>
      </c>
      <c r="AR8" s="100">
        <f t="shared" si="16"/>
        <v>1.155E-2</v>
      </c>
      <c r="AS8" s="99">
        <f t="shared" si="17"/>
        <v>0.10956758931700876</v>
      </c>
      <c r="AT8" s="215">
        <f t="shared" si="18"/>
        <v>31.574055359020527</v>
      </c>
      <c r="AU8" s="216">
        <f t="shared" si="19"/>
        <v>5.4848435760715512E-2</v>
      </c>
      <c r="AV8" s="97">
        <f t="shared" si="20"/>
        <v>0.12</v>
      </c>
      <c r="AW8" s="100">
        <f t="shared" ref="AW8:AW71" si="44">(AV8/(AV8+AS8))*100</f>
        <v>52.272187183310351</v>
      </c>
      <c r="AX8" s="32"/>
      <c r="AY8" s="99">
        <f t="shared" si="21"/>
        <v>60</v>
      </c>
      <c r="AZ8" s="97">
        <f t="shared" si="22"/>
        <v>2E-3</v>
      </c>
      <c r="BA8" s="97">
        <f t="shared" si="23"/>
        <v>15</v>
      </c>
      <c r="BB8" s="100">
        <f t="shared" si="24"/>
        <v>0.01</v>
      </c>
      <c r="BC8" s="99">
        <f t="shared" si="25"/>
        <v>1</v>
      </c>
      <c r="BD8" s="97">
        <f t="shared" si="26"/>
        <v>0.1414213562373095</v>
      </c>
      <c r="BE8" s="100">
        <f t="shared" si="27"/>
        <v>4.7140452079103161E-2</v>
      </c>
      <c r="BF8" s="99">
        <f t="shared" si="28"/>
        <v>8.4852813742385708E-2</v>
      </c>
      <c r="BG8" s="97">
        <f t="shared" ref="BG8:BG15" si="45">CHOOSE(BC8,BF8,BB8+(0.5*BF8))</f>
        <v>8.4852813742385708E-2</v>
      </c>
      <c r="BH8" s="97">
        <f t="shared" ref="BH8:BH15" si="46">CHOOSE(BC8,BG8*SQRT((BD8+BE8)/3),SQRT((BB8^2)+((BF8^2)/12)))</f>
        <v>2.1273183587779958E-2</v>
      </c>
      <c r="BI8" s="97">
        <v>0</v>
      </c>
      <c r="BJ8" s="97">
        <f t="shared" si="29"/>
        <v>4.5254833995939053E-6</v>
      </c>
      <c r="BK8" s="100">
        <f t="shared" ref="BK8:BK71" si="47">BI8+BJ8</f>
        <v>4.5254833995939053E-6</v>
      </c>
      <c r="BL8" s="99">
        <f>BB8*BD8</f>
        <v>1.414213562373095E-3</v>
      </c>
      <c r="BM8" s="97">
        <f t="shared" ref="BM8:BM71" si="48">CHOOSE(BC8,BG8*SQRT(BD8/3),SQRT(BD8*((BG8^2)+((BF8^2)/3)-(BG8*BF8))))</f>
        <v>1.8423117406387628E-2</v>
      </c>
      <c r="BN8" s="97">
        <f t="shared" ref="BN8:BN71" si="49">(BM8^2)*AU8</f>
        <v>1.8616176414660803E-5</v>
      </c>
      <c r="BO8" s="97">
        <f t="shared" ref="BO8:BO39" si="50">((AY8*BB8)/2)*Fsw*(tr_sw_fix+tf_sw_fix)</f>
        <v>1.0499999999999999E-2</v>
      </c>
      <c r="BP8" s="100">
        <f t="shared" ref="BP8:BP71" si="51">BN8+BO8</f>
        <v>1.051861617641466E-2</v>
      </c>
      <c r="BQ8" s="99">
        <f t="shared" ref="BQ8:BQ71" si="52">BE8*BB8</f>
        <v>4.7140452079103164E-4</v>
      </c>
      <c r="BR8" s="97">
        <f t="shared" si="30"/>
        <v>1.0636591793889977E-2</v>
      </c>
      <c r="BS8" s="97">
        <f t="shared" si="31"/>
        <v>8.4000000000000003E-4</v>
      </c>
      <c r="BT8" s="97">
        <f>CHOOSE(BC8,(AY8+Vd_rect)*Qrr*Fsw,(AY8+Vd_rect)*Qrr*Fsw)</f>
        <v>0.75525000000000009</v>
      </c>
      <c r="BU8" s="100">
        <f t="shared" ref="BU8:BU71" si="53">BS8+BT8</f>
        <v>0.75609000000000004</v>
      </c>
      <c r="BV8" s="99">
        <f t="shared" ref="BV8:BV71" si="54">(BM8^2)*0</f>
        <v>0</v>
      </c>
      <c r="BW8" s="97">
        <f t="shared" si="33"/>
        <v>8.7499999999999994E-2</v>
      </c>
      <c r="BX8" s="100">
        <f t="shared" si="34"/>
        <v>1.155E-2</v>
      </c>
      <c r="BY8" s="99">
        <f t="shared" ref="BY8:BY71" si="55">BV8+BU8+BP8+BK8+BW8+BX8</f>
        <v>0.86566314165981428</v>
      </c>
      <c r="BZ8" s="97">
        <f t="shared" ref="BZ8:BZ71" si="56">AY8*AZ8</f>
        <v>0.12</v>
      </c>
      <c r="CA8" s="100">
        <f t="shared" ref="CA8:CA71" si="57">(BZ8/(BZ8+BY8))*100</f>
        <v>12.174544723050632</v>
      </c>
      <c r="CB8" s="51">
        <f t="shared" ref="CB8:CB71" si="58">BP8+BW8+BX8+BV8</f>
        <v>0.10956861617641465</v>
      </c>
      <c r="CC8" s="32">
        <f t="shared" si="35"/>
        <v>28.834901566174512</v>
      </c>
    </row>
    <row r="9" spans="1:81" x14ac:dyDescent="0.3">
      <c r="N9" s="97" t="s">
        <v>227</v>
      </c>
      <c r="O9" s="97">
        <f>VIN_var</f>
        <v>15</v>
      </c>
      <c r="P9" t="s">
        <v>11</v>
      </c>
      <c r="Q9">
        <v>2</v>
      </c>
      <c r="S9" s="99">
        <f t="shared" si="0"/>
        <v>60</v>
      </c>
      <c r="T9" s="97">
        <f t="shared" si="36"/>
        <v>4.0000000000000001E-3</v>
      </c>
      <c r="U9" s="97">
        <f t="shared" si="1"/>
        <v>15</v>
      </c>
      <c r="V9" s="100">
        <f t="shared" si="2"/>
        <v>0.02</v>
      </c>
      <c r="W9" s="99">
        <f t="shared" si="3"/>
        <v>1</v>
      </c>
      <c r="X9" s="97">
        <f t="shared" si="4"/>
        <v>0.2</v>
      </c>
      <c r="Y9" s="100">
        <f t="shared" si="5"/>
        <v>6.666666666666668E-2</v>
      </c>
      <c r="Z9" s="99">
        <f t="shared" si="6"/>
        <v>0.12000000000000002</v>
      </c>
      <c r="AA9" s="97">
        <f t="shared" si="37"/>
        <v>0.12000000000000002</v>
      </c>
      <c r="AB9" s="97">
        <f t="shared" si="38"/>
        <v>3.5777087639996645E-2</v>
      </c>
      <c r="AC9" s="97">
        <v>0</v>
      </c>
      <c r="AD9" s="97">
        <f t="shared" si="7"/>
        <v>1.2800000000000008E-5</v>
      </c>
      <c r="AE9" s="100">
        <f t="shared" si="39"/>
        <v>1.2800000000000008E-5</v>
      </c>
      <c r="AF9" s="99">
        <f t="shared" si="8"/>
        <v>4.0000000000000001E-3</v>
      </c>
      <c r="AG9" s="97">
        <f t="shared" si="9"/>
        <v>3.0983866769659339E-2</v>
      </c>
      <c r="AH9" s="97">
        <f t="shared" si="10"/>
        <v>4.9750101333333363E-5</v>
      </c>
      <c r="AI9" s="97">
        <f t="shared" si="40"/>
        <v>2.0999999999999998E-2</v>
      </c>
      <c r="AJ9" s="100">
        <f t="shared" si="41"/>
        <v>2.104975010133333E-2</v>
      </c>
      <c r="AK9" s="99">
        <f t="shared" si="11"/>
        <v>1.3333333333333337E-3</v>
      </c>
      <c r="AL9" s="97">
        <f t="shared" si="12"/>
        <v>1.7888543819998323E-2</v>
      </c>
      <c r="AM9" s="97">
        <f t="shared" si="13"/>
        <v>1.6800000000000001E-3</v>
      </c>
      <c r="AN9" s="97">
        <f t="shared" si="14"/>
        <v>0.75525000000000009</v>
      </c>
      <c r="AO9" s="100">
        <f t="shared" si="42"/>
        <v>0.7569300000000001</v>
      </c>
      <c r="AP9" s="99">
        <f t="shared" si="43"/>
        <v>0</v>
      </c>
      <c r="AQ9" s="97">
        <f t="shared" si="15"/>
        <v>8.7499999999999994E-2</v>
      </c>
      <c r="AR9" s="100">
        <f t="shared" si="16"/>
        <v>1.155E-2</v>
      </c>
      <c r="AS9" s="99">
        <f t="shared" si="17"/>
        <v>0.12009975010133334</v>
      </c>
      <c r="AT9" s="215">
        <f t="shared" si="18"/>
        <v>32.205985006079999</v>
      </c>
      <c r="AU9" s="216">
        <f t="shared" si="19"/>
        <v>5.5002695123857533E-2</v>
      </c>
      <c r="AV9" s="97">
        <f t="shared" si="20"/>
        <v>0.24</v>
      </c>
      <c r="AW9" s="100">
        <f t="shared" si="44"/>
        <v>66.648199542616496</v>
      </c>
      <c r="AX9" s="32"/>
      <c r="AY9" s="99">
        <f t="shared" si="21"/>
        <v>60</v>
      </c>
      <c r="AZ9" s="97">
        <f t="shared" si="22"/>
        <v>4.0000000000000001E-3</v>
      </c>
      <c r="BA9" s="97">
        <f t="shared" si="23"/>
        <v>15</v>
      </c>
      <c r="BB9" s="100">
        <f t="shared" si="24"/>
        <v>0.02</v>
      </c>
      <c r="BC9" s="99">
        <f t="shared" si="25"/>
        <v>1</v>
      </c>
      <c r="BD9" s="97">
        <f t="shared" si="26"/>
        <v>0.2</v>
      </c>
      <c r="BE9" s="100">
        <f t="shared" si="27"/>
        <v>6.666666666666668E-2</v>
      </c>
      <c r="BF9" s="99">
        <f t="shared" si="28"/>
        <v>0.12000000000000002</v>
      </c>
      <c r="BG9" s="97">
        <f t="shared" si="45"/>
        <v>0.12000000000000002</v>
      </c>
      <c r="BH9" s="97">
        <f t="shared" si="46"/>
        <v>3.5777087639996645E-2</v>
      </c>
      <c r="BI9" s="97">
        <v>0</v>
      </c>
      <c r="BJ9" s="97">
        <f t="shared" si="29"/>
        <v>1.2800000000000008E-5</v>
      </c>
      <c r="BK9" s="100">
        <f t="shared" si="47"/>
        <v>1.2800000000000008E-5</v>
      </c>
      <c r="BL9" s="99">
        <f t="shared" ref="BL9:BL72" si="59">BB9*BD9</f>
        <v>4.0000000000000001E-3</v>
      </c>
      <c r="BM9" s="97">
        <f t="shared" si="48"/>
        <v>3.0983866769659339E-2</v>
      </c>
      <c r="BN9" s="97">
        <f t="shared" si="49"/>
        <v>5.2802587318903242E-5</v>
      </c>
      <c r="BO9" s="97">
        <f t="shared" si="50"/>
        <v>2.0999999999999998E-2</v>
      </c>
      <c r="BP9" s="100">
        <f t="shared" si="51"/>
        <v>2.1052802587318901E-2</v>
      </c>
      <c r="BQ9" s="99">
        <f t="shared" si="52"/>
        <v>1.3333333333333337E-3</v>
      </c>
      <c r="BR9" s="97">
        <f t="shared" si="30"/>
        <v>1.7888543819998323E-2</v>
      </c>
      <c r="BS9" s="97">
        <f t="shared" si="31"/>
        <v>1.6800000000000001E-3</v>
      </c>
      <c r="BT9" s="97">
        <f t="shared" si="32"/>
        <v>0.75525000000000009</v>
      </c>
      <c r="BU9" s="100">
        <f t="shared" si="53"/>
        <v>0.7569300000000001</v>
      </c>
      <c r="BV9" s="99">
        <f t="shared" si="54"/>
        <v>0</v>
      </c>
      <c r="BW9" s="97">
        <f t="shared" si="33"/>
        <v>8.7499999999999994E-2</v>
      </c>
      <c r="BX9" s="100">
        <f t="shared" si="34"/>
        <v>1.155E-2</v>
      </c>
      <c r="BY9" s="99">
        <f t="shared" si="55"/>
        <v>0.87704560258731901</v>
      </c>
      <c r="BZ9" s="97">
        <f t="shared" si="56"/>
        <v>0.24</v>
      </c>
      <c r="CA9" s="100">
        <f t="shared" si="57"/>
        <v>21.485246389593058</v>
      </c>
      <c r="CB9" s="51">
        <f t="shared" si="58"/>
        <v>0.1201028025873189</v>
      </c>
      <c r="CC9" s="32">
        <f t="shared" si="35"/>
        <v>29.203598090556163</v>
      </c>
    </row>
    <row r="10" spans="1:81" x14ac:dyDescent="0.3">
      <c r="N10" s="97"/>
      <c r="O10" s="97"/>
      <c r="Q10">
        <v>3</v>
      </c>
      <c r="S10" s="99">
        <f t="shared" si="0"/>
        <v>60</v>
      </c>
      <c r="T10" s="97">
        <f t="shared" si="36"/>
        <v>6.0000000000000001E-3</v>
      </c>
      <c r="U10" s="97">
        <f t="shared" si="1"/>
        <v>15</v>
      </c>
      <c r="V10" s="100">
        <f t="shared" si="2"/>
        <v>0.03</v>
      </c>
      <c r="W10" s="99">
        <f t="shared" si="3"/>
        <v>1</v>
      </c>
      <c r="X10" s="97">
        <f t="shared" si="4"/>
        <v>0.2449489742783178</v>
      </c>
      <c r="Y10" s="100">
        <f t="shared" si="5"/>
        <v>8.1649658092772595E-2</v>
      </c>
      <c r="Z10" s="99">
        <f t="shared" si="6"/>
        <v>0.14696938456699069</v>
      </c>
      <c r="AA10" s="97">
        <f t="shared" si="37"/>
        <v>0.14696938456699069</v>
      </c>
      <c r="AB10" s="97">
        <f t="shared" si="38"/>
        <v>4.8492372112238953E-2</v>
      </c>
      <c r="AC10" s="97">
        <v>0</v>
      </c>
      <c r="AD10" s="97">
        <f t="shared" si="7"/>
        <v>2.3515101530718502E-5</v>
      </c>
      <c r="AE10" s="100">
        <f t="shared" si="39"/>
        <v>2.3515101530718502E-5</v>
      </c>
      <c r="AF10" s="99">
        <f t="shared" si="8"/>
        <v>7.3484692283495336E-3</v>
      </c>
      <c r="AG10" s="97">
        <f t="shared" si="9"/>
        <v>4.1995626138966992E-2</v>
      </c>
      <c r="AH10" s="97">
        <f t="shared" si="10"/>
        <v>9.1396772188817788E-5</v>
      </c>
      <c r="AI10" s="97">
        <f t="shared" si="40"/>
        <v>3.15E-2</v>
      </c>
      <c r="AJ10" s="100">
        <f t="shared" si="41"/>
        <v>3.1591396772188821E-2</v>
      </c>
      <c r="AK10" s="99">
        <f t="shared" si="11"/>
        <v>2.4494897427831779E-3</v>
      </c>
      <c r="AL10" s="97">
        <f t="shared" si="12"/>
        <v>2.4246186056119477E-2</v>
      </c>
      <c r="AM10" s="97">
        <f t="shared" si="13"/>
        <v>2.5200000000000001E-3</v>
      </c>
      <c r="AN10" s="97">
        <f t="shared" si="14"/>
        <v>0.75525000000000009</v>
      </c>
      <c r="AO10" s="100">
        <f t="shared" si="42"/>
        <v>0.75777000000000005</v>
      </c>
      <c r="AP10" s="99">
        <f t="shared" si="43"/>
        <v>0</v>
      </c>
      <c r="AQ10" s="97">
        <f t="shared" si="15"/>
        <v>8.7499999999999994E-2</v>
      </c>
      <c r="AR10" s="100">
        <f t="shared" si="16"/>
        <v>1.155E-2</v>
      </c>
      <c r="AS10" s="99">
        <f t="shared" si="17"/>
        <v>0.13064139677218881</v>
      </c>
      <c r="AT10" s="215">
        <f t="shared" si="18"/>
        <v>32.838483806331325</v>
      </c>
      <c r="AU10" s="216">
        <f t="shared" si="19"/>
        <v>5.5157093422099866E-2</v>
      </c>
      <c r="AV10" s="97">
        <f t="shared" si="20"/>
        <v>0.36</v>
      </c>
      <c r="AW10" s="100">
        <f t="shared" si="44"/>
        <v>73.373344028521245</v>
      </c>
      <c r="AX10" s="32"/>
      <c r="AY10" s="99">
        <f t="shared" si="21"/>
        <v>60</v>
      </c>
      <c r="AZ10" s="97">
        <f t="shared" si="22"/>
        <v>6.0000000000000001E-3</v>
      </c>
      <c r="BA10" s="97">
        <f t="shared" si="23"/>
        <v>15</v>
      </c>
      <c r="BB10" s="100">
        <f t="shared" si="24"/>
        <v>0.03</v>
      </c>
      <c r="BC10" s="99">
        <f t="shared" si="25"/>
        <v>1</v>
      </c>
      <c r="BD10" s="97">
        <f t="shared" si="26"/>
        <v>0.2449489742783178</v>
      </c>
      <c r="BE10" s="100">
        <f t="shared" si="27"/>
        <v>8.1649658092772595E-2</v>
      </c>
      <c r="BF10" s="99">
        <f t="shared" si="28"/>
        <v>0.14696938456699069</v>
      </c>
      <c r="BG10" s="97">
        <f t="shared" si="45"/>
        <v>0.14696938456699069</v>
      </c>
      <c r="BH10" s="97">
        <f t="shared" si="46"/>
        <v>4.8492372112238953E-2</v>
      </c>
      <c r="BI10" s="97">
        <v>0</v>
      </c>
      <c r="BJ10" s="97">
        <f t="shared" si="29"/>
        <v>2.3515101530718502E-5</v>
      </c>
      <c r="BK10" s="100">
        <f t="shared" si="47"/>
        <v>2.3515101530718502E-5</v>
      </c>
      <c r="BL10" s="99">
        <f t="shared" si="59"/>
        <v>7.3484692283495336E-3</v>
      </c>
      <c r="BM10" s="97">
        <f t="shared" si="48"/>
        <v>4.1995626138966992E-2</v>
      </c>
      <c r="BN10" s="97">
        <f t="shared" si="49"/>
        <v>9.7276848897000296E-5</v>
      </c>
      <c r="BO10" s="97">
        <f t="shared" si="50"/>
        <v>3.15E-2</v>
      </c>
      <c r="BP10" s="100">
        <f t="shared" si="51"/>
        <v>3.1597276848897002E-2</v>
      </c>
      <c r="BQ10" s="99">
        <f t="shared" si="52"/>
        <v>2.4494897427831779E-3</v>
      </c>
      <c r="BR10" s="97">
        <f t="shared" si="30"/>
        <v>2.4246186056119477E-2</v>
      </c>
      <c r="BS10" s="97">
        <f t="shared" si="31"/>
        <v>2.5200000000000001E-3</v>
      </c>
      <c r="BT10" s="97">
        <f t="shared" si="32"/>
        <v>0.75525000000000009</v>
      </c>
      <c r="BU10" s="100">
        <f t="shared" si="53"/>
        <v>0.75777000000000005</v>
      </c>
      <c r="BV10" s="99">
        <f t="shared" si="54"/>
        <v>0</v>
      </c>
      <c r="BW10" s="97">
        <f t="shared" si="33"/>
        <v>8.7499999999999994E-2</v>
      </c>
      <c r="BX10" s="100">
        <f t="shared" si="34"/>
        <v>1.155E-2</v>
      </c>
      <c r="BY10" s="99">
        <f t="shared" si="55"/>
        <v>0.8884407919504278</v>
      </c>
      <c r="BZ10" s="97">
        <f t="shared" si="56"/>
        <v>0.36</v>
      </c>
      <c r="CA10" s="100">
        <f t="shared" si="57"/>
        <v>28.83596902001057</v>
      </c>
      <c r="CB10" s="51">
        <f t="shared" si="58"/>
        <v>0.13064727684889699</v>
      </c>
      <c r="CC10" s="32">
        <f t="shared" si="35"/>
        <v>29.572654689711396</v>
      </c>
    </row>
    <row r="11" spans="1:81" x14ac:dyDescent="0.3">
      <c r="N11" s="97" t="s">
        <v>319</v>
      </c>
      <c r="O11" s="97">
        <v>150</v>
      </c>
      <c r="Q11">
        <v>4</v>
      </c>
      <c r="S11" s="99">
        <f t="shared" si="0"/>
        <v>60</v>
      </c>
      <c r="T11" s="97">
        <f t="shared" si="36"/>
        <v>8.0000000000000002E-3</v>
      </c>
      <c r="U11" s="97">
        <f t="shared" si="1"/>
        <v>15</v>
      </c>
      <c r="V11" s="100">
        <f t="shared" si="2"/>
        <v>0.04</v>
      </c>
      <c r="W11" s="99">
        <f t="shared" si="3"/>
        <v>1</v>
      </c>
      <c r="X11" s="97">
        <f t="shared" si="4"/>
        <v>0.28284271247461901</v>
      </c>
      <c r="Y11" s="100">
        <f t="shared" si="5"/>
        <v>9.4280904158206322E-2</v>
      </c>
      <c r="Z11" s="99">
        <f t="shared" si="6"/>
        <v>0.16970562748477142</v>
      </c>
      <c r="AA11" s="97">
        <f t="shared" si="37"/>
        <v>0.16970562748477142</v>
      </c>
      <c r="AB11" s="97">
        <f t="shared" si="38"/>
        <v>6.0169649489382297E-2</v>
      </c>
      <c r="AC11" s="97">
        <v>0</v>
      </c>
      <c r="AD11" s="97">
        <f t="shared" si="7"/>
        <v>3.6203867196751236E-5</v>
      </c>
      <c r="AE11" s="100">
        <f t="shared" si="39"/>
        <v>3.6203867196751236E-5</v>
      </c>
      <c r="AF11" s="99">
        <f t="shared" si="8"/>
        <v>1.131370849898476E-2</v>
      </c>
      <c r="AG11" s="97">
        <f t="shared" si="9"/>
        <v>5.2108444994610446E-2</v>
      </c>
      <c r="AH11" s="97">
        <f t="shared" si="10"/>
        <v>1.4071453607007161E-4</v>
      </c>
      <c r="AI11" s="97">
        <f t="shared" si="40"/>
        <v>4.1999999999999996E-2</v>
      </c>
      <c r="AJ11" s="100">
        <f t="shared" si="41"/>
        <v>4.2140714536070066E-2</v>
      </c>
      <c r="AK11" s="99">
        <f t="shared" si="11"/>
        <v>3.7712361663282531E-3</v>
      </c>
      <c r="AL11" s="97">
        <f t="shared" si="12"/>
        <v>3.0084824744691149E-2</v>
      </c>
      <c r="AM11" s="97">
        <f t="shared" si="13"/>
        <v>3.3600000000000001E-3</v>
      </c>
      <c r="AN11" s="97">
        <f t="shared" si="14"/>
        <v>0.75525000000000009</v>
      </c>
      <c r="AO11" s="100">
        <f t="shared" si="42"/>
        <v>0.75861000000000012</v>
      </c>
      <c r="AP11" s="99">
        <f t="shared" si="43"/>
        <v>0</v>
      </c>
      <c r="AQ11" s="97">
        <f t="shared" si="15"/>
        <v>8.7499999999999994E-2</v>
      </c>
      <c r="AR11" s="100">
        <f t="shared" si="16"/>
        <v>1.155E-2</v>
      </c>
      <c r="AS11" s="99">
        <f t="shared" si="17"/>
        <v>0.14119071453607007</v>
      </c>
      <c r="AT11" s="215">
        <f t="shared" si="18"/>
        <v>33.471442872164204</v>
      </c>
      <c r="AU11" s="216">
        <f t="shared" si="19"/>
        <v>5.5311604075057329E-2</v>
      </c>
      <c r="AV11" s="97">
        <f t="shared" si="20"/>
        <v>0.48</v>
      </c>
      <c r="AW11" s="100">
        <f t="shared" si="44"/>
        <v>77.270955403524198</v>
      </c>
      <c r="AX11" s="32"/>
      <c r="AY11" s="99">
        <f t="shared" si="21"/>
        <v>60</v>
      </c>
      <c r="AZ11" s="97">
        <f t="shared" si="22"/>
        <v>8.0000000000000002E-3</v>
      </c>
      <c r="BA11" s="97">
        <f t="shared" si="23"/>
        <v>15</v>
      </c>
      <c r="BB11" s="100">
        <f t="shared" si="24"/>
        <v>0.04</v>
      </c>
      <c r="BC11" s="99">
        <f t="shared" si="25"/>
        <v>1</v>
      </c>
      <c r="BD11" s="97">
        <f t="shared" si="26"/>
        <v>0.28284271247461901</v>
      </c>
      <c r="BE11" s="100">
        <f t="shared" si="27"/>
        <v>9.4280904158206322E-2</v>
      </c>
      <c r="BF11" s="99">
        <f t="shared" si="28"/>
        <v>0.16970562748477142</v>
      </c>
      <c r="BG11" s="97">
        <f t="shared" si="45"/>
        <v>0.16970562748477142</v>
      </c>
      <c r="BH11" s="97">
        <f t="shared" si="46"/>
        <v>6.0169649489382297E-2</v>
      </c>
      <c r="BI11" s="97">
        <v>0</v>
      </c>
      <c r="BJ11" s="97">
        <f t="shared" si="29"/>
        <v>3.6203867196751236E-5</v>
      </c>
      <c r="BK11" s="100">
        <f t="shared" si="47"/>
        <v>3.6203867196751236E-5</v>
      </c>
      <c r="BL11" s="99">
        <f t="shared" si="59"/>
        <v>1.131370849898476E-2</v>
      </c>
      <c r="BM11" s="97">
        <f t="shared" si="48"/>
        <v>5.2108444994610446E-2</v>
      </c>
      <c r="BN11" s="97">
        <f t="shared" si="49"/>
        <v>1.5018704762794947E-4</v>
      </c>
      <c r="BO11" s="97">
        <f t="shared" si="50"/>
        <v>4.1999999999999996E-2</v>
      </c>
      <c r="BP11" s="100">
        <f t="shared" si="51"/>
        <v>4.2150187047627942E-2</v>
      </c>
      <c r="BQ11" s="99">
        <f t="shared" si="52"/>
        <v>3.7712361663282531E-3</v>
      </c>
      <c r="BR11" s="97">
        <f t="shared" si="30"/>
        <v>3.0084824744691149E-2</v>
      </c>
      <c r="BS11" s="97">
        <f t="shared" si="31"/>
        <v>3.3600000000000001E-3</v>
      </c>
      <c r="BT11" s="97">
        <f t="shared" si="32"/>
        <v>0.75525000000000009</v>
      </c>
      <c r="BU11" s="100">
        <f t="shared" si="53"/>
        <v>0.75861000000000012</v>
      </c>
      <c r="BV11" s="99">
        <f t="shared" si="54"/>
        <v>0</v>
      </c>
      <c r="BW11" s="97">
        <f t="shared" si="33"/>
        <v>8.7499999999999994E-2</v>
      </c>
      <c r="BX11" s="100">
        <f t="shared" si="34"/>
        <v>1.155E-2</v>
      </c>
      <c r="BY11" s="99">
        <f t="shared" si="55"/>
        <v>0.89984639091482477</v>
      </c>
      <c r="BZ11" s="97">
        <f t="shared" si="56"/>
        <v>0.48</v>
      </c>
      <c r="CA11" s="100">
        <f t="shared" si="57"/>
        <v>34.786480811227449</v>
      </c>
      <c r="CB11" s="51">
        <f t="shared" si="58"/>
        <v>0.14120018704762793</v>
      </c>
      <c r="CC11" s="32">
        <f t="shared" si="35"/>
        <v>29.942006546666978</v>
      </c>
    </row>
    <row r="12" spans="1:81" x14ac:dyDescent="0.3">
      <c r="N12" s="97" t="s">
        <v>320</v>
      </c>
      <c r="O12" s="97">
        <f>IOUT/(O11)</f>
        <v>2E-3</v>
      </c>
      <c r="Q12">
        <v>5</v>
      </c>
      <c r="S12" s="99">
        <f t="shared" si="0"/>
        <v>60</v>
      </c>
      <c r="T12" s="97">
        <f t="shared" si="36"/>
        <v>0.01</v>
      </c>
      <c r="U12" s="97">
        <f t="shared" si="1"/>
        <v>15</v>
      </c>
      <c r="V12" s="100">
        <f t="shared" si="2"/>
        <v>4.9999999999999996E-2</v>
      </c>
      <c r="W12" s="99">
        <f t="shared" si="3"/>
        <v>1</v>
      </c>
      <c r="X12" s="97">
        <f t="shared" si="4"/>
        <v>0.31622776601683794</v>
      </c>
      <c r="Y12" s="100">
        <f t="shared" si="5"/>
        <v>0.10540925533894598</v>
      </c>
      <c r="Z12" s="99">
        <f t="shared" si="6"/>
        <v>0.18973665961010278</v>
      </c>
      <c r="AA12" s="97">
        <f t="shared" si="37"/>
        <v>0.18973665961010278</v>
      </c>
      <c r="AB12" s="97">
        <f t="shared" si="38"/>
        <v>7.1131176401556917E-2</v>
      </c>
      <c r="AC12" s="97">
        <v>0</v>
      </c>
      <c r="AD12" s="97">
        <f t="shared" si="7"/>
        <v>5.0596442562694081E-5</v>
      </c>
      <c r="AE12" s="100">
        <f t="shared" si="39"/>
        <v>5.0596442562694081E-5</v>
      </c>
      <c r="AF12" s="99">
        <f t="shared" si="8"/>
        <v>1.5811388300841896E-2</v>
      </c>
      <c r="AG12" s="97">
        <f t="shared" si="9"/>
        <v>6.1601405764820469E-2</v>
      </c>
      <c r="AH12" s="97">
        <f t="shared" si="10"/>
        <v>1.9665454254689149E-4</v>
      </c>
      <c r="AI12" s="97">
        <f t="shared" si="40"/>
        <v>5.2499999999999991E-2</v>
      </c>
      <c r="AJ12" s="100">
        <f t="shared" si="41"/>
        <v>5.2696654542546885E-2</v>
      </c>
      <c r="AK12" s="99">
        <f t="shared" si="11"/>
        <v>5.2704627669472983E-3</v>
      </c>
      <c r="AL12" s="97">
        <f t="shared" si="12"/>
        <v>3.5565588200778459E-2</v>
      </c>
      <c r="AM12" s="97">
        <f t="shared" si="13"/>
        <v>4.1999999999999997E-3</v>
      </c>
      <c r="AN12" s="97">
        <f t="shared" si="14"/>
        <v>0.75525000000000009</v>
      </c>
      <c r="AO12" s="100">
        <f t="shared" si="42"/>
        <v>0.75945000000000007</v>
      </c>
      <c r="AP12" s="99">
        <f t="shared" si="43"/>
        <v>0</v>
      </c>
      <c r="AQ12" s="97">
        <f t="shared" si="15"/>
        <v>8.7499999999999994E-2</v>
      </c>
      <c r="AR12" s="100">
        <f t="shared" si="16"/>
        <v>1.155E-2</v>
      </c>
      <c r="AS12" s="99">
        <f t="shared" si="17"/>
        <v>0.15174665454254688</v>
      </c>
      <c r="AT12" s="215">
        <f t="shared" si="18"/>
        <v>34.10479927255281</v>
      </c>
      <c r="AU12" s="216">
        <f t="shared" si="19"/>
        <v>5.5466211720735133E-2</v>
      </c>
      <c r="AV12" s="97">
        <f t="shared" si="20"/>
        <v>0.6</v>
      </c>
      <c r="AW12" s="100">
        <f t="shared" si="44"/>
        <v>79.814123065850183</v>
      </c>
      <c r="AX12" s="32"/>
      <c r="AY12" s="99">
        <f t="shared" si="21"/>
        <v>60</v>
      </c>
      <c r="AZ12" s="97">
        <f t="shared" si="22"/>
        <v>0.01</v>
      </c>
      <c r="BA12" s="97">
        <f t="shared" si="23"/>
        <v>15</v>
      </c>
      <c r="BB12" s="100">
        <f t="shared" si="24"/>
        <v>4.9999999999999996E-2</v>
      </c>
      <c r="BC12" s="99">
        <f t="shared" si="25"/>
        <v>1</v>
      </c>
      <c r="BD12" s="97">
        <f t="shared" si="26"/>
        <v>0.31622776601683794</v>
      </c>
      <c r="BE12" s="100">
        <f t="shared" si="27"/>
        <v>0.10540925533894598</v>
      </c>
      <c r="BF12" s="99">
        <f t="shared" si="28"/>
        <v>0.18973665961010278</v>
      </c>
      <c r="BG12" s="97">
        <f t="shared" si="45"/>
        <v>0.18973665961010278</v>
      </c>
      <c r="BH12" s="97">
        <f t="shared" si="46"/>
        <v>7.1131176401556917E-2</v>
      </c>
      <c r="BI12" s="97">
        <v>0</v>
      </c>
      <c r="BJ12" s="97">
        <f t="shared" si="29"/>
        <v>5.0596442562694081E-5</v>
      </c>
      <c r="BK12" s="100">
        <f t="shared" si="47"/>
        <v>5.0596442562694081E-5</v>
      </c>
      <c r="BL12" s="99">
        <f t="shared" si="59"/>
        <v>1.5811388300841896E-2</v>
      </c>
      <c r="BM12" s="97">
        <f t="shared" si="48"/>
        <v>6.1601405764820469E-2</v>
      </c>
      <c r="BN12" s="97">
        <f t="shared" si="49"/>
        <v>2.1047947466238035E-4</v>
      </c>
      <c r="BO12" s="97">
        <f t="shared" si="50"/>
        <v>5.2499999999999991E-2</v>
      </c>
      <c r="BP12" s="100">
        <f t="shared" si="51"/>
        <v>5.2710479474662369E-2</v>
      </c>
      <c r="BQ12" s="99">
        <f t="shared" si="52"/>
        <v>5.2704627669472983E-3</v>
      </c>
      <c r="BR12" s="97">
        <f t="shared" si="30"/>
        <v>3.5565588200778459E-2</v>
      </c>
      <c r="BS12" s="97">
        <f t="shared" si="31"/>
        <v>4.1999999999999997E-3</v>
      </c>
      <c r="BT12" s="97">
        <f t="shared" si="32"/>
        <v>0.75525000000000009</v>
      </c>
      <c r="BU12" s="100">
        <f t="shared" si="53"/>
        <v>0.75945000000000007</v>
      </c>
      <c r="BV12" s="99">
        <f t="shared" si="54"/>
        <v>0</v>
      </c>
      <c r="BW12" s="97">
        <f t="shared" si="33"/>
        <v>8.7499999999999994E-2</v>
      </c>
      <c r="BX12" s="100">
        <f t="shared" si="34"/>
        <v>1.155E-2</v>
      </c>
      <c r="BY12" s="99">
        <f t="shared" si="55"/>
        <v>0.91126107591722505</v>
      </c>
      <c r="BZ12" s="97">
        <f t="shared" si="56"/>
        <v>0.6</v>
      </c>
      <c r="CA12" s="100">
        <f t="shared" si="57"/>
        <v>39.70194227597927</v>
      </c>
      <c r="CB12" s="51">
        <f t="shared" si="58"/>
        <v>0.15176047947466237</v>
      </c>
      <c r="CC12" s="32">
        <f t="shared" si="35"/>
        <v>30.311616781613182</v>
      </c>
    </row>
    <row r="13" spans="1:81" x14ac:dyDescent="0.3">
      <c r="Q13">
        <v>6</v>
      </c>
      <c r="S13" s="99">
        <f t="shared" si="0"/>
        <v>60</v>
      </c>
      <c r="T13" s="97">
        <f t="shared" si="36"/>
        <v>1.2E-2</v>
      </c>
      <c r="U13" s="97">
        <f t="shared" si="1"/>
        <v>15</v>
      </c>
      <c r="V13" s="100">
        <f t="shared" si="2"/>
        <v>0.06</v>
      </c>
      <c r="W13" s="99">
        <f t="shared" si="3"/>
        <v>1</v>
      </c>
      <c r="X13" s="97">
        <f t="shared" si="4"/>
        <v>0.34641016151377546</v>
      </c>
      <c r="Y13" s="100">
        <f t="shared" si="5"/>
        <v>0.11547005383792516</v>
      </c>
      <c r="Z13" s="99">
        <f t="shared" si="6"/>
        <v>0.2078460969082653</v>
      </c>
      <c r="AA13" s="97">
        <f t="shared" si="37"/>
        <v>0.2078460969082653</v>
      </c>
      <c r="AB13" s="97">
        <f t="shared" si="38"/>
        <v>8.1554123752661897E-2</v>
      </c>
      <c r="AC13" s="97">
        <v>0</v>
      </c>
      <c r="AD13" s="97">
        <f t="shared" si="7"/>
        <v>6.651075101064492E-5</v>
      </c>
      <c r="AE13" s="100">
        <f t="shared" si="39"/>
        <v>6.651075101064492E-5</v>
      </c>
      <c r="AF13" s="99">
        <f t="shared" si="8"/>
        <v>2.0784609690826527E-2</v>
      </c>
      <c r="AG13" s="97">
        <f t="shared" si="9"/>
        <v>7.0627942953185086E-2</v>
      </c>
      <c r="AH13" s="97">
        <f t="shared" si="10"/>
        <v>2.5850910957310051E-4</v>
      </c>
      <c r="AI13" s="97">
        <f t="shared" si="40"/>
        <v>6.3E-2</v>
      </c>
      <c r="AJ13" s="100">
        <f t="shared" si="41"/>
        <v>6.3258509109573105E-2</v>
      </c>
      <c r="AK13" s="99">
        <f t="shared" si="11"/>
        <v>6.9282032302755096E-3</v>
      </c>
      <c r="AL13" s="97">
        <f t="shared" si="12"/>
        <v>4.0777061876330949E-2</v>
      </c>
      <c r="AM13" s="97">
        <f t="shared" si="13"/>
        <v>5.0400000000000002E-3</v>
      </c>
      <c r="AN13" s="97">
        <f t="shared" si="14"/>
        <v>0.75525000000000009</v>
      </c>
      <c r="AO13" s="100">
        <f t="shared" si="42"/>
        <v>0.76029000000000013</v>
      </c>
      <c r="AP13" s="99">
        <f t="shared" si="43"/>
        <v>0</v>
      </c>
      <c r="AQ13" s="97">
        <f t="shared" si="15"/>
        <v>8.7499999999999994E-2</v>
      </c>
      <c r="AR13" s="100">
        <f t="shared" si="16"/>
        <v>1.155E-2</v>
      </c>
      <c r="AS13" s="99">
        <f t="shared" si="17"/>
        <v>0.16230850910957312</v>
      </c>
      <c r="AT13" s="215">
        <f t="shared" si="18"/>
        <v>34.738510546574389</v>
      </c>
      <c r="AU13" s="216">
        <f t="shared" si="19"/>
        <v>5.5620905994063441E-2</v>
      </c>
      <c r="AV13" s="97">
        <f t="shared" si="20"/>
        <v>0.72</v>
      </c>
      <c r="AW13" s="100">
        <f t="shared" si="44"/>
        <v>81.604109284475228</v>
      </c>
      <c r="AX13" s="32"/>
      <c r="AY13" s="99">
        <f t="shared" si="21"/>
        <v>60</v>
      </c>
      <c r="AZ13" s="97">
        <f t="shared" si="22"/>
        <v>1.2E-2</v>
      </c>
      <c r="BA13" s="97">
        <f t="shared" si="23"/>
        <v>15</v>
      </c>
      <c r="BB13" s="100">
        <f t="shared" si="24"/>
        <v>0.06</v>
      </c>
      <c r="BC13" s="99">
        <f t="shared" si="25"/>
        <v>1</v>
      </c>
      <c r="BD13" s="97">
        <f t="shared" si="26"/>
        <v>0.34641016151377546</v>
      </c>
      <c r="BE13" s="100">
        <f t="shared" si="27"/>
        <v>0.11547005383792516</v>
      </c>
      <c r="BF13" s="99">
        <f t="shared" si="28"/>
        <v>0.2078460969082653</v>
      </c>
      <c r="BG13" s="97">
        <f t="shared" si="45"/>
        <v>0.2078460969082653</v>
      </c>
      <c r="BH13" s="97">
        <f t="shared" si="46"/>
        <v>8.1554123752661897E-2</v>
      </c>
      <c r="BI13" s="97">
        <v>0</v>
      </c>
      <c r="BJ13" s="97">
        <f t="shared" si="29"/>
        <v>6.651075101064492E-5</v>
      </c>
      <c r="BK13" s="100">
        <f t="shared" si="47"/>
        <v>6.651075101064492E-5</v>
      </c>
      <c r="BL13" s="99">
        <f t="shared" si="59"/>
        <v>2.0784609690826527E-2</v>
      </c>
      <c r="BM13" s="97">
        <f t="shared" si="48"/>
        <v>7.0627942953185086E-2</v>
      </c>
      <c r="BN13" s="97">
        <f t="shared" si="49"/>
        <v>2.77454117216823E-4</v>
      </c>
      <c r="BO13" s="97">
        <f t="shared" si="50"/>
        <v>6.3E-2</v>
      </c>
      <c r="BP13" s="100">
        <f t="shared" si="51"/>
        <v>6.327745411721683E-2</v>
      </c>
      <c r="BQ13" s="99">
        <f t="shared" si="52"/>
        <v>6.9282032302755096E-3</v>
      </c>
      <c r="BR13" s="97">
        <f t="shared" si="30"/>
        <v>4.0777061876330949E-2</v>
      </c>
      <c r="BS13" s="97">
        <f t="shared" si="31"/>
        <v>5.0400000000000002E-3</v>
      </c>
      <c r="BT13" s="97">
        <f t="shared" si="32"/>
        <v>0.75525000000000009</v>
      </c>
      <c r="BU13" s="100">
        <f t="shared" si="53"/>
        <v>0.76029000000000013</v>
      </c>
      <c r="BV13" s="99">
        <f t="shared" si="54"/>
        <v>0</v>
      </c>
      <c r="BW13" s="97">
        <f t="shared" si="33"/>
        <v>8.7499999999999994E-2</v>
      </c>
      <c r="BX13" s="100">
        <f t="shared" si="34"/>
        <v>1.155E-2</v>
      </c>
      <c r="BY13" s="99">
        <f t="shared" si="55"/>
        <v>0.92268396486822757</v>
      </c>
      <c r="BZ13" s="97">
        <f t="shared" si="56"/>
        <v>0.72</v>
      </c>
      <c r="CA13" s="100">
        <f t="shared" si="57"/>
        <v>43.830707269231596</v>
      </c>
      <c r="CB13" s="51">
        <f t="shared" si="58"/>
        <v>0.16232745411721683</v>
      </c>
      <c r="CC13" s="32">
        <f t="shared" si="35"/>
        <v>30.681460894102589</v>
      </c>
    </row>
    <row r="14" spans="1:81" x14ac:dyDescent="0.3">
      <c r="Q14" s="32">
        <v>7</v>
      </c>
      <c r="S14" s="99">
        <f t="shared" si="0"/>
        <v>60</v>
      </c>
      <c r="T14" s="97">
        <f t="shared" si="36"/>
        <v>1.4E-2</v>
      </c>
      <c r="U14" s="97">
        <f t="shared" si="1"/>
        <v>15</v>
      </c>
      <c r="V14" s="100">
        <f t="shared" si="2"/>
        <v>6.9999999999999993E-2</v>
      </c>
      <c r="W14" s="99">
        <f t="shared" si="3"/>
        <v>1</v>
      </c>
      <c r="X14" s="97">
        <f t="shared" si="4"/>
        <v>0.37416573867739411</v>
      </c>
      <c r="Y14" s="100">
        <f t="shared" si="5"/>
        <v>0.12472191289246469</v>
      </c>
      <c r="Z14" s="99">
        <f t="shared" si="6"/>
        <v>0.22449944320643647</v>
      </c>
      <c r="AA14" s="97">
        <f t="shared" si="37"/>
        <v>0.22449944320643647</v>
      </c>
      <c r="AB14" s="97">
        <f t="shared" si="38"/>
        <v>9.1549508717270717E-2</v>
      </c>
      <c r="AC14" s="97">
        <v>0</v>
      </c>
      <c r="AD14" s="97">
        <f t="shared" si="7"/>
        <v>8.3813125463736275E-5</v>
      </c>
      <c r="AE14" s="100">
        <f t="shared" si="39"/>
        <v>8.3813125463736275E-5</v>
      </c>
      <c r="AF14" s="99">
        <f t="shared" si="8"/>
        <v>2.6191601707417585E-2</v>
      </c>
      <c r="AG14" s="97">
        <f t="shared" si="9"/>
        <v>7.9284200253141368E-2</v>
      </c>
      <c r="AH14" s="97">
        <f t="shared" si="10"/>
        <v>3.2575870975658298E-4</v>
      </c>
      <c r="AI14" s="97">
        <f t="shared" si="40"/>
        <v>7.3499999999999982E-2</v>
      </c>
      <c r="AJ14" s="100">
        <f t="shared" si="41"/>
        <v>7.3825758709756564E-2</v>
      </c>
      <c r="AK14" s="99">
        <f t="shared" si="11"/>
        <v>8.7305339024725277E-3</v>
      </c>
      <c r="AL14" s="97">
        <f t="shared" si="12"/>
        <v>4.5774754358635358E-2</v>
      </c>
      <c r="AM14" s="97">
        <f t="shared" si="13"/>
        <v>5.8799999999999998E-3</v>
      </c>
      <c r="AN14" s="97">
        <f t="shared" si="14"/>
        <v>0.75525000000000009</v>
      </c>
      <c r="AO14" s="100">
        <f t="shared" si="42"/>
        <v>0.76113000000000008</v>
      </c>
      <c r="AP14" s="99">
        <f t="shared" si="43"/>
        <v>0</v>
      </c>
      <c r="AQ14" s="97">
        <f t="shared" si="15"/>
        <v>8.7499999999999994E-2</v>
      </c>
      <c r="AR14" s="100">
        <f t="shared" si="16"/>
        <v>1.155E-2</v>
      </c>
      <c r="AS14" s="99">
        <f t="shared" si="17"/>
        <v>0.17287575870975658</v>
      </c>
      <c r="AT14" s="215">
        <f t="shared" si="18"/>
        <v>35.372545522585398</v>
      </c>
      <c r="AU14" s="216">
        <f t="shared" si="19"/>
        <v>5.5775679285780866E-2</v>
      </c>
      <c r="AV14" s="97">
        <f t="shared" si="20"/>
        <v>0.84</v>
      </c>
      <c r="AW14" s="100">
        <f t="shared" si="44"/>
        <v>82.932185194167062</v>
      </c>
      <c r="AX14" s="32"/>
      <c r="AY14" s="99">
        <f t="shared" si="21"/>
        <v>60</v>
      </c>
      <c r="AZ14" s="97">
        <f t="shared" si="22"/>
        <v>1.4E-2</v>
      </c>
      <c r="BA14" s="97">
        <f t="shared" si="23"/>
        <v>15</v>
      </c>
      <c r="BB14" s="100">
        <f t="shared" si="24"/>
        <v>6.9999999999999993E-2</v>
      </c>
      <c r="BC14" s="99">
        <f t="shared" si="25"/>
        <v>1</v>
      </c>
      <c r="BD14" s="97">
        <f t="shared" si="26"/>
        <v>0.37416573867739411</v>
      </c>
      <c r="BE14" s="100">
        <f t="shared" si="27"/>
        <v>0.12472191289246469</v>
      </c>
      <c r="BF14" s="99">
        <f t="shared" si="28"/>
        <v>0.22449944320643647</v>
      </c>
      <c r="BG14" s="97">
        <f t="shared" si="45"/>
        <v>0.22449944320643647</v>
      </c>
      <c r="BH14" s="97">
        <f t="shared" si="46"/>
        <v>9.1549508717270717E-2</v>
      </c>
      <c r="BI14" s="97">
        <v>0</v>
      </c>
      <c r="BJ14" s="97">
        <f t="shared" si="29"/>
        <v>8.3813125463736275E-5</v>
      </c>
      <c r="BK14" s="100">
        <f t="shared" si="47"/>
        <v>8.3813125463736275E-5</v>
      </c>
      <c r="BL14" s="99">
        <f t="shared" si="59"/>
        <v>2.6191601707417585E-2</v>
      </c>
      <c r="BM14" s="97">
        <f t="shared" si="48"/>
        <v>7.9284200253141368E-2</v>
      </c>
      <c r="BN14" s="97">
        <f t="shared" si="49"/>
        <v>3.5060505043532018E-4</v>
      </c>
      <c r="BO14" s="97">
        <f t="shared" si="50"/>
        <v>7.3499999999999982E-2</v>
      </c>
      <c r="BP14" s="100">
        <f t="shared" si="51"/>
        <v>7.3850605050435308E-2</v>
      </c>
      <c r="BQ14" s="99">
        <f t="shared" si="52"/>
        <v>8.7305339024725277E-3</v>
      </c>
      <c r="BR14" s="97">
        <f t="shared" si="30"/>
        <v>4.5774754358635358E-2</v>
      </c>
      <c r="BS14" s="97">
        <f t="shared" si="31"/>
        <v>5.8799999999999998E-3</v>
      </c>
      <c r="BT14" s="97">
        <f t="shared" si="32"/>
        <v>0.75525000000000009</v>
      </c>
      <c r="BU14" s="100">
        <f t="shared" si="53"/>
        <v>0.76113000000000008</v>
      </c>
      <c r="BV14" s="99">
        <f t="shared" si="54"/>
        <v>0</v>
      </c>
      <c r="BW14" s="97">
        <f t="shared" si="33"/>
        <v>8.7499999999999994E-2</v>
      </c>
      <c r="BX14" s="100">
        <f t="shared" si="34"/>
        <v>1.155E-2</v>
      </c>
      <c r="BY14" s="99">
        <f t="shared" si="55"/>
        <v>0.93411441817589902</v>
      </c>
      <c r="BZ14" s="97">
        <f t="shared" si="56"/>
        <v>0.84</v>
      </c>
      <c r="CA14" s="100">
        <f t="shared" si="57"/>
        <v>47.347566278372696</v>
      </c>
      <c r="CB14" s="51">
        <f t="shared" si="58"/>
        <v>0.17290060505043531</v>
      </c>
      <c r="CC14" s="32">
        <f t="shared" si="35"/>
        <v>31.051521176765235</v>
      </c>
    </row>
    <row r="15" spans="1:81" x14ac:dyDescent="0.3">
      <c r="O15">
        <f>0.205*2.5/(Lm*Fsw)</f>
        <v>2.0500000000000001E-2</v>
      </c>
      <c r="Q15" s="32">
        <v>8</v>
      </c>
      <c r="S15" s="99">
        <f t="shared" si="0"/>
        <v>60</v>
      </c>
      <c r="T15" s="97">
        <f t="shared" si="36"/>
        <v>1.6E-2</v>
      </c>
      <c r="U15" s="97">
        <f t="shared" si="1"/>
        <v>15</v>
      </c>
      <c r="V15" s="100">
        <f t="shared" si="2"/>
        <v>0.08</v>
      </c>
      <c r="W15" s="99">
        <f t="shared" si="3"/>
        <v>1</v>
      </c>
      <c r="X15" s="97">
        <f t="shared" si="4"/>
        <v>0.4</v>
      </c>
      <c r="Y15" s="100">
        <f t="shared" si="5"/>
        <v>0.13333333333333336</v>
      </c>
      <c r="Z15" s="99">
        <f t="shared" si="6"/>
        <v>0.24000000000000005</v>
      </c>
      <c r="AA15" s="97">
        <f t="shared" si="37"/>
        <v>0.24000000000000005</v>
      </c>
      <c r="AB15" s="97">
        <f t="shared" si="38"/>
        <v>0.10119288512538817</v>
      </c>
      <c r="AC15" s="97">
        <v>0</v>
      </c>
      <c r="AD15" s="97">
        <f t="shared" si="7"/>
        <v>1.0240000000000006E-4</v>
      </c>
      <c r="AE15" s="100">
        <f t="shared" si="39"/>
        <v>1.0240000000000006E-4</v>
      </c>
      <c r="AF15" s="99">
        <f t="shared" si="8"/>
        <v>3.2000000000000001E-2</v>
      </c>
      <c r="AG15" s="97">
        <f t="shared" si="9"/>
        <v>8.7635609200826595E-2</v>
      </c>
      <c r="AH15" s="97">
        <f t="shared" si="10"/>
        <v>3.980008106666669E-4</v>
      </c>
      <c r="AI15" s="97">
        <f t="shared" si="40"/>
        <v>8.3999999999999991E-2</v>
      </c>
      <c r="AJ15" s="100">
        <f t="shared" si="41"/>
        <v>8.439800081066666E-2</v>
      </c>
      <c r="AK15" s="99">
        <f t="shared" si="11"/>
        <v>1.066666666666667E-2</v>
      </c>
      <c r="AL15" s="97">
        <f t="shared" si="12"/>
        <v>5.0596442562694084E-2</v>
      </c>
      <c r="AM15" s="97">
        <f t="shared" si="13"/>
        <v>6.7200000000000003E-3</v>
      </c>
      <c r="AN15" s="97">
        <f t="shared" si="14"/>
        <v>0.75525000000000009</v>
      </c>
      <c r="AO15" s="100">
        <f t="shared" si="42"/>
        <v>0.76197000000000004</v>
      </c>
      <c r="AP15" s="99">
        <f t="shared" si="43"/>
        <v>0</v>
      </c>
      <c r="AQ15" s="97">
        <f t="shared" si="15"/>
        <v>8.7499999999999994E-2</v>
      </c>
      <c r="AR15" s="100">
        <f t="shared" si="16"/>
        <v>1.155E-2</v>
      </c>
      <c r="AS15" s="99">
        <f t="shared" si="17"/>
        <v>0.18344800081066664</v>
      </c>
      <c r="AT15" s="215">
        <f t="shared" si="18"/>
        <v>36.006880048639999</v>
      </c>
      <c r="AU15" s="216">
        <f t="shared" si="19"/>
        <v>5.5930525700193454E-2</v>
      </c>
      <c r="AV15" s="97">
        <f t="shared" si="20"/>
        <v>0.96</v>
      </c>
      <c r="AW15" s="100">
        <f t="shared" si="44"/>
        <v>83.956594381151731</v>
      </c>
      <c r="AX15" s="32"/>
      <c r="AY15" s="99">
        <f t="shared" si="21"/>
        <v>60</v>
      </c>
      <c r="AZ15" s="97">
        <f t="shared" si="22"/>
        <v>1.6E-2</v>
      </c>
      <c r="BA15" s="97">
        <f t="shared" si="23"/>
        <v>15</v>
      </c>
      <c r="BB15" s="100">
        <f t="shared" si="24"/>
        <v>0.08</v>
      </c>
      <c r="BC15" s="99">
        <f t="shared" si="25"/>
        <v>1</v>
      </c>
      <c r="BD15" s="97">
        <f t="shared" si="26"/>
        <v>0.4</v>
      </c>
      <c r="BE15" s="100">
        <f t="shared" si="27"/>
        <v>0.13333333333333336</v>
      </c>
      <c r="BF15" s="99">
        <f t="shared" si="28"/>
        <v>0.24000000000000005</v>
      </c>
      <c r="BG15" s="97">
        <f t="shared" si="45"/>
        <v>0.24000000000000005</v>
      </c>
      <c r="BH15" s="97">
        <f t="shared" si="46"/>
        <v>0.10119288512538817</v>
      </c>
      <c r="BI15" s="97">
        <v>0</v>
      </c>
      <c r="BJ15" s="97">
        <f t="shared" si="29"/>
        <v>1.0240000000000006E-4</v>
      </c>
      <c r="BK15" s="100">
        <f t="shared" si="47"/>
        <v>1.0240000000000006E-4</v>
      </c>
      <c r="BL15" s="99">
        <f t="shared" si="59"/>
        <v>3.2000000000000001E-2</v>
      </c>
      <c r="BM15" s="97">
        <f t="shared" si="48"/>
        <v>8.7635609200826595E-2</v>
      </c>
      <c r="BN15" s="97">
        <f t="shared" si="49"/>
        <v>4.295464373774859E-4</v>
      </c>
      <c r="BO15" s="97">
        <f t="shared" si="50"/>
        <v>8.3999999999999991E-2</v>
      </c>
      <c r="BP15" s="100">
        <f t="shared" si="51"/>
        <v>8.4429546437377476E-2</v>
      </c>
      <c r="BQ15" s="99">
        <f t="shared" si="52"/>
        <v>1.066666666666667E-2</v>
      </c>
      <c r="BR15" s="97">
        <f t="shared" si="30"/>
        <v>5.0596442562694084E-2</v>
      </c>
      <c r="BS15" s="97">
        <f t="shared" si="31"/>
        <v>6.7200000000000003E-3</v>
      </c>
      <c r="BT15" s="97">
        <f t="shared" si="32"/>
        <v>0.75525000000000009</v>
      </c>
      <c r="BU15" s="100">
        <f t="shared" si="53"/>
        <v>0.76197000000000004</v>
      </c>
      <c r="BV15" s="99">
        <f t="shared" si="54"/>
        <v>0</v>
      </c>
      <c r="BW15" s="97">
        <f t="shared" si="33"/>
        <v>8.7499999999999994E-2</v>
      </c>
      <c r="BX15" s="100">
        <f t="shared" si="34"/>
        <v>1.155E-2</v>
      </c>
      <c r="BY15" s="99">
        <f t="shared" si="55"/>
        <v>0.94555194643737739</v>
      </c>
      <c r="BZ15" s="97">
        <f t="shared" si="56"/>
        <v>0.96</v>
      </c>
      <c r="CA15" s="100">
        <f t="shared" si="57"/>
        <v>50.379104164272057</v>
      </c>
      <c r="CB15" s="51">
        <f t="shared" si="58"/>
        <v>0.18347954643737746</v>
      </c>
      <c r="CC15" s="32">
        <f t="shared" si="35"/>
        <v>31.421784125308211</v>
      </c>
    </row>
    <row r="16" spans="1:81" x14ac:dyDescent="0.3">
      <c r="Q16" s="32">
        <v>9</v>
      </c>
      <c r="S16" s="99">
        <f t="shared" si="0"/>
        <v>60</v>
      </c>
      <c r="T16" s="97">
        <f t="shared" si="36"/>
        <v>1.8000000000000002E-2</v>
      </c>
      <c r="U16" s="97">
        <f t="shared" si="1"/>
        <v>15</v>
      </c>
      <c r="V16" s="100">
        <f t="shared" si="2"/>
        <v>9.0000000000000011E-2</v>
      </c>
      <c r="W16" s="99">
        <f t="shared" si="3"/>
        <v>1</v>
      </c>
      <c r="X16" s="97">
        <f t="shared" si="4"/>
        <v>0.42426406871192851</v>
      </c>
      <c r="Y16" s="100">
        <f t="shared" si="5"/>
        <v>0.14142135623730953</v>
      </c>
      <c r="Z16" s="99">
        <f t="shared" si="6"/>
        <v>0.25455844122715715</v>
      </c>
      <c r="AA16" s="97">
        <f t="shared" si="37"/>
        <v>0.25455844122715715</v>
      </c>
      <c r="AB16" s="97">
        <f t="shared" si="38"/>
        <v>0.11053870443832578</v>
      </c>
      <c r="AC16" s="97">
        <v>0</v>
      </c>
      <c r="AD16" s="97">
        <f t="shared" si="7"/>
        <v>1.2218805178903545E-4</v>
      </c>
      <c r="AE16" s="100">
        <f t="shared" si="39"/>
        <v>1.2218805178903545E-4</v>
      </c>
      <c r="AF16" s="99">
        <f t="shared" si="8"/>
        <v>3.818376618407357E-2</v>
      </c>
      <c r="AG16" s="97">
        <f t="shared" si="9"/>
        <v>9.5729326145009813E-2</v>
      </c>
      <c r="AH16" s="97">
        <f t="shared" si="10"/>
        <v>4.7491155923649197E-4</v>
      </c>
      <c r="AI16" s="97">
        <f t="shared" si="40"/>
        <v>9.4500000000000001E-2</v>
      </c>
      <c r="AJ16" s="100">
        <f t="shared" si="41"/>
        <v>9.49749115592365E-2</v>
      </c>
      <c r="AK16" s="99">
        <f t="shared" si="11"/>
        <v>1.2727922061357859E-2</v>
      </c>
      <c r="AL16" s="97">
        <f t="shared" si="12"/>
        <v>5.5269352219162897E-2</v>
      </c>
      <c r="AM16" s="97">
        <f t="shared" si="13"/>
        <v>7.5600000000000007E-3</v>
      </c>
      <c r="AN16" s="97">
        <f t="shared" si="14"/>
        <v>0.75525000000000009</v>
      </c>
      <c r="AO16" s="100">
        <f t="shared" si="42"/>
        <v>0.7628100000000001</v>
      </c>
      <c r="AP16" s="99">
        <f t="shared" si="43"/>
        <v>0</v>
      </c>
      <c r="AQ16" s="97">
        <f>Qg_tot*Vcc*Fsw</f>
        <v>8.7499999999999994E-2</v>
      </c>
      <c r="AR16" s="100">
        <f t="shared" si="16"/>
        <v>1.155E-2</v>
      </c>
      <c r="AS16" s="99">
        <f t="shared" si="17"/>
        <v>0.19402491155923651</v>
      </c>
      <c r="AT16" s="215">
        <f t="shared" si="18"/>
        <v>36.641494693554193</v>
      </c>
      <c r="AU16" s="216">
        <f t="shared" si="19"/>
        <v>5.6085440493985124E-2</v>
      </c>
      <c r="AV16" s="97">
        <f t="shared" si="20"/>
        <v>1.08</v>
      </c>
      <c r="AW16" s="100">
        <f t="shared" si="44"/>
        <v>84.770712895890242</v>
      </c>
      <c r="AX16" s="32"/>
      <c r="AY16" s="99">
        <f t="shared" si="21"/>
        <v>60</v>
      </c>
      <c r="AZ16" s="97">
        <f t="shared" si="22"/>
        <v>1.8000000000000002E-2</v>
      </c>
      <c r="BA16" s="97">
        <f t="shared" si="23"/>
        <v>15</v>
      </c>
      <c r="BB16" s="100">
        <f t="shared" si="24"/>
        <v>9.0000000000000011E-2</v>
      </c>
      <c r="BC16" s="99">
        <f t="shared" si="25"/>
        <v>1</v>
      </c>
      <c r="BD16" s="97">
        <f t="shared" si="26"/>
        <v>0.42426406871192851</v>
      </c>
      <c r="BE16" s="100">
        <f t="shared" si="27"/>
        <v>0.14142135623730953</v>
      </c>
      <c r="BF16" s="99">
        <f t="shared" si="28"/>
        <v>0.25455844122715715</v>
      </c>
      <c r="BG16" s="97">
        <f t="shared" ref="BG16:BG79" si="60">CHOOSE(BC16,BF16,BB16+(0.5*BF16))</f>
        <v>0.25455844122715715</v>
      </c>
      <c r="BH16" s="97">
        <f t="shared" ref="BH16:BH79" si="61">CHOOSE(BC16,BG16*SQRT((BD16+BE16)/3),SQRT((BB16^2)+((BF16^2)/12)))</f>
        <v>0.11053870443832578</v>
      </c>
      <c r="BI16" s="97">
        <v>0</v>
      </c>
      <c r="BJ16" s="97">
        <f t="shared" si="29"/>
        <v>1.2218805178903545E-4</v>
      </c>
      <c r="BK16" s="100">
        <f t="shared" si="47"/>
        <v>1.2218805178903545E-4</v>
      </c>
      <c r="BL16" s="99">
        <f t="shared" si="59"/>
        <v>3.818376618407357E-2</v>
      </c>
      <c r="BM16" s="97">
        <f t="shared" si="48"/>
        <v>9.5729326145009813E-2</v>
      </c>
      <c r="BN16" s="97">
        <f t="shared" si="49"/>
        <v>5.1397280307674412E-4</v>
      </c>
      <c r="BO16" s="97">
        <f t="shared" si="50"/>
        <v>9.4500000000000001E-2</v>
      </c>
      <c r="BP16" s="100">
        <f t="shared" si="51"/>
        <v>9.5013972803076746E-2</v>
      </c>
      <c r="BQ16" s="99">
        <f t="shared" si="52"/>
        <v>1.2727922061357859E-2</v>
      </c>
      <c r="BR16" s="97">
        <f t="shared" si="30"/>
        <v>5.5269352219162897E-2</v>
      </c>
      <c r="BS16" s="97">
        <f>AZ16*Vd_rect</f>
        <v>7.5600000000000007E-3</v>
      </c>
      <c r="BT16" s="97">
        <f t="shared" si="32"/>
        <v>0.75525000000000009</v>
      </c>
      <c r="BU16" s="100">
        <f t="shared" si="53"/>
        <v>0.7628100000000001</v>
      </c>
      <c r="BV16" s="99">
        <f t="shared" si="54"/>
        <v>0</v>
      </c>
      <c r="BW16" s="97">
        <f>Qg_tot*Vcc*Fsw</f>
        <v>8.7499999999999994E-2</v>
      </c>
      <c r="BX16" s="100">
        <f t="shared" si="34"/>
        <v>1.155E-2</v>
      </c>
      <c r="BY16" s="99">
        <f t="shared" si="55"/>
        <v>0.95699616085486583</v>
      </c>
      <c r="BZ16" s="97">
        <f t="shared" si="56"/>
        <v>1.08</v>
      </c>
      <c r="CA16" s="100">
        <f t="shared" si="57"/>
        <v>53.019245728315788</v>
      </c>
      <c r="CB16" s="51">
        <f t="shared" si="58"/>
        <v>0.19406397280307675</v>
      </c>
      <c r="CC16" s="32">
        <f t="shared" si="35"/>
        <v>31.792239048107685</v>
      </c>
    </row>
    <row r="17" spans="4:81" x14ac:dyDescent="0.3">
      <c r="Q17" s="32">
        <v>10</v>
      </c>
      <c r="S17" s="99">
        <f t="shared" si="0"/>
        <v>60</v>
      </c>
      <c r="T17" s="97">
        <f t="shared" si="36"/>
        <v>0.02</v>
      </c>
      <c r="U17" s="97">
        <f t="shared" si="1"/>
        <v>15</v>
      </c>
      <c r="V17" s="100">
        <f t="shared" si="2"/>
        <v>9.9999999999999992E-2</v>
      </c>
      <c r="W17" s="99">
        <f t="shared" si="3"/>
        <v>1</v>
      </c>
      <c r="X17" s="97">
        <f t="shared" si="4"/>
        <v>0.44721359549995793</v>
      </c>
      <c r="Y17" s="100">
        <f t="shared" si="5"/>
        <v>0.14907119849998599</v>
      </c>
      <c r="Z17" s="99">
        <f t="shared" si="6"/>
        <v>0.26832815729997478</v>
      </c>
      <c r="AA17" s="97">
        <f t="shared" si="37"/>
        <v>0.26832815729997478</v>
      </c>
      <c r="AB17" s="97">
        <f t="shared" si="38"/>
        <v>0.11962790249769764</v>
      </c>
      <c r="AC17" s="97">
        <v>0</v>
      </c>
      <c r="AD17" s="97">
        <f t="shared" si="7"/>
        <v>1.4310835055998653E-4</v>
      </c>
      <c r="AE17" s="100">
        <f t="shared" si="39"/>
        <v>1.4310835055998653E-4</v>
      </c>
      <c r="AF17" s="99">
        <f t="shared" si="8"/>
        <v>4.4721359549995787E-2</v>
      </c>
      <c r="AG17" s="97">
        <f t="shared" si="9"/>
        <v>0.10360080256445407</v>
      </c>
      <c r="AH17" s="97">
        <f t="shared" si="10"/>
        <v>5.5622304234418155E-4</v>
      </c>
      <c r="AI17" s="97">
        <f t="shared" si="40"/>
        <v>0.10499999999999998</v>
      </c>
      <c r="AJ17" s="100">
        <f t="shared" si="41"/>
        <v>0.10555622304234416</v>
      </c>
      <c r="AK17" s="99">
        <f t="shared" si="11"/>
        <v>1.4907119849998597E-2</v>
      </c>
      <c r="AL17" s="97">
        <f t="shared" si="12"/>
        <v>5.9813951248848821E-2</v>
      </c>
      <c r="AM17" s="97">
        <f t="shared" si="13"/>
        <v>8.3999999999999995E-3</v>
      </c>
      <c r="AN17" s="97">
        <f t="shared" si="14"/>
        <v>0.75525000000000009</v>
      </c>
      <c r="AO17" s="100">
        <f t="shared" si="42"/>
        <v>0.76365000000000005</v>
      </c>
      <c r="AP17" s="99">
        <f t="shared" si="43"/>
        <v>0</v>
      </c>
      <c r="AQ17" s="97">
        <f t="shared" si="15"/>
        <v>8.7499999999999994E-2</v>
      </c>
      <c r="AR17" s="100">
        <f t="shared" si="16"/>
        <v>1.155E-2</v>
      </c>
      <c r="AS17" s="99">
        <f t="shared" si="17"/>
        <v>0.20460622304234416</v>
      </c>
      <c r="AT17" s="215">
        <f t="shared" si="18"/>
        <v>37.276373382540648</v>
      </c>
      <c r="AU17" s="216">
        <f t="shared" si="19"/>
        <v>5.624041974316453E-2</v>
      </c>
      <c r="AV17" s="97">
        <f t="shared" si="20"/>
        <v>1.2</v>
      </c>
      <c r="AW17" s="100">
        <f t="shared" si="44"/>
        <v>85.433196885660095</v>
      </c>
      <c r="AX17" s="32"/>
      <c r="AY17" s="99">
        <f t="shared" si="21"/>
        <v>60</v>
      </c>
      <c r="AZ17" s="97">
        <f t="shared" si="22"/>
        <v>0.02</v>
      </c>
      <c r="BA17" s="97">
        <f t="shared" si="23"/>
        <v>15</v>
      </c>
      <c r="BB17" s="100">
        <f t="shared" si="24"/>
        <v>9.9999999999999992E-2</v>
      </c>
      <c r="BC17" s="99">
        <f t="shared" si="25"/>
        <v>1</v>
      </c>
      <c r="BD17" s="97">
        <f t="shared" si="26"/>
        <v>0.44721359549995793</v>
      </c>
      <c r="BE17" s="100">
        <f t="shared" si="27"/>
        <v>0.14907119849998599</v>
      </c>
      <c r="BF17" s="99">
        <f t="shared" si="28"/>
        <v>0.26832815729997478</v>
      </c>
      <c r="BG17" s="97">
        <f t="shared" si="60"/>
        <v>0.26832815729997478</v>
      </c>
      <c r="BH17" s="97">
        <f t="shared" si="61"/>
        <v>0.11962790249769764</v>
      </c>
      <c r="BI17" s="97">
        <v>0</v>
      </c>
      <c r="BJ17" s="97">
        <f t="shared" si="29"/>
        <v>1.4310835055998653E-4</v>
      </c>
      <c r="BK17" s="100">
        <f t="shared" si="47"/>
        <v>1.4310835055998653E-4</v>
      </c>
      <c r="BL17" s="99">
        <f t="shared" si="59"/>
        <v>4.4721359549995787E-2</v>
      </c>
      <c r="BM17" s="97">
        <f t="shared" si="48"/>
        <v>0.10360080256445407</v>
      </c>
      <c r="BN17" s="97">
        <f t="shared" si="49"/>
        <v>6.0363552781841846E-4</v>
      </c>
      <c r="BO17" s="97">
        <f t="shared" si="50"/>
        <v>0.10499999999999998</v>
      </c>
      <c r="BP17" s="100">
        <f t="shared" si="51"/>
        <v>0.1056036355278184</v>
      </c>
      <c r="BQ17" s="99">
        <f t="shared" si="52"/>
        <v>1.4907119849998597E-2</v>
      </c>
      <c r="BR17" s="97">
        <f t="shared" si="30"/>
        <v>5.9813951248848821E-2</v>
      </c>
      <c r="BS17" s="97">
        <f t="shared" si="31"/>
        <v>8.3999999999999995E-3</v>
      </c>
      <c r="BT17" s="97">
        <f t="shared" si="32"/>
        <v>0.75525000000000009</v>
      </c>
      <c r="BU17" s="100">
        <f t="shared" si="53"/>
        <v>0.76365000000000005</v>
      </c>
      <c r="BV17" s="99">
        <f t="shared" si="54"/>
        <v>0</v>
      </c>
      <c r="BW17" s="97">
        <f t="shared" si="33"/>
        <v>8.7499999999999994E-2</v>
      </c>
      <c r="BX17" s="100">
        <f t="shared" si="34"/>
        <v>1.155E-2</v>
      </c>
      <c r="BY17" s="99">
        <f t="shared" si="55"/>
        <v>0.96844674387837837</v>
      </c>
      <c r="BZ17" s="97">
        <f t="shared" si="56"/>
        <v>1.2</v>
      </c>
      <c r="CA17" s="100">
        <f t="shared" si="57"/>
        <v>55.339150172244409</v>
      </c>
      <c r="CB17" s="51">
        <f t="shared" si="58"/>
        <v>0.2046536355278184</v>
      </c>
      <c r="CC17" s="32">
        <f t="shared" si="35"/>
        <v>32.162877243473645</v>
      </c>
    </row>
    <row r="18" spans="4:81" x14ac:dyDescent="0.3">
      <c r="Q18" s="32">
        <v>11</v>
      </c>
      <c r="S18" s="99">
        <f t="shared" si="0"/>
        <v>60</v>
      </c>
      <c r="T18" s="97">
        <f t="shared" si="36"/>
        <v>2.1999999999999999E-2</v>
      </c>
      <c r="U18" s="97">
        <f t="shared" si="1"/>
        <v>15</v>
      </c>
      <c r="V18" s="100">
        <f t="shared" si="2"/>
        <v>0.10999999999999999</v>
      </c>
      <c r="W18" s="99">
        <f t="shared" si="3"/>
        <v>1</v>
      </c>
      <c r="X18" s="97">
        <f t="shared" si="4"/>
        <v>0.46904157598234292</v>
      </c>
      <c r="Y18" s="100">
        <f t="shared" si="5"/>
        <v>0.15634719199411432</v>
      </c>
      <c r="Z18" s="99">
        <f t="shared" si="6"/>
        <v>0.28142494558940578</v>
      </c>
      <c r="AA18" s="97">
        <f t="shared" si="37"/>
        <v>0.28142494558940578</v>
      </c>
      <c r="AB18" s="97">
        <f t="shared" si="38"/>
        <v>0.12849227009660336</v>
      </c>
      <c r="AC18" s="97">
        <v>0</v>
      </c>
      <c r="AD18" s="97">
        <f t="shared" si="7"/>
        <v>1.6510263474578467E-4</v>
      </c>
      <c r="AE18" s="100">
        <f t="shared" si="39"/>
        <v>1.6510263474578467E-4</v>
      </c>
      <c r="AF18" s="99">
        <f t="shared" si="8"/>
        <v>5.1594573358057713E-2</v>
      </c>
      <c r="AG18" s="97">
        <f t="shared" si="9"/>
        <v>0.11127757009359009</v>
      </c>
      <c r="AH18" s="97">
        <f t="shared" si="10"/>
        <v>6.4170881320336831E-4</v>
      </c>
      <c r="AI18" s="97">
        <f t="shared" si="40"/>
        <v>0.11549999999999999</v>
      </c>
      <c r="AJ18" s="100">
        <f t="shared" si="41"/>
        <v>0.11614170881320336</v>
      </c>
      <c r="AK18" s="99">
        <f t="shared" si="11"/>
        <v>1.7198191119352571E-2</v>
      </c>
      <c r="AL18" s="97">
        <f t="shared" si="12"/>
        <v>6.4246135048301678E-2</v>
      </c>
      <c r="AM18" s="97">
        <f t="shared" si="13"/>
        <v>9.2399999999999999E-3</v>
      </c>
      <c r="AN18" s="97">
        <f t="shared" si="14"/>
        <v>0.75525000000000009</v>
      </c>
      <c r="AO18" s="100">
        <f t="shared" si="42"/>
        <v>0.76449000000000011</v>
      </c>
      <c r="AP18" s="99">
        <f t="shared" si="43"/>
        <v>0</v>
      </c>
      <c r="AQ18" s="97">
        <f t="shared" si="15"/>
        <v>8.7499999999999994E-2</v>
      </c>
      <c r="AR18" s="100">
        <f t="shared" si="16"/>
        <v>1.155E-2</v>
      </c>
      <c r="AS18" s="99">
        <f t="shared" si="17"/>
        <v>0.21519170881320338</v>
      </c>
      <c r="AT18" s="215">
        <f t="shared" si="18"/>
        <v>37.911502528792198</v>
      </c>
      <c r="AU18" s="216">
        <f t="shared" si="19"/>
        <v>5.6395460131077331E-2</v>
      </c>
      <c r="AV18" s="97">
        <f t="shared" si="20"/>
        <v>1.3199999999999998</v>
      </c>
      <c r="AW18" s="100">
        <f t="shared" si="44"/>
        <v>85.982746807591894</v>
      </c>
      <c r="AX18" s="32"/>
      <c r="AY18" s="99">
        <f t="shared" si="21"/>
        <v>60</v>
      </c>
      <c r="AZ18" s="97">
        <f t="shared" si="22"/>
        <v>2.1999999999999999E-2</v>
      </c>
      <c r="BA18" s="97">
        <f t="shared" si="23"/>
        <v>15</v>
      </c>
      <c r="BB18" s="100">
        <f t="shared" si="24"/>
        <v>0.10999999999999999</v>
      </c>
      <c r="BC18" s="99">
        <f t="shared" si="25"/>
        <v>1</v>
      </c>
      <c r="BD18" s="97">
        <f t="shared" si="26"/>
        <v>0.46904157598234292</v>
      </c>
      <c r="BE18" s="100">
        <f t="shared" si="27"/>
        <v>0.15634719199411432</v>
      </c>
      <c r="BF18" s="99">
        <f t="shared" si="28"/>
        <v>0.28142494558940578</v>
      </c>
      <c r="BG18" s="97">
        <f t="shared" si="60"/>
        <v>0.28142494558940578</v>
      </c>
      <c r="BH18" s="97">
        <f t="shared" si="61"/>
        <v>0.12849227009660336</v>
      </c>
      <c r="BI18" s="97">
        <v>0</v>
      </c>
      <c r="BJ18" s="97">
        <f t="shared" si="29"/>
        <v>1.6510263474578467E-4</v>
      </c>
      <c r="BK18" s="100">
        <f t="shared" si="47"/>
        <v>1.6510263474578467E-4</v>
      </c>
      <c r="BL18" s="99">
        <f t="shared" si="59"/>
        <v>5.1594573358057713E-2</v>
      </c>
      <c r="BM18" s="97">
        <f t="shared" si="48"/>
        <v>0.11127757009359009</v>
      </c>
      <c r="BN18" s="97">
        <f t="shared" si="49"/>
        <v>6.9832792915062948E-4</v>
      </c>
      <c r="BO18" s="97">
        <f t="shared" si="50"/>
        <v>0.11549999999999999</v>
      </c>
      <c r="BP18" s="100">
        <f t="shared" si="51"/>
        <v>0.11619832792915062</v>
      </c>
      <c r="BQ18" s="99">
        <f t="shared" si="52"/>
        <v>1.7198191119352571E-2</v>
      </c>
      <c r="BR18" s="97">
        <f t="shared" si="30"/>
        <v>6.4246135048301678E-2</v>
      </c>
      <c r="BS18" s="97">
        <f t="shared" si="31"/>
        <v>9.2399999999999999E-3</v>
      </c>
      <c r="BT18" s="97">
        <f t="shared" si="32"/>
        <v>0.75525000000000009</v>
      </c>
      <c r="BU18" s="100">
        <f t="shared" si="53"/>
        <v>0.76449000000000011</v>
      </c>
      <c r="BV18" s="99">
        <f t="shared" si="54"/>
        <v>0</v>
      </c>
      <c r="BW18" s="97">
        <f t="shared" si="33"/>
        <v>8.7499999999999994E-2</v>
      </c>
      <c r="BX18" s="100">
        <f t="shared" si="34"/>
        <v>1.155E-2</v>
      </c>
      <c r="BY18" s="99">
        <f t="shared" si="55"/>
        <v>0.9799034305638965</v>
      </c>
      <c r="BZ18" s="97">
        <f t="shared" si="56"/>
        <v>1.3199999999999998</v>
      </c>
      <c r="CA18" s="100">
        <f t="shared" si="57"/>
        <v>57.393714121134167</v>
      </c>
      <c r="CB18" s="51">
        <f t="shared" si="58"/>
        <v>0.21524832792915061</v>
      </c>
      <c r="CC18" s="32">
        <f t="shared" si="35"/>
        <v>32.533691477520271</v>
      </c>
    </row>
    <row r="19" spans="4:81" x14ac:dyDescent="0.3">
      <c r="D19" t="s">
        <v>575</v>
      </c>
      <c r="E19" t="s">
        <v>514</v>
      </c>
      <c r="Q19" s="32">
        <v>12</v>
      </c>
      <c r="S19" s="99">
        <f t="shared" si="0"/>
        <v>60</v>
      </c>
      <c r="T19" s="97">
        <f t="shared" si="36"/>
        <v>2.4E-2</v>
      </c>
      <c r="U19" s="97">
        <f t="shared" si="1"/>
        <v>15</v>
      </c>
      <c r="V19" s="100">
        <f t="shared" si="2"/>
        <v>0.12</v>
      </c>
      <c r="W19" s="99">
        <f t="shared" si="3"/>
        <v>1</v>
      </c>
      <c r="X19" s="97">
        <f t="shared" si="4"/>
        <v>0.4898979485566356</v>
      </c>
      <c r="Y19" s="100">
        <f t="shared" si="5"/>
        <v>0.16329931618554519</v>
      </c>
      <c r="Z19" s="99">
        <f t="shared" si="6"/>
        <v>0.29393876913398137</v>
      </c>
      <c r="AA19" s="97">
        <f t="shared" si="37"/>
        <v>0.29393876913398137</v>
      </c>
      <c r="AB19" s="97">
        <f t="shared" si="38"/>
        <v>0.13715714062554238</v>
      </c>
      <c r="AC19" s="97">
        <v>0</v>
      </c>
      <c r="AD19" s="97">
        <f t="shared" si="7"/>
        <v>1.8812081224574807E-4</v>
      </c>
      <c r="AE19" s="100">
        <f t="shared" si="39"/>
        <v>1.8812081224574807E-4</v>
      </c>
      <c r="AF19" s="99">
        <f t="shared" si="8"/>
        <v>5.8787753826796268E-2</v>
      </c>
      <c r="AG19" s="97">
        <f t="shared" si="9"/>
        <v>0.11878156809215436</v>
      </c>
      <c r="AH19" s="97">
        <f t="shared" si="10"/>
        <v>7.3117417751054231E-4</v>
      </c>
      <c r="AI19" s="97">
        <f t="shared" si="40"/>
        <v>0.126</v>
      </c>
      <c r="AJ19" s="100">
        <f t="shared" si="41"/>
        <v>0.12673117417751054</v>
      </c>
      <c r="AK19" s="99">
        <f t="shared" si="11"/>
        <v>1.9595917942265423E-2</v>
      </c>
      <c r="AL19" s="97">
        <f t="shared" si="12"/>
        <v>6.8578570312771189E-2</v>
      </c>
      <c r="AM19" s="97">
        <f t="shared" si="13"/>
        <v>1.008E-2</v>
      </c>
      <c r="AN19" s="97">
        <f t="shared" si="14"/>
        <v>0.75525000000000009</v>
      </c>
      <c r="AO19" s="100">
        <f t="shared" si="42"/>
        <v>0.76533000000000007</v>
      </c>
      <c r="AP19" s="99">
        <f t="shared" si="43"/>
        <v>0</v>
      </c>
      <c r="AQ19" s="97">
        <f t="shared" si="15"/>
        <v>8.7499999999999994E-2</v>
      </c>
      <c r="AR19" s="100">
        <f t="shared" si="16"/>
        <v>1.155E-2</v>
      </c>
      <c r="AS19" s="99">
        <f t="shared" si="17"/>
        <v>0.22578117417751054</v>
      </c>
      <c r="AT19" s="215">
        <f t="shared" si="18"/>
        <v>38.54687045065063</v>
      </c>
      <c r="AU19" s="216">
        <f t="shared" si="19"/>
        <v>5.6550558806132085E-2</v>
      </c>
      <c r="AV19" s="97">
        <f t="shared" si="20"/>
        <v>1.44</v>
      </c>
      <c r="AW19" s="100">
        <f t="shared" si="44"/>
        <v>86.445928332153741</v>
      </c>
      <c r="AX19" s="32"/>
      <c r="AY19" s="99">
        <f t="shared" si="21"/>
        <v>60</v>
      </c>
      <c r="AZ19" s="97">
        <f t="shared" si="22"/>
        <v>2.4E-2</v>
      </c>
      <c r="BA19" s="97">
        <f t="shared" si="23"/>
        <v>15</v>
      </c>
      <c r="BB19" s="100">
        <f t="shared" si="24"/>
        <v>0.12</v>
      </c>
      <c r="BC19" s="99">
        <f t="shared" si="25"/>
        <v>1</v>
      </c>
      <c r="BD19" s="97">
        <f t="shared" si="26"/>
        <v>0.4898979485566356</v>
      </c>
      <c r="BE19" s="100">
        <f t="shared" si="27"/>
        <v>0.16329931618554519</v>
      </c>
      <c r="BF19" s="99">
        <f t="shared" si="28"/>
        <v>0.29393876913398137</v>
      </c>
      <c r="BG19" s="97">
        <f t="shared" si="60"/>
        <v>0.29393876913398137</v>
      </c>
      <c r="BH19" s="97">
        <f t="shared" si="61"/>
        <v>0.13715714062554238</v>
      </c>
      <c r="BI19" s="97">
        <v>0</v>
      </c>
      <c r="BJ19" s="97">
        <f t="shared" si="29"/>
        <v>1.8812081224574807E-4</v>
      </c>
      <c r="BK19" s="100">
        <f t="shared" si="47"/>
        <v>1.8812081224574807E-4</v>
      </c>
      <c r="BL19" s="99">
        <f t="shared" si="59"/>
        <v>5.8787753826796268E-2</v>
      </c>
      <c r="BM19" s="97">
        <f t="shared" si="48"/>
        <v>0.11878156809215436</v>
      </c>
      <c r="BN19" s="97">
        <f t="shared" si="49"/>
        <v>7.9787527916703798E-4</v>
      </c>
      <c r="BO19" s="97">
        <f t="shared" si="50"/>
        <v>0.126</v>
      </c>
      <c r="BP19" s="100">
        <f t="shared" si="51"/>
        <v>0.12679787527916703</v>
      </c>
      <c r="BQ19" s="99">
        <f t="shared" si="52"/>
        <v>1.9595917942265423E-2</v>
      </c>
      <c r="BR19" s="97">
        <f t="shared" si="30"/>
        <v>6.8578570312771189E-2</v>
      </c>
      <c r="BS19" s="97">
        <f t="shared" si="31"/>
        <v>1.008E-2</v>
      </c>
      <c r="BT19" s="97">
        <f t="shared" si="32"/>
        <v>0.75525000000000009</v>
      </c>
      <c r="BU19" s="100">
        <f t="shared" si="53"/>
        <v>0.76533000000000007</v>
      </c>
      <c r="BV19" s="99">
        <f t="shared" si="54"/>
        <v>0</v>
      </c>
      <c r="BW19" s="97">
        <f t="shared" si="33"/>
        <v>8.7499999999999994E-2</v>
      </c>
      <c r="BX19" s="100">
        <f t="shared" si="34"/>
        <v>1.155E-2</v>
      </c>
      <c r="BY19" s="99">
        <f t="shared" si="55"/>
        <v>0.99136599609141274</v>
      </c>
      <c r="BZ19" s="97">
        <f t="shared" si="56"/>
        <v>1.44</v>
      </c>
      <c r="CA19" s="100">
        <f t="shared" si="57"/>
        <v>59.225966074827838</v>
      </c>
      <c r="CB19" s="51">
        <f t="shared" si="58"/>
        <v>0.22584787527916703</v>
      </c>
      <c r="CC19" s="32">
        <f t="shared" si="35"/>
        <v>32.904675634770847</v>
      </c>
    </row>
    <row r="20" spans="4:81" x14ac:dyDescent="0.3">
      <c r="D20">
        <v>-40</v>
      </c>
      <c r="E20">
        <v>38.200000000000003</v>
      </c>
      <c r="Q20" s="32">
        <v>13</v>
      </c>
      <c r="S20" s="99">
        <f t="shared" si="0"/>
        <v>60</v>
      </c>
      <c r="T20" s="97">
        <f t="shared" si="36"/>
        <v>2.6000000000000002E-2</v>
      </c>
      <c r="U20" s="97">
        <f t="shared" si="1"/>
        <v>15</v>
      </c>
      <c r="V20" s="100">
        <f t="shared" si="2"/>
        <v>0.13</v>
      </c>
      <c r="W20" s="99">
        <f t="shared" si="3"/>
        <v>1</v>
      </c>
      <c r="X20" s="97">
        <f t="shared" si="4"/>
        <v>0.50990195135927852</v>
      </c>
      <c r="Y20" s="100">
        <f t="shared" si="5"/>
        <v>0.16996731711975951</v>
      </c>
      <c r="Z20" s="99">
        <f t="shared" si="6"/>
        <v>0.30594117081556715</v>
      </c>
      <c r="AA20" s="97">
        <f t="shared" si="37"/>
        <v>0.30594117081556715</v>
      </c>
      <c r="AB20" s="97">
        <f t="shared" si="38"/>
        <v>0.1456431295205716</v>
      </c>
      <c r="AC20" s="97">
        <v>0</v>
      </c>
      <c r="AD20" s="97">
        <f t="shared" si="7"/>
        <v>2.1211921176545996E-4</v>
      </c>
      <c r="AE20" s="100">
        <f t="shared" si="39"/>
        <v>2.1211921176545996E-4</v>
      </c>
      <c r="AF20" s="99">
        <f t="shared" si="8"/>
        <v>6.6287253676706209E-2</v>
      </c>
      <c r="AG20" s="97">
        <f t="shared" si="9"/>
        <v>0.1261306500514823</v>
      </c>
      <c r="AH20" s="97">
        <f t="shared" si="10"/>
        <v>8.2444939688112702E-4</v>
      </c>
      <c r="AI20" s="97">
        <f t="shared" si="40"/>
        <v>0.13650000000000001</v>
      </c>
      <c r="AJ20" s="100">
        <f t="shared" si="41"/>
        <v>0.13732444939688113</v>
      </c>
      <c r="AK20" s="99">
        <f t="shared" si="11"/>
        <v>2.2095751225568738E-2</v>
      </c>
      <c r="AL20" s="97">
        <f t="shared" si="12"/>
        <v>7.2821564760285798E-2</v>
      </c>
      <c r="AM20" s="97">
        <f t="shared" si="13"/>
        <v>1.0920000000000001E-2</v>
      </c>
      <c r="AN20" s="97">
        <f t="shared" si="14"/>
        <v>0.75525000000000009</v>
      </c>
      <c r="AO20" s="100">
        <f t="shared" si="42"/>
        <v>0.76617000000000013</v>
      </c>
      <c r="AP20" s="99">
        <f t="shared" si="43"/>
        <v>0</v>
      </c>
      <c r="AQ20" s="97">
        <f t="shared" si="15"/>
        <v>8.7499999999999994E-2</v>
      </c>
      <c r="AR20" s="100">
        <f t="shared" si="16"/>
        <v>1.155E-2</v>
      </c>
      <c r="AS20" s="99">
        <f t="shared" si="17"/>
        <v>0.23637444939688113</v>
      </c>
      <c r="AT20" s="215">
        <f t="shared" si="18"/>
        <v>39.182466963812871</v>
      </c>
      <c r="AU20" s="216">
        <f t="shared" si="19"/>
        <v>5.670571328225444E-2</v>
      </c>
      <c r="AV20" s="97">
        <f t="shared" si="20"/>
        <v>1.56</v>
      </c>
      <c r="AW20" s="100">
        <f t="shared" si="44"/>
        <v>86.841582528840689</v>
      </c>
      <c r="AX20" s="32"/>
      <c r="AY20" s="99">
        <f t="shared" si="21"/>
        <v>60</v>
      </c>
      <c r="AZ20" s="97">
        <f t="shared" si="22"/>
        <v>2.6000000000000002E-2</v>
      </c>
      <c r="BA20" s="97">
        <f t="shared" si="23"/>
        <v>15</v>
      </c>
      <c r="BB20" s="100">
        <f t="shared" si="24"/>
        <v>0.13</v>
      </c>
      <c r="BC20" s="99">
        <f t="shared" si="25"/>
        <v>1</v>
      </c>
      <c r="BD20" s="97">
        <f t="shared" si="26"/>
        <v>0.50990195135927852</v>
      </c>
      <c r="BE20" s="100">
        <f t="shared" si="27"/>
        <v>0.16996731711975951</v>
      </c>
      <c r="BF20" s="99">
        <f t="shared" si="28"/>
        <v>0.30594117081556715</v>
      </c>
      <c r="BG20" s="97">
        <f t="shared" si="60"/>
        <v>0.30594117081556715</v>
      </c>
      <c r="BH20" s="97">
        <f t="shared" si="61"/>
        <v>0.1456431295205716</v>
      </c>
      <c r="BI20" s="97">
        <v>0</v>
      </c>
      <c r="BJ20" s="97">
        <f t="shared" si="29"/>
        <v>2.1211921176545996E-4</v>
      </c>
      <c r="BK20" s="100">
        <f t="shared" si="47"/>
        <v>2.1211921176545996E-4</v>
      </c>
      <c r="BL20" s="99">
        <f t="shared" si="59"/>
        <v>6.6287253676706209E-2</v>
      </c>
      <c r="BM20" s="97">
        <f t="shared" si="48"/>
        <v>0.1261306500514823</v>
      </c>
      <c r="BN20" s="97">
        <f t="shared" si="49"/>
        <v>9.0212784030224865E-4</v>
      </c>
      <c r="BO20" s="97">
        <f t="shared" si="50"/>
        <v>0.13650000000000001</v>
      </c>
      <c r="BP20" s="100">
        <f t="shared" si="51"/>
        <v>0.13740212784030226</v>
      </c>
      <c r="BQ20" s="99">
        <f t="shared" si="52"/>
        <v>2.2095751225568738E-2</v>
      </c>
      <c r="BR20" s="97">
        <f t="shared" si="30"/>
        <v>7.2821564760285798E-2</v>
      </c>
      <c r="BS20" s="97">
        <f t="shared" si="31"/>
        <v>1.0920000000000001E-2</v>
      </c>
      <c r="BT20" s="97">
        <f t="shared" si="32"/>
        <v>0.75525000000000009</v>
      </c>
      <c r="BU20" s="100">
        <f t="shared" si="53"/>
        <v>0.76617000000000013</v>
      </c>
      <c r="BV20" s="99">
        <f t="shared" si="54"/>
        <v>0</v>
      </c>
      <c r="BW20" s="97">
        <f t="shared" si="33"/>
        <v>8.7499999999999994E-2</v>
      </c>
      <c r="BX20" s="100">
        <f t="shared" si="34"/>
        <v>1.155E-2</v>
      </c>
      <c r="BY20" s="99">
        <f t="shared" si="55"/>
        <v>1.0028342470520679</v>
      </c>
      <c r="BZ20" s="97">
        <f t="shared" si="56"/>
        <v>1.56</v>
      </c>
      <c r="CA20" s="100">
        <f t="shared" si="57"/>
        <v>60.870109012879368</v>
      </c>
      <c r="CB20" s="51">
        <f t="shared" si="58"/>
        <v>0.23645212784030226</v>
      </c>
      <c r="CC20" s="32">
        <f t="shared" si="35"/>
        <v>33.275824474410577</v>
      </c>
    </row>
    <row r="21" spans="4:81" x14ac:dyDescent="0.3">
      <c r="D21">
        <v>27</v>
      </c>
      <c r="E21">
        <v>52.3</v>
      </c>
      <c r="Q21" s="32">
        <v>14</v>
      </c>
      <c r="S21" s="99">
        <f t="shared" si="0"/>
        <v>60</v>
      </c>
      <c r="T21" s="97">
        <f t="shared" si="36"/>
        <v>2.8000000000000001E-2</v>
      </c>
      <c r="U21" s="97">
        <f t="shared" si="1"/>
        <v>15</v>
      </c>
      <c r="V21" s="100">
        <f t="shared" si="2"/>
        <v>0.13999999999999999</v>
      </c>
      <c r="W21" s="99">
        <f t="shared" si="3"/>
        <v>1</v>
      </c>
      <c r="X21" s="97">
        <f t="shared" si="4"/>
        <v>0.52915026221291805</v>
      </c>
      <c r="Y21" s="100">
        <f t="shared" si="5"/>
        <v>0.17638342073763935</v>
      </c>
      <c r="Z21" s="99">
        <f t="shared" si="6"/>
        <v>0.31749015732775088</v>
      </c>
      <c r="AA21" s="97">
        <f t="shared" si="37"/>
        <v>0.31749015732775088</v>
      </c>
      <c r="AB21" s="97">
        <f t="shared" si="38"/>
        <v>0.15396730739718328</v>
      </c>
      <c r="AC21" s="97">
        <v>0</v>
      </c>
      <c r="AD21" s="97">
        <f t="shared" si="7"/>
        <v>2.3705931747138728E-4</v>
      </c>
      <c r="AE21" s="100">
        <f t="shared" si="39"/>
        <v>2.3705931747138728E-4</v>
      </c>
      <c r="AF21" s="99">
        <f t="shared" si="8"/>
        <v>7.408103670980852E-2</v>
      </c>
      <c r="AG21" s="97">
        <f t="shared" si="9"/>
        <v>0.13333959955824845</v>
      </c>
      <c r="AH21" s="97">
        <f t="shared" si="10"/>
        <v>9.2138477079784073E-4</v>
      </c>
      <c r="AI21" s="97">
        <f t="shared" si="40"/>
        <v>0.14699999999999996</v>
      </c>
      <c r="AJ21" s="100">
        <f t="shared" si="41"/>
        <v>0.1479213847707978</v>
      </c>
      <c r="AK21" s="99">
        <f t="shared" si="11"/>
        <v>2.4693678903269508E-2</v>
      </c>
      <c r="AL21" s="97">
        <f t="shared" si="12"/>
        <v>7.6983653698591642E-2</v>
      </c>
      <c r="AM21" s="97">
        <f t="shared" si="13"/>
        <v>1.176E-2</v>
      </c>
      <c r="AN21" s="97">
        <f t="shared" si="14"/>
        <v>0.75525000000000009</v>
      </c>
      <c r="AO21" s="100">
        <f t="shared" si="42"/>
        <v>0.76701000000000008</v>
      </c>
      <c r="AP21" s="99">
        <f t="shared" si="43"/>
        <v>0</v>
      </c>
      <c r="AQ21" s="97">
        <f t="shared" si="15"/>
        <v>8.7499999999999994E-2</v>
      </c>
      <c r="AR21" s="100">
        <f t="shared" si="16"/>
        <v>1.155E-2</v>
      </c>
      <c r="AS21" s="99">
        <f t="shared" si="17"/>
        <v>0.2469713847707978</v>
      </c>
      <c r="AT21" s="215">
        <f t="shared" si="18"/>
        <v>39.818283086247867</v>
      </c>
      <c r="AU21" s="216">
        <f t="shared" si="19"/>
        <v>5.6860921366854743E-2</v>
      </c>
      <c r="AV21" s="97">
        <f t="shared" si="20"/>
        <v>1.68</v>
      </c>
      <c r="AW21" s="100">
        <f t="shared" si="44"/>
        <v>87.183443058747159</v>
      </c>
      <c r="AX21" s="32"/>
      <c r="AY21" s="99">
        <f t="shared" si="21"/>
        <v>60</v>
      </c>
      <c r="AZ21" s="97">
        <f t="shared" si="22"/>
        <v>2.8000000000000001E-2</v>
      </c>
      <c r="BA21" s="97">
        <f t="shared" si="23"/>
        <v>15</v>
      </c>
      <c r="BB21" s="100">
        <f t="shared" si="24"/>
        <v>0.13999999999999999</v>
      </c>
      <c r="BC21" s="99">
        <f t="shared" si="25"/>
        <v>1</v>
      </c>
      <c r="BD21" s="97">
        <f t="shared" si="26"/>
        <v>0.52915026221291805</v>
      </c>
      <c r="BE21" s="100">
        <f t="shared" si="27"/>
        <v>0.17638342073763935</v>
      </c>
      <c r="BF21" s="99">
        <f t="shared" si="28"/>
        <v>0.31749015732775088</v>
      </c>
      <c r="BG21" s="97">
        <f t="shared" si="60"/>
        <v>0.31749015732775088</v>
      </c>
      <c r="BH21" s="97">
        <f t="shared" si="61"/>
        <v>0.15396730739718328</v>
      </c>
      <c r="BI21" s="97">
        <v>0</v>
      </c>
      <c r="BJ21" s="97">
        <f t="shared" si="29"/>
        <v>2.3705931747138728E-4</v>
      </c>
      <c r="BK21" s="100">
        <f t="shared" si="47"/>
        <v>2.3705931747138728E-4</v>
      </c>
      <c r="BL21" s="99">
        <f t="shared" si="59"/>
        <v>7.408103670980852E-2</v>
      </c>
      <c r="BM21" s="97">
        <f t="shared" si="48"/>
        <v>0.13333959955824845</v>
      </c>
      <c r="BN21" s="97">
        <f t="shared" si="49"/>
        <v>1.0109558407515608E-3</v>
      </c>
      <c r="BO21" s="97">
        <f t="shared" si="50"/>
        <v>0.14699999999999996</v>
      </c>
      <c r="BP21" s="100">
        <f t="shared" si="51"/>
        <v>0.14801095584075152</v>
      </c>
      <c r="BQ21" s="99">
        <f t="shared" si="52"/>
        <v>2.4693678903269508E-2</v>
      </c>
      <c r="BR21" s="97">
        <f t="shared" si="30"/>
        <v>7.6983653698591642E-2</v>
      </c>
      <c r="BS21" s="97">
        <f t="shared" si="31"/>
        <v>1.176E-2</v>
      </c>
      <c r="BT21" s="97">
        <f t="shared" si="32"/>
        <v>0.75525000000000009</v>
      </c>
      <c r="BU21" s="100">
        <f t="shared" si="53"/>
        <v>0.76701000000000008</v>
      </c>
      <c r="BV21" s="99">
        <f t="shared" si="54"/>
        <v>0</v>
      </c>
      <c r="BW21" s="97">
        <f t="shared" si="33"/>
        <v>8.7499999999999994E-2</v>
      </c>
      <c r="BX21" s="100">
        <f t="shared" si="34"/>
        <v>1.155E-2</v>
      </c>
      <c r="BY21" s="99">
        <f t="shared" si="55"/>
        <v>1.0143080151582229</v>
      </c>
      <c r="BZ21" s="97">
        <f t="shared" si="56"/>
        <v>1.68</v>
      </c>
      <c r="CA21" s="100">
        <f t="shared" si="57"/>
        <v>62.353672651689841</v>
      </c>
      <c r="CB21" s="51">
        <f t="shared" si="58"/>
        <v>0.24706095584075152</v>
      </c>
      <c r="CC21" s="32">
        <f t="shared" si="35"/>
        <v>33.647133454426303</v>
      </c>
    </row>
    <row r="22" spans="4:81" x14ac:dyDescent="0.3">
      <c r="D22">
        <v>125</v>
      </c>
      <c r="E22">
        <v>78.2</v>
      </c>
      <c r="Q22" s="32">
        <v>15</v>
      </c>
      <c r="S22" s="99">
        <f t="shared" si="0"/>
        <v>60</v>
      </c>
      <c r="T22" s="97">
        <f t="shared" si="36"/>
        <v>0.03</v>
      </c>
      <c r="U22" s="97">
        <f t="shared" si="1"/>
        <v>15</v>
      </c>
      <c r="V22" s="100">
        <f t="shared" si="2"/>
        <v>0.15</v>
      </c>
      <c r="W22" s="99">
        <f t="shared" si="3"/>
        <v>1</v>
      </c>
      <c r="X22" s="97">
        <f t="shared" si="4"/>
        <v>0.54772255750516607</v>
      </c>
      <c r="Y22" s="100">
        <f t="shared" si="5"/>
        <v>0.18257418583505536</v>
      </c>
      <c r="Z22" s="99">
        <f t="shared" si="6"/>
        <v>0.32863353450309968</v>
      </c>
      <c r="AA22" s="97">
        <f t="shared" si="37"/>
        <v>0.32863353450309968</v>
      </c>
      <c r="AB22" s="97">
        <f t="shared" si="38"/>
        <v>0.16214401857684413</v>
      </c>
      <c r="AC22" s="97">
        <v>0</v>
      </c>
      <c r="AD22" s="97">
        <f t="shared" si="7"/>
        <v>2.6290682760247974E-4</v>
      </c>
      <c r="AE22" s="100">
        <f t="shared" si="39"/>
        <v>2.6290682760247974E-4</v>
      </c>
      <c r="AF22" s="99">
        <f t="shared" si="8"/>
        <v>8.2158383625774906E-2</v>
      </c>
      <c r="AG22" s="97">
        <f t="shared" si="9"/>
        <v>0.14042083915924297</v>
      </c>
      <c r="AH22" s="97">
        <f t="shared" si="10"/>
        <v>1.0218469776912945E-3</v>
      </c>
      <c r="AI22" s="97">
        <f t="shared" si="40"/>
        <v>0.1575</v>
      </c>
      <c r="AJ22" s="100">
        <f t="shared" si="41"/>
        <v>0.15852184697769128</v>
      </c>
      <c r="AK22" s="99">
        <f t="shared" si="11"/>
        <v>2.7386127875258303E-2</v>
      </c>
      <c r="AL22" s="97">
        <f t="shared" si="12"/>
        <v>8.1072009288422064E-2</v>
      </c>
      <c r="AM22" s="97">
        <f t="shared" si="13"/>
        <v>1.2599999999999998E-2</v>
      </c>
      <c r="AN22" s="97">
        <f t="shared" si="14"/>
        <v>0.75525000000000009</v>
      </c>
      <c r="AO22" s="100">
        <f t="shared" si="42"/>
        <v>0.76785000000000003</v>
      </c>
      <c r="AP22" s="99">
        <f t="shared" si="43"/>
        <v>0</v>
      </c>
      <c r="AQ22" s="97">
        <f t="shared" si="15"/>
        <v>8.7499999999999994E-2</v>
      </c>
      <c r="AR22" s="100">
        <f t="shared" si="16"/>
        <v>1.155E-2</v>
      </c>
      <c r="AS22" s="99">
        <f t="shared" si="17"/>
        <v>0.25757184697769125</v>
      </c>
      <c r="AT22" s="215">
        <f t="shared" si="18"/>
        <v>40.454310818661476</v>
      </c>
      <c r="AU22" s="216">
        <f t="shared" si="19"/>
        <v>5.7016181107237753E-2</v>
      </c>
      <c r="AV22" s="97">
        <f t="shared" si="20"/>
        <v>1.7999999999999998</v>
      </c>
      <c r="AW22" s="100">
        <f t="shared" si="44"/>
        <v>87.481756840907835</v>
      </c>
      <c r="AX22" s="32"/>
      <c r="AY22" s="99">
        <f t="shared" si="21"/>
        <v>60</v>
      </c>
      <c r="AZ22" s="97">
        <f t="shared" si="22"/>
        <v>0.03</v>
      </c>
      <c r="BA22" s="97">
        <f t="shared" si="23"/>
        <v>15</v>
      </c>
      <c r="BB22" s="100">
        <f t="shared" si="24"/>
        <v>0.15</v>
      </c>
      <c r="BC22" s="99">
        <f t="shared" si="25"/>
        <v>1</v>
      </c>
      <c r="BD22" s="97">
        <f t="shared" si="26"/>
        <v>0.54772255750516607</v>
      </c>
      <c r="BE22" s="100">
        <f t="shared" si="27"/>
        <v>0.18257418583505536</v>
      </c>
      <c r="BF22" s="99">
        <f t="shared" si="28"/>
        <v>0.32863353450309968</v>
      </c>
      <c r="BG22" s="97">
        <f t="shared" si="60"/>
        <v>0.32863353450309968</v>
      </c>
      <c r="BH22" s="97">
        <f t="shared" si="61"/>
        <v>0.16214401857684413</v>
      </c>
      <c r="BI22" s="97">
        <v>0</v>
      </c>
      <c r="BJ22" s="97">
        <f t="shared" si="29"/>
        <v>2.6290682760247974E-4</v>
      </c>
      <c r="BK22" s="100">
        <f t="shared" si="47"/>
        <v>2.6290682760247974E-4</v>
      </c>
      <c r="BL22" s="99">
        <f t="shared" si="59"/>
        <v>8.2158383625774906E-2</v>
      </c>
      <c r="BM22" s="97">
        <f t="shared" si="48"/>
        <v>0.14042083915924297</v>
      </c>
      <c r="BN22" s="97">
        <f t="shared" si="49"/>
        <v>1.1242457472684241E-3</v>
      </c>
      <c r="BO22" s="97">
        <f t="shared" si="50"/>
        <v>0.1575</v>
      </c>
      <c r="BP22" s="100">
        <f t="shared" si="51"/>
        <v>0.15862424574726844</v>
      </c>
      <c r="BQ22" s="99">
        <f t="shared" si="52"/>
        <v>2.7386127875258303E-2</v>
      </c>
      <c r="BR22" s="97">
        <f t="shared" si="30"/>
        <v>8.1072009288422064E-2</v>
      </c>
      <c r="BS22" s="97">
        <f t="shared" si="31"/>
        <v>1.2599999999999998E-2</v>
      </c>
      <c r="BT22" s="97">
        <f t="shared" si="32"/>
        <v>0.75525000000000009</v>
      </c>
      <c r="BU22" s="100">
        <f t="shared" si="53"/>
        <v>0.76785000000000003</v>
      </c>
      <c r="BV22" s="99">
        <f t="shared" si="54"/>
        <v>0</v>
      </c>
      <c r="BW22" s="97">
        <f t="shared" si="33"/>
        <v>8.7499999999999994E-2</v>
      </c>
      <c r="BX22" s="100">
        <f t="shared" si="34"/>
        <v>1.155E-2</v>
      </c>
      <c r="BY22" s="99">
        <f t="shared" si="55"/>
        <v>1.0257871525748707</v>
      </c>
      <c r="BZ22" s="97">
        <f t="shared" si="56"/>
        <v>1.7999999999999998</v>
      </c>
      <c r="CA22" s="100">
        <f t="shared" si="57"/>
        <v>63.699065174099587</v>
      </c>
      <c r="CB22" s="51">
        <f t="shared" si="58"/>
        <v>0.25767424574726844</v>
      </c>
      <c r="CC22" s="32">
        <f t="shared" si="35"/>
        <v>34.018598601154395</v>
      </c>
    </row>
    <row r="23" spans="4:81" x14ac:dyDescent="0.3">
      <c r="Q23" s="32">
        <v>16</v>
      </c>
      <c r="S23" s="99">
        <f t="shared" si="0"/>
        <v>60</v>
      </c>
      <c r="T23" s="97">
        <f t="shared" si="36"/>
        <v>3.2000000000000001E-2</v>
      </c>
      <c r="U23" s="97">
        <f t="shared" si="1"/>
        <v>15</v>
      </c>
      <c r="V23" s="100">
        <f t="shared" si="2"/>
        <v>0.16</v>
      </c>
      <c r="W23" s="99">
        <f t="shared" si="3"/>
        <v>1</v>
      </c>
      <c r="X23" s="97">
        <f t="shared" si="4"/>
        <v>0.56568542494923801</v>
      </c>
      <c r="Y23" s="100">
        <f t="shared" si="5"/>
        <v>0.18856180831641264</v>
      </c>
      <c r="Z23" s="99">
        <f t="shared" si="6"/>
        <v>0.33941125496954283</v>
      </c>
      <c r="AA23" s="97">
        <f t="shared" si="37"/>
        <v>0.33941125496954283</v>
      </c>
      <c r="AB23" s="97">
        <f t="shared" si="38"/>
        <v>0.17018546870223966</v>
      </c>
      <c r="AC23" s="97">
        <v>0</v>
      </c>
      <c r="AD23" s="97">
        <f t="shared" si="7"/>
        <v>2.8963093757400994E-4</v>
      </c>
      <c r="AE23" s="100">
        <f t="shared" si="39"/>
        <v>2.8963093757400994E-4</v>
      </c>
      <c r="AF23" s="99">
        <f t="shared" si="8"/>
        <v>9.0509667991878082E-2</v>
      </c>
      <c r="AG23" s="97">
        <f t="shared" si="9"/>
        <v>0.14738493925110102</v>
      </c>
      <c r="AH23" s="97">
        <f t="shared" si="10"/>
        <v>1.1257162885605729E-3</v>
      </c>
      <c r="AI23" s="97">
        <f t="shared" si="40"/>
        <v>0.16799999999999998</v>
      </c>
      <c r="AJ23" s="100">
        <f t="shared" si="41"/>
        <v>0.16912571628856055</v>
      </c>
      <c r="AK23" s="99">
        <f t="shared" si="11"/>
        <v>3.0169889330626025E-2</v>
      </c>
      <c r="AL23" s="97">
        <f t="shared" si="12"/>
        <v>8.5092734351119817E-2</v>
      </c>
      <c r="AM23" s="97">
        <f t="shared" si="13"/>
        <v>1.3440000000000001E-2</v>
      </c>
      <c r="AN23" s="97">
        <f t="shared" si="14"/>
        <v>0.75525000000000009</v>
      </c>
      <c r="AO23" s="100">
        <f t="shared" si="42"/>
        <v>0.7686900000000001</v>
      </c>
      <c r="AP23" s="99">
        <f t="shared" si="43"/>
        <v>0</v>
      </c>
      <c r="AQ23" s="97">
        <f t="shared" si="15"/>
        <v>8.7499999999999994E-2</v>
      </c>
      <c r="AR23" s="100">
        <f t="shared" si="16"/>
        <v>1.155E-2</v>
      </c>
      <c r="AS23" s="99">
        <f t="shared" si="17"/>
        <v>0.26817571628856057</v>
      </c>
      <c r="AT23" s="215">
        <f t="shared" si="18"/>
        <v>41.090542977313632</v>
      </c>
      <c r="AU23" s="216">
        <f t="shared" si="19"/>
        <v>5.7171490749791866E-2</v>
      </c>
      <c r="AV23" s="97">
        <f t="shared" si="20"/>
        <v>1.92</v>
      </c>
      <c r="AW23" s="100">
        <f t="shared" si="44"/>
        <v>87.744324448338972</v>
      </c>
      <c r="AX23" s="32"/>
      <c r="AY23" s="99">
        <f t="shared" si="21"/>
        <v>60</v>
      </c>
      <c r="AZ23" s="97">
        <f t="shared" si="22"/>
        <v>3.2000000000000001E-2</v>
      </c>
      <c r="BA23" s="97">
        <f t="shared" si="23"/>
        <v>15</v>
      </c>
      <c r="BB23" s="100">
        <f t="shared" si="24"/>
        <v>0.16</v>
      </c>
      <c r="BC23" s="99">
        <f t="shared" si="25"/>
        <v>1</v>
      </c>
      <c r="BD23" s="97">
        <f t="shared" si="26"/>
        <v>0.56568542494923801</v>
      </c>
      <c r="BE23" s="100">
        <f t="shared" si="27"/>
        <v>0.18856180831641264</v>
      </c>
      <c r="BF23" s="99">
        <f t="shared" si="28"/>
        <v>0.33941125496954283</v>
      </c>
      <c r="BG23" s="97">
        <f t="shared" si="60"/>
        <v>0.33941125496954283</v>
      </c>
      <c r="BH23" s="97">
        <f t="shared" si="61"/>
        <v>0.17018546870223966</v>
      </c>
      <c r="BI23" s="97">
        <v>0</v>
      </c>
      <c r="BJ23" s="97">
        <f t="shared" si="29"/>
        <v>2.8963093757400994E-4</v>
      </c>
      <c r="BK23" s="100">
        <f t="shared" si="47"/>
        <v>2.8963093757400994E-4</v>
      </c>
      <c r="BL23" s="99">
        <f t="shared" si="59"/>
        <v>9.0509667991878082E-2</v>
      </c>
      <c r="BM23" s="97">
        <f t="shared" si="48"/>
        <v>0.14738493925110102</v>
      </c>
      <c r="BN23" s="97">
        <f t="shared" si="49"/>
        <v>1.2418974351274537E-3</v>
      </c>
      <c r="BO23" s="97">
        <f t="shared" si="50"/>
        <v>0.16799999999999998</v>
      </c>
      <c r="BP23" s="100">
        <f t="shared" si="51"/>
        <v>0.16924189743512744</v>
      </c>
      <c r="BQ23" s="99">
        <f t="shared" si="52"/>
        <v>3.0169889330626025E-2</v>
      </c>
      <c r="BR23" s="97">
        <f t="shared" si="30"/>
        <v>8.5092734351119817E-2</v>
      </c>
      <c r="BS23" s="97">
        <f t="shared" si="31"/>
        <v>1.3440000000000001E-2</v>
      </c>
      <c r="BT23" s="97">
        <f t="shared" si="32"/>
        <v>0.75525000000000009</v>
      </c>
      <c r="BU23" s="100">
        <f t="shared" si="53"/>
        <v>0.7686900000000001</v>
      </c>
      <c r="BV23" s="99">
        <f t="shared" si="54"/>
        <v>0</v>
      </c>
      <c r="BW23" s="97">
        <f t="shared" si="33"/>
        <v>8.7499999999999994E-2</v>
      </c>
      <c r="BX23" s="100">
        <f t="shared" si="34"/>
        <v>1.155E-2</v>
      </c>
      <c r="BY23" s="99">
        <f t="shared" si="55"/>
        <v>1.0372715283727014</v>
      </c>
      <c r="BZ23" s="97">
        <f t="shared" si="56"/>
        <v>1.92</v>
      </c>
      <c r="CA23" s="100">
        <f t="shared" si="57"/>
        <v>64.924711227193896</v>
      </c>
      <c r="CB23" s="51">
        <f t="shared" si="58"/>
        <v>0.26829189743512744</v>
      </c>
      <c r="CC23" s="32">
        <f t="shared" si="35"/>
        <v>34.390216410229456</v>
      </c>
    </row>
    <row r="24" spans="4:81" x14ac:dyDescent="0.3">
      <c r="D24">
        <v>25</v>
      </c>
      <c r="E24">
        <v>51.8</v>
      </c>
      <c r="Q24" s="32">
        <v>17</v>
      </c>
      <c r="S24" s="99">
        <f t="shared" si="0"/>
        <v>60</v>
      </c>
      <c r="T24" s="97">
        <f t="shared" si="36"/>
        <v>3.4000000000000002E-2</v>
      </c>
      <c r="U24" s="97">
        <f t="shared" si="1"/>
        <v>15</v>
      </c>
      <c r="V24" s="100">
        <f t="shared" si="2"/>
        <v>0.17</v>
      </c>
      <c r="W24" s="99">
        <f t="shared" si="3"/>
        <v>1</v>
      </c>
      <c r="X24" s="97">
        <f t="shared" si="4"/>
        <v>0.5830951894845301</v>
      </c>
      <c r="Y24" s="100">
        <f t="shared" si="5"/>
        <v>0.19436506316151009</v>
      </c>
      <c r="Z24" s="99">
        <f t="shared" si="6"/>
        <v>0.34985711369071815</v>
      </c>
      <c r="AA24" s="97">
        <f t="shared" si="37"/>
        <v>0.34985711369071815</v>
      </c>
      <c r="AB24" s="97">
        <f t="shared" si="38"/>
        <v>0.178102156943588</v>
      </c>
      <c r="AC24" s="97">
        <v>0</v>
      </c>
      <c r="AD24" s="97">
        <f t="shared" si="7"/>
        <v>3.1720378307958453E-4</v>
      </c>
      <c r="AE24" s="100">
        <f t="shared" si="39"/>
        <v>3.1720378307958453E-4</v>
      </c>
      <c r="AF24" s="99">
        <f t="shared" si="8"/>
        <v>9.9126182212370129E-2</v>
      </c>
      <c r="AG24" s="97">
        <f t="shared" si="9"/>
        <v>0.15424099238195027</v>
      </c>
      <c r="AH24" s="97">
        <f t="shared" si="10"/>
        <v>1.2328844024629703E-3</v>
      </c>
      <c r="AI24" s="97">
        <f t="shared" si="40"/>
        <v>0.17850000000000002</v>
      </c>
      <c r="AJ24" s="100">
        <f t="shared" si="41"/>
        <v>0.17973288440246299</v>
      </c>
      <c r="AK24" s="99">
        <f t="shared" si="11"/>
        <v>3.3042060737456719E-2</v>
      </c>
      <c r="AL24" s="97">
        <f t="shared" si="12"/>
        <v>8.9051078471794026E-2</v>
      </c>
      <c r="AM24" s="97">
        <f t="shared" si="13"/>
        <v>1.4280000000000001E-2</v>
      </c>
      <c r="AN24" s="97">
        <f t="shared" si="14"/>
        <v>0.75525000000000009</v>
      </c>
      <c r="AO24" s="100">
        <f t="shared" si="42"/>
        <v>0.76953000000000005</v>
      </c>
      <c r="AP24" s="99">
        <f t="shared" si="43"/>
        <v>0</v>
      </c>
      <c r="AQ24" s="97">
        <f t="shared" si="15"/>
        <v>8.7499999999999994E-2</v>
      </c>
      <c r="AR24" s="100">
        <f t="shared" si="16"/>
        <v>1.155E-2</v>
      </c>
      <c r="AS24" s="99">
        <f t="shared" si="17"/>
        <v>0.27878288440246296</v>
      </c>
      <c r="AT24" s="215">
        <f t="shared" si="18"/>
        <v>41.726973064147778</v>
      </c>
      <c r="AU24" s="216">
        <f t="shared" si="19"/>
        <v>5.7326848708286589E-2</v>
      </c>
      <c r="AV24" s="97">
        <f t="shared" si="20"/>
        <v>2.04</v>
      </c>
      <c r="AW24" s="100">
        <f t="shared" si="44"/>
        <v>87.977188969362956</v>
      </c>
      <c r="AX24" s="32"/>
      <c r="AY24" s="99">
        <f t="shared" si="21"/>
        <v>60</v>
      </c>
      <c r="AZ24" s="97">
        <f t="shared" si="22"/>
        <v>3.4000000000000002E-2</v>
      </c>
      <c r="BA24" s="97">
        <f t="shared" si="23"/>
        <v>15</v>
      </c>
      <c r="BB24" s="100">
        <f t="shared" si="24"/>
        <v>0.17</v>
      </c>
      <c r="BC24" s="99">
        <f t="shared" si="25"/>
        <v>1</v>
      </c>
      <c r="BD24" s="97">
        <f t="shared" si="26"/>
        <v>0.5830951894845301</v>
      </c>
      <c r="BE24" s="100">
        <f t="shared" si="27"/>
        <v>0.19436506316151009</v>
      </c>
      <c r="BF24" s="99">
        <f t="shared" si="28"/>
        <v>0.34985711369071815</v>
      </c>
      <c r="BG24" s="97">
        <f t="shared" si="60"/>
        <v>0.34985711369071815</v>
      </c>
      <c r="BH24" s="97">
        <f t="shared" si="61"/>
        <v>0.178102156943588</v>
      </c>
      <c r="BI24" s="97">
        <v>0</v>
      </c>
      <c r="BJ24" s="97">
        <f t="shared" si="29"/>
        <v>3.1720378307958453E-4</v>
      </c>
      <c r="BK24" s="100">
        <f t="shared" si="47"/>
        <v>3.1720378307958453E-4</v>
      </c>
      <c r="BL24" s="99">
        <f t="shared" si="59"/>
        <v>9.9126182212370129E-2</v>
      </c>
      <c r="BM24" s="97">
        <f t="shared" si="48"/>
        <v>0.15424099238195027</v>
      </c>
      <c r="BN24" s="97">
        <f t="shared" si="49"/>
        <v>1.3638219961724625E-3</v>
      </c>
      <c r="BO24" s="97">
        <f t="shared" si="50"/>
        <v>0.17850000000000002</v>
      </c>
      <c r="BP24" s="100">
        <f t="shared" si="51"/>
        <v>0.17986382199617248</v>
      </c>
      <c r="BQ24" s="99">
        <f t="shared" si="52"/>
        <v>3.3042060737456719E-2</v>
      </c>
      <c r="BR24" s="97">
        <f t="shared" si="30"/>
        <v>8.9051078471794026E-2</v>
      </c>
      <c r="BS24" s="97">
        <f t="shared" si="31"/>
        <v>1.4280000000000001E-2</v>
      </c>
      <c r="BT24" s="97">
        <f t="shared" si="32"/>
        <v>0.75525000000000009</v>
      </c>
      <c r="BU24" s="100">
        <f t="shared" si="53"/>
        <v>0.76953000000000005</v>
      </c>
      <c r="BV24" s="99">
        <f t="shared" si="54"/>
        <v>0</v>
      </c>
      <c r="BW24" s="97">
        <f t="shared" si="33"/>
        <v>8.7499999999999994E-2</v>
      </c>
      <c r="BX24" s="100">
        <f t="shared" si="34"/>
        <v>1.155E-2</v>
      </c>
      <c r="BY24" s="99">
        <f t="shared" si="55"/>
        <v>1.0487610257792519</v>
      </c>
      <c r="BZ24" s="97">
        <f t="shared" si="56"/>
        <v>2.04</v>
      </c>
      <c r="CA24" s="100">
        <f t="shared" si="57"/>
        <v>66.045899406715549</v>
      </c>
      <c r="CB24" s="51">
        <f t="shared" si="58"/>
        <v>0.27891382199617248</v>
      </c>
      <c r="CC24" s="32">
        <f t="shared" si="35"/>
        <v>34.761983769866035</v>
      </c>
    </row>
    <row r="25" spans="4:81" x14ac:dyDescent="0.3">
      <c r="Q25" s="32">
        <v>18</v>
      </c>
      <c r="S25" s="99">
        <f t="shared" si="0"/>
        <v>60</v>
      </c>
      <c r="T25" s="97">
        <f t="shared" si="36"/>
        <v>3.6000000000000004E-2</v>
      </c>
      <c r="U25" s="97">
        <f t="shared" si="1"/>
        <v>15</v>
      </c>
      <c r="V25" s="100">
        <f t="shared" si="2"/>
        <v>0.18000000000000002</v>
      </c>
      <c r="W25" s="99">
        <f t="shared" si="3"/>
        <v>1</v>
      </c>
      <c r="X25" s="97">
        <f t="shared" si="4"/>
        <v>0.6</v>
      </c>
      <c r="Y25" s="100">
        <f t="shared" si="5"/>
        <v>0.2</v>
      </c>
      <c r="Z25" s="99">
        <f t="shared" si="6"/>
        <v>0.36000000000000004</v>
      </c>
      <c r="AA25" s="97">
        <f t="shared" si="37"/>
        <v>0.36000000000000004</v>
      </c>
      <c r="AB25" s="97">
        <f t="shared" si="38"/>
        <v>0.18590320061795601</v>
      </c>
      <c r="AC25" s="97">
        <v>0</v>
      </c>
      <c r="AD25" s="97">
        <f t="shared" si="7"/>
        <v>3.456E-4</v>
      </c>
      <c r="AE25" s="100">
        <f t="shared" si="39"/>
        <v>3.456E-4</v>
      </c>
      <c r="AF25" s="99">
        <f t="shared" si="8"/>
        <v>0.10800000000000001</v>
      </c>
      <c r="AG25" s="97">
        <f t="shared" si="9"/>
        <v>0.16099689437998488</v>
      </c>
      <c r="AH25" s="97">
        <f t="shared" si="10"/>
        <v>1.3432527360000006E-3</v>
      </c>
      <c r="AI25" s="97">
        <f t="shared" si="40"/>
        <v>0.189</v>
      </c>
      <c r="AJ25" s="100">
        <f t="shared" si="41"/>
        <v>0.190343252736</v>
      </c>
      <c r="AK25" s="99">
        <f t="shared" si="11"/>
        <v>3.6000000000000004E-2</v>
      </c>
      <c r="AL25" s="97">
        <f t="shared" si="12"/>
        <v>9.2951600308978005E-2</v>
      </c>
      <c r="AM25" s="97">
        <f t="shared" si="13"/>
        <v>1.5120000000000001E-2</v>
      </c>
      <c r="AN25" s="97">
        <f t="shared" si="14"/>
        <v>0.75525000000000009</v>
      </c>
      <c r="AO25" s="100">
        <f t="shared" si="42"/>
        <v>0.77037000000000011</v>
      </c>
      <c r="AP25" s="99">
        <f t="shared" si="43"/>
        <v>0</v>
      </c>
      <c r="AQ25" s="97">
        <f t="shared" si="15"/>
        <v>8.7499999999999994E-2</v>
      </c>
      <c r="AR25" s="100">
        <f t="shared" si="16"/>
        <v>1.155E-2</v>
      </c>
      <c r="AS25" s="99">
        <f t="shared" si="17"/>
        <v>0.28939325273599997</v>
      </c>
      <c r="AT25" s="215">
        <f t="shared" si="18"/>
        <v>42.363595164160003</v>
      </c>
      <c r="AU25" s="216">
        <f t="shared" si="19"/>
        <v>5.7482253538819535E-2</v>
      </c>
      <c r="AV25" s="97">
        <f t="shared" si="20"/>
        <v>2.16</v>
      </c>
      <c r="AW25" s="100">
        <f t="shared" si="44"/>
        <v>88.185104518731549</v>
      </c>
      <c r="AX25" s="32"/>
      <c r="AY25" s="99">
        <f t="shared" si="21"/>
        <v>60</v>
      </c>
      <c r="AZ25" s="97">
        <f t="shared" si="22"/>
        <v>3.6000000000000004E-2</v>
      </c>
      <c r="BA25" s="97">
        <f t="shared" si="23"/>
        <v>15</v>
      </c>
      <c r="BB25" s="100">
        <f t="shared" si="24"/>
        <v>0.18000000000000002</v>
      </c>
      <c r="BC25" s="99">
        <f t="shared" si="25"/>
        <v>1</v>
      </c>
      <c r="BD25" s="97">
        <f t="shared" si="26"/>
        <v>0.6</v>
      </c>
      <c r="BE25" s="100">
        <f t="shared" si="27"/>
        <v>0.2</v>
      </c>
      <c r="BF25" s="99">
        <f t="shared" si="28"/>
        <v>0.36000000000000004</v>
      </c>
      <c r="BG25" s="97">
        <f t="shared" si="60"/>
        <v>0.36000000000000004</v>
      </c>
      <c r="BH25" s="97">
        <f t="shared" si="61"/>
        <v>0.18590320061795601</v>
      </c>
      <c r="BI25" s="97">
        <v>0</v>
      </c>
      <c r="BJ25" s="97">
        <f t="shared" si="29"/>
        <v>3.456E-4</v>
      </c>
      <c r="BK25" s="100">
        <f t="shared" si="47"/>
        <v>3.456E-4</v>
      </c>
      <c r="BL25" s="99">
        <f t="shared" si="59"/>
        <v>0.10800000000000001</v>
      </c>
      <c r="BM25" s="97">
        <f t="shared" si="48"/>
        <v>0.16099689437998488</v>
      </c>
      <c r="BN25" s="97">
        <f t="shared" si="49"/>
        <v>1.4899400117262026E-3</v>
      </c>
      <c r="BO25" s="97">
        <f t="shared" si="50"/>
        <v>0.189</v>
      </c>
      <c r="BP25" s="100">
        <f t="shared" si="51"/>
        <v>0.1904899400117262</v>
      </c>
      <c r="BQ25" s="99">
        <f t="shared" si="52"/>
        <v>3.6000000000000004E-2</v>
      </c>
      <c r="BR25" s="97">
        <f t="shared" si="30"/>
        <v>9.2951600308978005E-2</v>
      </c>
      <c r="BS25" s="97">
        <f t="shared" si="31"/>
        <v>1.5120000000000001E-2</v>
      </c>
      <c r="BT25" s="97">
        <f t="shared" si="32"/>
        <v>0.75525000000000009</v>
      </c>
      <c r="BU25" s="100">
        <f t="shared" si="53"/>
        <v>0.77037000000000011</v>
      </c>
      <c r="BV25" s="99">
        <f t="shared" si="54"/>
        <v>0</v>
      </c>
      <c r="BW25" s="97">
        <f t="shared" si="33"/>
        <v>8.7499999999999994E-2</v>
      </c>
      <c r="BX25" s="100">
        <f t="shared" si="34"/>
        <v>1.155E-2</v>
      </c>
      <c r="BY25" s="99">
        <f t="shared" si="55"/>
        <v>1.0602555400117262</v>
      </c>
      <c r="BZ25" s="97">
        <f t="shared" si="56"/>
        <v>2.16</v>
      </c>
      <c r="CA25" s="100">
        <f t="shared" si="57"/>
        <v>67.075422219198629</v>
      </c>
      <c r="CB25" s="51">
        <f t="shared" si="58"/>
        <v>0.28953994001172617</v>
      </c>
      <c r="CC25" s="32">
        <f t="shared" si="35"/>
        <v>35.133897900410417</v>
      </c>
    </row>
    <row r="26" spans="4:81" x14ac:dyDescent="0.3">
      <c r="Q26" s="32">
        <v>19</v>
      </c>
      <c r="S26" s="99">
        <f t="shared" si="0"/>
        <v>60</v>
      </c>
      <c r="T26" s="97">
        <f t="shared" si="36"/>
        <v>3.7999999999999999E-2</v>
      </c>
      <c r="U26" s="97">
        <f t="shared" si="1"/>
        <v>15</v>
      </c>
      <c r="V26" s="100">
        <f t="shared" si="2"/>
        <v>0.18999999999999997</v>
      </c>
      <c r="W26" s="99">
        <f t="shared" si="3"/>
        <v>1</v>
      </c>
      <c r="X26" s="97">
        <f t="shared" si="4"/>
        <v>0.61644140029689765</v>
      </c>
      <c r="Y26" s="100">
        <f t="shared" si="5"/>
        <v>0.20548046676563253</v>
      </c>
      <c r="Z26" s="99">
        <f t="shared" si="6"/>
        <v>0.36986484017813864</v>
      </c>
      <c r="AA26" s="97">
        <f t="shared" si="37"/>
        <v>0.36986484017813864</v>
      </c>
      <c r="AB26" s="97">
        <f t="shared" si="38"/>
        <v>0.19359658348754863</v>
      </c>
      <c r="AC26" s="97">
        <v>0</v>
      </c>
      <c r="AD26" s="97">
        <f t="shared" si="7"/>
        <v>3.7479637138051385E-4</v>
      </c>
      <c r="AE26" s="100">
        <f t="shared" si="39"/>
        <v>3.7479637138051385E-4</v>
      </c>
      <c r="AF26" s="99">
        <f t="shared" si="8"/>
        <v>0.11712386605641054</v>
      </c>
      <c r="AG26" s="97">
        <f t="shared" si="9"/>
        <v>0.16765955938609212</v>
      </c>
      <c r="AH26" s="97">
        <f t="shared" si="10"/>
        <v>1.4567310512145477E-3</v>
      </c>
      <c r="AI26" s="97">
        <f t="shared" si="40"/>
        <v>0.19949999999999996</v>
      </c>
      <c r="AJ26" s="100">
        <f t="shared" si="41"/>
        <v>0.2009567310512145</v>
      </c>
      <c r="AK26" s="99">
        <f t="shared" si="11"/>
        <v>3.9041288685470174E-2</v>
      </c>
      <c r="AL26" s="97">
        <f t="shared" si="12"/>
        <v>9.6798291743774315E-2</v>
      </c>
      <c r="AM26" s="97">
        <f t="shared" si="13"/>
        <v>1.5959999999999998E-2</v>
      </c>
      <c r="AN26" s="97">
        <f t="shared" si="14"/>
        <v>0.75525000000000009</v>
      </c>
      <c r="AO26" s="100">
        <f t="shared" si="42"/>
        <v>0.77121000000000006</v>
      </c>
      <c r="AP26" s="99">
        <f t="shared" si="43"/>
        <v>0</v>
      </c>
      <c r="AQ26" s="97">
        <f t="shared" si="15"/>
        <v>8.7499999999999994E-2</v>
      </c>
      <c r="AR26" s="100">
        <f t="shared" si="16"/>
        <v>1.155E-2</v>
      </c>
      <c r="AS26" s="99">
        <f t="shared" si="17"/>
        <v>0.3000067310512145</v>
      </c>
      <c r="AT26" s="215">
        <f t="shared" si="18"/>
        <v>43.000403863072869</v>
      </c>
      <c r="AU26" s="216">
        <f t="shared" si="19"/>
        <v>5.763770391971984E-2</v>
      </c>
      <c r="AV26" s="97">
        <f t="shared" si="20"/>
        <v>2.2799999999999998</v>
      </c>
      <c r="AW26" s="100">
        <f t="shared" si="44"/>
        <v>88.371862466848</v>
      </c>
      <c r="AX26" s="32"/>
      <c r="AY26" s="99">
        <f t="shared" si="21"/>
        <v>60</v>
      </c>
      <c r="AZ26" s="97">
        <f t="shared" si="22"/>
        <v>3.7999999999999999E-2</v>
      </c>
      <c r="BA26" s="97">
        <f t="shared" si="23"/>
        <v>15</v>
      </c>
      <c r="BB26" s="100">
        <f t="shared" si="24"/>
        <v>0.18999999999999997</v>
      </c>
      <c r="BC26" s="99">
        <f t="shared" si="25"/>
        <v>1</v>
      </c>
      <c r="BD26" s="97">
        <f t="shared" si="26"/>
        <v>0.61644140029689765</v>
      </c>
      <c r="BE26" s="100">
        <f t="shared" si="27"/>
        <v>0.20548046676563253</v>
      </c>
      <c r="BF26" s="99">
        <f t="shared" si="28"/>
        <v>0.36986484017813864</v>
      </c>
      <c r="BG26" s="97">
        <f t="shared" si="60"/>
        <v>0.36986484017813864</v>
      </c>
      <c r="BH26" s="97">
        <f t="shared" si="61"/>
        <v>0.19359658348754863</v>
      </c>
      <c r="BI26" s="97">
        <v>0</v>
      </c>
      <c r="BJ26" s="97">
        <f t="shared" si="29"/>
        <v>3.7479637138051385E-4</v>
      </c>
      <c r="BK26" s="100">
        <f t="shared" si="47"/>
        <v>3.7479637138051385E-4</v>
      </c>
      <c r="BL26" s="99">
        <f t="shared" si="59"/>
        <v>0.11712386605641054</v>
      </c>
      <c r="BM26" s="97">
        <f t="shared" si="48"/>
        <v>0.16765955938609212</v>
      </c>
      <c r="BN26" s="97">
        <f t="shared" si="49"/>
        <v>1.6201801712861568E-3</v>
      </c>
      <c r="BO26" s="97">
        <f t="shared" si="50"/>
        <v>0.19949999999999996</v>
      </c>
      <c r="BP26" s="100">
        <f t="shared" si="51"/>
        <v>0.20112018017128611</v>
      </c>
      <c r="BQ26" s="99">
        <f t="shared" si="52"/>
        <v>3.9041288685470174E-2</v>
      </c>
      <c r="BR26" s="97">
        <f t="shared" si="30"/>
        <v>9.6798291743774315E-2</v>
      </c>
      <c r="BS26" s="97">
        <f t="shared" si="31"/>
        <v>1.5959999999999998E-2</v>
      </c>
      <c r="BT26" s="97">
        <f t="shared" si="32"/>
        <v>0.75525000000000009</v>
      </c>
      <c r="BU26" s="100">
        <f t="shared" si="53"/>
        <v>0.77121000000000006</v>
      </c>
      <c r="BV26" s="99">
        <f t="shared" si="54"/>
        <v>0</v>
      </c>
      <c r="BW26" s="97">
        <f t="shared" si="33"/>
        <v>8.7499999999999994E-2</v>
      </c>
      <c r="BX26" s="100">
        <f t="shared" si="34"/>
        <v>1.155E-2</v>
      </c>
      <c r="BY26" s="99">
        <f t="shared" si="55"/>
        <v>1.0717549765426666</v>
      </c>
      <c r="BZ26" s="97">
        <f t="shared" si="56"/>
        <v>2.2799999999999998</v>
      </c>
      <c r="CA26" s="100">
        <f t="shared" si="57"/>
        <v>68.024065480819203</v>
      </c>
      <c r="CB26" s="51">
        <f t="shared" si="58"/>
        <v>0.30017018017128611</v>
      </c>
      <c r="CC26" s="32">
        <f t="shared" si="35"/>
        <v>35.505956305995014</v>
      </c>
    </row>
    <row r="27" spans="4:81" x14ac:dyDescent="0.3">
      <c r="Q27" s="32">
        <v>20</v>
      </c>
      <c r="S27" s="99">
        <f t="shared" si="0"/>
        <v>60</v>
      </c>
      <c r="T27" s="97">
        <f t="shared" si="36"/>
        <v>0.04</v>
      </c>
      <c r="U27" s="97">
        <f t="shared" si="1"/>
        <v>15</v>
      </c>
      <c r="V27" s="100">
        <f t="shared" si="2"/>
        <v>0.19999999999999998</v>
      </c>
      <c r="W27" s="99">
        <f t="shared" si="3"/>
        <v>1</v>
      </c>
      <c r="X27" s="97">
        <f t="shared" si="4"/>
        <v>0.63245553203367588</v>
      </c>
      <c r="Y27" s="100">
        <f t="shared" si="5"/>
        <v>0.21081851067789195</v>
      </c>
      <c r="Z27" s="99">
        <f t="shared" si="6"/>
        <v>0.37947331922020555</v>
      </c>
      <c r="AA27" s="97">
        <f t="shared" si="37"/>
        <v>0.37947331922020555</v>
      </c>
      <c r="AB27" s="97">
        <f t="shared" si="38"/>
        <v>0.20118934874926969</v>
      </c>
      <c r="AC27" s="97">
        <v>0</v>
      </c>
      <c r="AD27" s="97">
        <f t="shared" si="7"/>
        <v>4.0477154050155264E-4</v>
      </c>
      <c r="AE27" s="100">
        <f t="shared" si="39"/>
        <v>4.0477154050155264E-4</v>
      </c>
      <c r="AF27" s="99">
        <f t="shared" si="8"/>
        <v>0.12649110640673517</v>
      </c>
      <c r="AG27" s="97">
        <f t="shared" si="9"/>
        <v>0.17423508698771453</v>
      </c>
      <c r="AH27" s="97">
        <f t="shared" si="10"/>
        <v>1.5732363403751319E-3</v>
      </c>
      <c r="AI27" s="97">
        <f t="shared" si="40"/>
        <v>0.20999999999999996</v>
      </c>
      <c r="AJ27" s="100">
        <f t="shared" si="41"/>
        <v>0.21157323634037509</v>
      </c>
      <c r="AK27" s="99">
        <f t="shared" si="11"/>
        <v>4.2163702135578386E-2</v>
      </c>
      <c r="AL27" s="97">
        <f t="shared" si="12"/>
        <v>0.10059467437463485</v>
      </c>
      <c r="AM27" s="97">
        <f t="shared" si="13"/>
        <v>1.6799999999999999E-2</v>
      </c>
      <c r="AN27" s="97">
        <f t="shared" si="14"/>
        <v>0.75525000000000009</v>
      </c>
      <c r="AO27" s="100">
        <f t="shared" si="42"/>
        <v>0.77205000000000013</v>
      </c>
      <c r="AP27" s="99">
        <f t="shared" si="43"/>
        <v>0</v>
      </c>
      <c r="AQ27" s="97">
        <f t="shared" si="15"/>
        <v>8.7499999999999994E-2</v>
      </c>
      <c r="AR27" s="100">
        <f t="shared" si="16"/>
        <v>1.155E-2</v>
      </c>
      <c r="AS27" s="99">
        <f t="shared" si="17"/>
        <v>0.31062323634037509</v>
      </c>
      <c r="AT27" s="215">
        <f t="shared" si="18"/>
        <v>43.637394180422504</v>
      </c>
      <c r="AU27" s="216">
        <f t="shared" si="19"/>
        <v>5.7793198635214232E-2</v>
      </c>
      <c r="AV27" s="97">
        <f t="shared" si="20"/>
        <v>2.4</v>
      </c>
      <c r="AW27" s="100">
        <f t="shared" si="44"/>
        <v>88.540523368354613</v>
      </c>
      <c r="AX27" s="32"/>
      <c r="AY27" s="99">
        <f t="shared" si="21"/>
        <v>60</v>
      </c>
      <c r="AZ27" s="97">
        <f t="shared" si="22"/>
        <v>0.04</v>
      </c>
      <c r="BA27" s="97">
        <f t="shared" si="23"/>
        <v>15</v>
      </c>
      <c r="BB27" s="100">
        <f t="shared" si="24"/>
        <v>0.19999999999999998</v>
      </c>
      <c r="BC27" s="99">
        <f t="shared" si="25"/>
        <v>1</v>
      </c>
      <c r="BD27" s="97">
        <f t="shared" si="26"/>
        <v>0.63245553203367588</v>
      </c>
      <c r="BE27" s="100">
        <f t="shared" si="27"/>
        <v>0.21081851067789195</v>
      </c>
      <c r="BF27" s="99">
        <f t="shared" si="28"/>
        <v>0.37947331922020555</v>
      </c>
      <c r="BG27" s="97">
        <f t="shared" si="60"/>
        <v>0.37947331922020555</v>
      </c>
      <c r="BH27" s="97">
        <f t="shared" si="61"/>
        <v>0.20118934874926969</v>
      </c>
      <c r="BI27" s="97">
        <v>0</v>
      </c>
      <c r="BJ27" s="97">
        <f t="shared" si="29"/>
        <v>4.0477154050155264E-4</v>
      </c>
      <c r="BK27" s="100">
        <f t="shared" si="47"/>
        <v>4.0477154050155264E-4</v>
      </c>
      <c r="BL27" s="99">
        <f t="shared" si="59"/>
        <v>0.12649110640673517</v>
      </c>
      <c r="BM27" s="97">
        <f t="shared" si="48"/>
        <v>0.17423508698771453</v>
      </c>
      <c r="BN27" s="97">
        <f t="shared" si="49"/>
        <v>1.7544781531565921E-3</v>
      </c>
      <c r="BO27" s="97">
        <f t="shared" si="50"/>
        <v>0.20999999999999996</v>
      </c>
      <c r="BP27" s="100">
        <f t="shared" si="51"/>
        <v>0.21175447815315657</v>
      </c>
      <c r="BQ27" s="99">
        <f t="shared" si="52"/>
        <v>4.2163702135578386E-2</v>
      </c>
      <c r="BR27" s="97">
        <f t="shared" si="30"/>
        <v>0.10059467437463485</v>
      </c>
      <c r="BS27" s="97">
        <f t="shared" si="31"/>
        <v>1.6799999999999999E-2</v>
      </c>
      <c r="BT27" s="97">
        <f t="shared" si="32"/>
        <v>0.75525000000000009</v>
      </c>
      <c r="BU27" s="100">
        <f t="shared" si="53"/>
        <v>0.77205000000000013</v>
      </c>
      <c r="BV27" s="99">
        <f t="shared" si="54"/>
        <v>0</v>
      </c>
      <c r="BW27" s="97">
        <f t="shared" si="33"/>
        <v>8.7499999999999994E-2</v>
      </c>
      <c r="BX27" s="100">
        <f t="shared" si="34"/>
        <v>1.155E-2</v>
      </c>
      <c r="BY27" s="99">
        <f t="shared" si="55"/>
        <v>1.0832592496936582</v>
      </c>
      <c r="BZ27" s="97">
        <f t="shared" si="56"/>
        <v>2.4</v>
      </c>
      <c r="CA27" s="100">
        <f t="shared" si="57"/>
        <v>68.900986919393731</v>
      </c>
      <c r="CB27" s="51">
        <f t="shared" si="58"/>
        <v>0.31080447815315654</v>
      </c>
      <c r="CC27" s="32">
        <f t="shared" si="35"/>
        <v>35.878156735360477</v>
      </c>
    </row>
    <row r="28" spans="4:81" x14ac:dyDescent="0.3">
      <c r="Q28" s="32">
        <v>21</v>
      </c>
      <c r="S28" s="99">
        <f t="shared" si="0"/>
        <v>60</v>
      </c>
      <c r="T28" s="97">
        <f t="shared" si="36"/>
        <v>4.2000000000000003E-2</v>
      </c>
      <c r="U28" s="97">
        <f t="shared" si="1"/>
        <v>15</v>
      </c>
      <c r="V28" s="100">
        <f t="shared" si="2"/>
        <v>0.21</v>
      </c>
      <c r="W28" s="99">
        <f t="shared" si="3"/>
        <v>1</v>
      </c>
      <c r="X28" s="97">
        <f t="shared" si="4"/>
        <v>0.64807406984078597</v>
      </c>
      <c r="Y28" s="100">
        <f t="shared" si="5"/>
        <v>0.21602468994692867</v>
      </c>
      <c r="Z28" s="99">
        <f t="shared" si="6"/>
        <v>0.38884444190447159</v>
      </c>
      <c r="AA28" s="97">
        <f t="shared" si="37"/>
        <v>0.38884444190447159</v>
      </c>
      <c r="AB28" s="97">
        <f t="shared" si="38"/>
        <v>0.20868775118176155</v>
      </c>
      <c r="AC28" s="97">
        <v>0</v>
      </c>
      <c r="AD28" s="97">
        <f t="shared" si="7"/>
        <v>4.3550577493300826E-4</v>
      </c>
      <c r="AE28" s="100">
        <f t="shared" si="39"/>
        <v>4.3550577493300826E-4</v>
      </c>
      <c r="AF28" s="99">
        <f t="shared" si="8"/>
        <v>0.13609555466656506</v>
      </c>
      <c r="AG28" s="97">
        <f t="shared" si="9"/>
        <v>0.1807288939820515</v>
      </c>
      <c r="AH28" s="97">
        <f t="shared" si="10"/>
        <v>1.6926919089194547E-3</v>
      </c>
      <c r="AI28" s="97">
        <f t="shared" si="40"/>
        <v>0.2205</v>
      </c>
      <c r="AJ28" s="100">
        <f t="shared" si="41"/>
        <v>0.22219269190891947</v>
      </c>
      <c r="AK28" s="99">
        <f t="shared" si="11"/>
        <v>4.536518488885502E-2</v>
      </c>
      <c r="AL28" s="97">
        <f t="shared" si="12"/>
        <v>0.10434387559088078</v>
      </c>
      <c r="AM28" s="97">
        <f t="shared" si="13"/>
        <v>1.7639999999999999E-2</v>
      </c>
      <c r="AN28" s="97">
        <f t="shared" si="14"/>
        <v>0.75525000000000009</v>
      </c>
      <c r="AO28" s="100">
        <f t="shared" si="42"/>
        <v>0.77289000000000008</v>
      </c>
      <c r="AP28" s="99">
        <f t="shared" si="43"/>
        <v>0</v>
      </c>
      <c r="AQ28" s="97">
        <f t="shared" si="15"/>
        <v>8.7499999999999994E-2</v>
      </c>
      <c r="AR28" s="100">
        <f t="shared" si="16"/>
        <v>1.155E-2</v>
      </c>
      <c r="AS28" s="99">
        <f t="shared" si="17"/>
        <v>0.32124269190891946</v>
      </c>
      <c r="AT28" s="215">
        <f t="shared" si="18"/>
        <v>44.274561514535165</v>
      </c>
      <c r="AU28" s="216">
        <f t="shared" si="19"/>
        <v>5.7948736561995284E-2</v>
      </c>
      <c r="AV28" s="97">
        <f t="shared" si="20"/>
        <v>2.52</v>
      </c>
      <c r="AW28" s="100">
        <f t="shared" si="44"/>
        <v>88.693584929448988</v>
      </c>
      <c r="AX28" s="32"/>
      <c r="AY28" s="99">
        <f t="shared" si="21"/>
        <v>60</v>
      </c>
      <c r="AZ28" s="97">
        <f t="shared" si="22"/>
        <v>4.2000000000000003E-2</v>
      </c>
      <c r="BA28" s="97">
        <f t="shared" si="23"/>
        <v>15</v>
      </c>
      <c r="BB28" s="100">
        <f t="shared" si="24"/>
        <v>0.21</v>
      </c>
      <c r="BC28" s="99">
        <f t="shared" si="25"/>
        <v>1</v>
      </c>
      <c r="BD28" s="97">
        <f t="shared" si="26"/>
        <v>0.64807406984078597</v>
      </c>
      <c r="BE28" s="100">
        <f t="shared" si="27"/>
        <v>0.21602468994692867</v>
      </c>
      <c r="BF28" s="99">
        <f t="shared" si="28"/>
        <v>0.38884444190447159</v>
      </c>
      <c r="BG28" s="97">
        <f t="shared" si="60"/>
        <v>0.38884444190447159</v>
      </c>
      <c r="BH28" s="97">
        <f t="shared" si="61"/>
        <v>0.20868775118176155</v>
      </c>
      <c r="BI28" s="97">
        <v>0</v>
      </c>
      <c r="BJ28" s="97">
        <f t="shared" si="29"/>
        <v>4.3550577493300826E-4</v>
      </c>
      <c r="BK28" s="100">
        <f t="shared" si="47"/>
        <v>4.3550577493300826E-4</v>
      </c>
      <c r="BL28" s="99">
        <f t="shared" si="59"/>
        <v>0.13609555466656506</v>
      </c>
      <c r="BM28" s="97">
        <f t="shared" si="48"/>
        <v>0.1807288939820515</v>
      </c>
      <c r="BN28" s="97">
        <f t="shared" si="49"/>
        <v>1.8927757067115374E-3</v>
      </c>
      <c r="BO28" s="97">
        <f t="shared" si="50"/>
        <v>0.2205</v>
      </c>
      <c r="BP28" s="100">
        <f t="shared" si="51"/>
        <v>0.22239277570671154</v>
      </c>
      <c r="BQ28" s="99">
        <f t="shared" si="52"/>
        <v>4.536518488885502E-2</v>
      </c>
      <c r="BR28" s="97">
        <f t="shared" si="30"/>
        <v>0.10434387559088078</v>
      </c>
      <c r="BS28" s="97">
        <f t="shared" si="31"/>
        <v>1.7639999999999999E-2</v>
      </c>
      <c r="BT28" s="97">
        <f t="shared" si="32"/>
        <v>0.75525000000000009</v>
      </c>
      <c r="BU28" s="100">
        <f t="shared" si="53"/>
        <v>0.77289000000000008</v>
      </c>
      <c r="BV28" s="99">
        <f t="shared" si="54"/>
        <v>0</v>
      </c>
      <c r="BW28" s="97">
        <f t="shared" si="33"/>
        <v>8.7499999999999994E-2</v>
      </c>
      <c r="BX28" s="100">
        <f t="shared" si="34"/>
        <v>1.155E-2</v>
      </c>
      <c r="BY28" s="99">
        <f t="shared" si="55"/>
        <v>1.0947682814816446</v>
      </c>
      <c r="BZ28" s="97">
        <f t="shared" si="56"/>
        <v>2.52</v>
      </c>
      <c r="CA28" s="100">
        <f t="shared" si="57"/>
        <v>69.714012179145442</v>
      </c>
      <c r="CB28" s="51">
        <f t="shared" si="58"/>
        <v>0.32144277570671154</v>
      </c>
      <c r="CC28" s="32">
        <f t="shared" si="35"/>
        <v>36.250497149734905</v>
      </c>
    </row>
    <row r="29" spans="4:81" x14ac:dyDescent="0.3">
      <c r="Q29" s="32">
        <v>22</v>
      </c>
      <c r="S29" s="99">
        <f t="shared" si="0"/>
        <v>60</v>
      </c>
      <c r="T29" s="97">
        <f t="shared" si="36"/>
        <v>4.3999999999999997E-2</v>
      </c>
      <c r="U29" s="97">
        <f t="shared" si="1"/>
        <v>15</v>
      </c>
      <c r="V29" s="100">
        <f t="shared" si="2"/>
        <v>0.21999999999999997</v>
      </c>
      <c r="W29" s="99">
        <f t="shared" si="3"/>
        <v>1</v>
      </c>
      <c r="X29" s="97">
        <f t="shared" si="4"/>
        <v>0.66332495807107994</v>
      </c>
      <c r="Y29" s="100">
        <f t="shared" si="5"/>
        <v>0.22110831935702666</v>
      </c>
      <c r="Z29" s="99">
        <f t="shared" si="6"/>
        <v>0.39799497484264801</v>
      </c>
      <c r="AA29" s="97">
        <f t="shared" si="37"/>
        <v>0.39799497484264801</v>
      </c>
      <c r="AB29" s="97">
        <f t="shared" si="38"/>
        <v>0.2160973786240917</v>
      </c>
      <c r="AC29" s="97">
        <v>0</v>
      </c>
      <c r="AD29" s="97">
        <f t="shared" si="7"/>
        <v>4.6698077048204045E-4</v>
      </c>
      <c r="AE29" s="100">
        <f t="shared" si="39"/>
        <v>4.6698077048204045E-4</v>
      </c>
      <c r="AF29" s="99">
        <f t="shared" si="8"/>
        <v>0.14593149077563758</v>
      </c>
      <c r="AG29" s="97">
        <f t="shared" si="9"/>
        <v>0.18714581957968771</v>
      </c>
      <c r="AH29" s="97">
        <f t="shared" si="10"/>
        <v>1.8150266134530928E-3</v>
      </c>
      <c r="AI29" s="97">
        <f t="shared" si="40"/>
        <v>0.23099999999999998</v>
      </c>
      <c r="AJ29" s="100">
        <f t="shared" si="41"/>
        <v>0.23281502661345307</v>
      </c>
      <c r="AK29" s="99">
        <f t="shared" si="11"/>
        <v>4.8643830258545857E-2</v>
      </c>
      <c r="AL29" s="97">
        <f t="shared" si="12"/>
        <v>0.10804868931204585</v>
      </c>
      <c r="AM29" s="97">
        <f t="shared" si="13"/>
        <v>1.848E-2</v>
      </c>
      <c r="AN29" s="97">
        <f t="shared" si="14"/>
        <v>0.75525000000000009</v>
      </c>
      <c r="AO29" s="100">
        <f t="shared" si="42"/>
        <v>0.77373000000000014</v>
      </c>
      <c r="AP29" s="99">
        <f t="shared" si="43"/>
        <v>0</v>
      </c>
      <c r="AQ29" s="97">
        <f t="shared" si="15"/>
        <v>8.7499999999999994E-2</v>
      </c>
      <c r="AR29" s="100">
        <f t="shared" si="16"/>
        <v>1.155E-2</v>
      </c>
      <c r="AS29" s="99">
        <f t="shared" si="17"/>
        <v>0.33186502661345307</v>
      </c>
      <c r="AT29" s="215">
        <f t="shared" si="18"/>
        <v>44.911901596807184</v>
      </c>
      <c r="AU29" s="216">
        <f t="shared" si="19"/>
        <v>5.8104316658060803E-2</v>
      </c>
      <c r="AV29" s="97">
        <f t="shared" si="20"/>
        <v>2.6399999999999997</v>
      </c>
      <c r="AW29" s="100">
        <f t="shared" si="44"/>
        <v>88.833105688126579</v>
      </c>
      <c r="AX29" s="32"/>
      <c r="AY29" s="99">
        <f t="shared" si="21"/>
        <v>60</v>
      </c>
      <c r="AZ29" s="97">
        <f t="shared" si="22"/>
        <v>4.3999999999999997E-2</v>
      </c>
      <c r="BA29" s="97">
        <f t="shared" si="23"/>
        <v>15</v>
      </c>
      <c r="BB29" s="100">
        <f t="shared" si="24"/>
        <v>0.21999999999999997</v>
      </c>
      <c r="BC29" s="99">
        <f t="shared" si="25"/>
        <v>1</v>
      </c>
      <c r="BD29" s="97">
        <f t="shared" si="26"/>
        <v>0.66332495807107994</v>
      </c>
      <c r="BE29" s="100">
        <f t="shared" si="27"/>
        <v>0.22110831935702666</v>
      </c>
      <c r="BF29" s="99">
        <f t="shared" si="28"/>
        <v>0.39799497484264801</v>
      </c>
      <c r="BG29" s="97">
        <f t="shared" si="60"/>
        <v>0.39799497484264801</v>
      </c>
      <c r="BH29" s="97">
        <f t="shared" si="61"/>
        <v>0.2160973786240917</v>
      </c>
      <c r="BI29" s="97">
        <v>0</v>
      </c>
      <c r="BJ29" s="97">
        <f t="shared" si="29"/>
        <v>4.6698077048204045E-4</v>
      </c>
      <c r="BK29" s="100">
        <f t="shared" si="47"/>
        <v>4.6698077048204045E-4</v>
      </c>
      <c r="BL29" s="99">
        <f t="shared" si="59"/>
        <v>0.14593149077563758</v>
      </c>
      <c r="BM29" s="97">
        <f t="shared" si="48"/>
        <v>0.18714581957968771</v>
      </c>
      <c r="BN29" s="97">
        <f t="shared" si="49"/>
        <v>2.035019892098526E-3</v>
      </c>
      <c r="BO29" s="97">
        <f t="shared" si="50"/>
        <v>0.23099999999999998</v>
      </c>
      <c r="BP29" s="100">
        <f t="shared" si="51"/>
        <v>0.23303501989209852</v>
      </c>
      <c r="BQ29" s="99">
        <f t="shared" si="52"/>
        <v>4.8643830258545857E-2</v>
      </c>
      <c r="BR29" s="97">
        <f t="shared" si="30"/>
        <v>0.10804868931204585</v>
      </c>
      <c r="BS29" s="97">
        <f t="shared" si="31"/>
        <v>1.848E-2</v>
      </c>
      <c r="BT29" s="97">
        <f t="shared" si="32"/>
        <v>0.75525000000000009</v>
      </c>
      <c r="BU29" s="100">
        <f t="shared" si="53"/>
        <v>0.77373000000000014</v>
      </c>
      <c r="BV29" s="99">
        <f t="shared" si="54"/>
        <v>0</v>
      </c>
      <c r="BW29" s="97">
        <f t="shared" si="33"/>
        <v>8.7499999999999994E-2</v>
      </c>
      <c r="BX29" s="100">
        <f t="shared" si="34"/>
        <v>1.155E-2</v>
      </c>
      <c r="BY29" s="99">
        <f t="shared" si="55"/>
        <v>1.1062820006625806</v>
      </c>
      <c r="BZ29" s="97">
        <f t="shared" si="56"/>
        <v>2.6399999999999997</v>
      </c>
      <c r="CA29" s="100">
        <f t="shared" si="57"/>
        <v>70.469868513184025</v>
      </c>
      <c r="CB29" s="51">
        <f t="shared" si="58"/>
        <v>0.33208501989209854</v>
      </c>
      <c r="CC29" s="32">
        <f t="shared" si="35"/>
        <v>36.622975696223449</v>
      </c>
    </row>
    <row r="30" spans="4:81" x14ac:dyDescent="0.3">
      <c r="Q30" s="32">
        <v>23</v>
      </c>
      <c r="S30" s="99">
        <f t="shared" si="0"/>
        <v>60</v>
      </c>
      <c r="T30" s="97">
        <f t="shared" si="36"/>
        <v>4.5999999999999999E-2</v>
      </c>
      <c r="U30" s="97">
        <f t="shared" si="1"/>
        <v>15</v>
      </c>
      <c r="V30" s="100">
        <f t="shared" si="2"/>
        <v>0.22999999999999998</v>
      </c>
      <c r="W30" s="99">
        <f t="shared" si="3"/>
        <v>1</v>
      </c>
      <c r="X30" s="97">
        <f t="shared" si="4"/>
        <v>0.67823299831252681</v>
      </c>
      <c r="Y30" s="100">
        <f t="shared" si="5"/>
        <v>0.2260776661041756</v>
      </c>
      <c r="Z30" s="99">
        <f t="shared" si="6"/>
        <v>0.40693979898751614</v>
      </c>
      <c r="AA30" s="97">
        <f t="shared" si="37"/>
        <v>0.40693979898751614</v>
      </c>
      <c r="AB30" s="97">
        <f t="shared" si="38"/>
        <v>0.2234232500788626</v>
      </c>
      <c r="AC30" s="97">
        <v>0</v>
      </c>
      <c r="AD30" s="97">
        <f t="shared" si="7"/>
        <v>4.9917948675801984E-4</v>
      </c>
      <c r="AE30" s="100">
        <f t="shared" si="39"/>
        <v>4.9917948675801984E-4</v>
      </c>
      <c r="AF30" s="99">
        <f t="shared" si="8"/>
        <v>0.15599358961188114</v>
      </c>
      <c r="AG30" s="97">
        <f t="shared" si="9"/>
        <v>0.19349021036437861</v>
      </c>
      <c r="AH30" s="97">
        <f t="shared" si="10"/>
        <v>1.9401742226353763E-3</v>
      </c>
      <c r="AI30" s="97">
        <f t="shared" si="40"/>
        <v>0.24149999999999999</v>
      </c>
      <c r="AJ30" s="100">
        <f t="shared" si="41"/>
        <v>0.24344017422263536</v>
      </c>
      <c r="AK30" s="99">
        <f t="shared" si="11"/>
        <v>5.1997863203960382E-2</v>
      </c>
      <c r="AL30" s="97">
        <f t="shared" si="12"/>
        <v>0.1117116250394313</v>
      </c>
      <c r="AM30" s="97">
        <f t="shared" si="13"/>
        <v>1.932E-2</v>
      </c>
      <c r="AN30" s="97">
        <f t="shared" si="14"/>
        <v>0.75525000000000009</v>
      </c>
      <c r="AO30" s="100">
        <f t="shared" si="42"/>
        <v>0.77457000000000009</v>
      </c>
      <c r="AP30" s="99">
        <f t="shared" si="43"/>
        <v>0</v>
      </c>
      <c r="AQ30" s="97">
        <f t="shared" si="15"/>
        <v>8.7499999999999994E-2</v>
      </c>
      <c r="AR30" s="100">
        <f t="shared" si="16"/>
        <v>1.155E-2</v>
      </c>
      <c r="AS30" s="99">
        <f t="shared" si="17"/>
        <v>0.34249017422263534</v>
      </c>
      <c r="AT30" s="215">
        <f t="shared" si="18"/>
        <v>45.549410453358121</v>
      </c>
      <c r="AU30" s="216">
        <f t="shared" si="19"/>
        <v>5.8259937953353012E-2</v>
      </c>
      <c r="AV30" s="97">
        <f t="shared" si="20"/>
        <v>2.76</v>
      </c>
      <c r="AW30" s="100">
        <f t="shared" si="44"/>
        <v>88.960797456564066</v>
      </c>
      <c r="AX30" s="32"/>
      <c r="AY30" s="99">
        <f t="shared" si="21"/>
        <v>60</v>
      </c>
      <c r="AZ30" s="97">
        <f t="shared" si="22"/>
        <v>4.5999999999999999E-2</v>
      </c>
      <c r="BA30" s="97">
        <f t="shared" si="23"/>
        <v>15</v>
      </c>
      <c r="BB30" s="100">
        <f t="shared" si="24"/>
        <v>0.22999999999999998</v>
      </c>
      <c r="BC30" s="99">
        <f t="shared" si="25"/>
        <v>1</v>
      </c>
      <c r="BD30" s="97">
        <f t="shared" si="26"/>
        <v>0.67823299831252681</v>
      </c>
      <c r="BE30" s="100">
        <f t="shared" si="27"/>
        <v>0.2260776661041756</v>
      </c>
      <c r="BF30" s="99">
        <f t="shared" si="28"/>
        <v>0.40693979898751614</v>
      </c>
      <c r="BG30" s="97">
        <f t="shared" si="60"/>
        <v>0.40693979898751614</v>
      </c>
      <c r="BH30" s="97">
        <f t="shared" si="61"/>
        <v>0.2234232500788626</v>
      </c>
      <c r="BI30" s="97">
        <v>0</v>
      </c>
      <c r="BJ30" s="97">
        <f t="shared" si="29"/>
        <v>4.9917948675801984E-4</v>
      </c>
      <c r="BK30" s="100">
        <f t="shared" si="47"/>
        <v>4.9917948675801984E-4</v>
      </c>
      <c r="BL30" s="99">
        <f t="shared" si="59"/>
        <v>0.15599358961188114</v>
      </c>
      <c r="BM30" s="97">
        <f t="shared" si="48"/>
        <v>0.19349021036437861</v>
      </c>
      <c r="BN30" s="97">
        <f t="shared" si="49"/>
        <v>2.1811624444581625E-3</v>
      </c>
      <c r="BO30" s="97">
        <f t="shared" si="50"/>
        <v>0.24149999999999999</v>
      </c>
      <c r="BP30" s="100">
        <f t="shared" si="51"/>
        <v>0.24368116244445814</v>
      </c>
      <c r="BQ30" s="99">
        <f t="shared" si="52"/>
        <v>5.1997863203960382E-2</v>
      </c>
      <c r="BR30" s="97">
        <f t="shared" si="30"/>
        <v>0.1117116250394313</v>
      </c>
      <c r="BS30" s="97">
        <f t="shared" si="31"/>
        <v>1.932E-2</v>
      </c>
      <c r="BT30" s="97">
        <f t="shared" si="32"/>
        <v>0.75525000000000009</v>
      </c>
      <c r="BU30" s="100">
        <f t="shared" si="53"/>
        <v>0.77457000000000009</v>
      </c>
      <c r="BV30" s="99">
        <f t="shared" si="54"/>
        <v>0</v>
      </c>
      <c r="BW30" s="97">
        <f t="shared" si="33"/>
        <v>8.7499999999999994E-2</v>
      </c>
      <c r="BX30" s="100">
        <f t="shared" si="34"/>
        <v>1.155E-2</v>
      </c>
      <c r="BY30" s="99">
        <f t="shared" si="55"/>
        <v>1.1178003419312159</v>
      </c>
      <c r="BZ30" s="97">
        <f t="shared" si="56"/>
        <v>2.76</v>
      </c>
      <c r="CA30" s="100">
        <f t="shared" si="57"/>
        <v>71.174370948285315</v>
      </c>
      <c r="CB30" s="51">
        <f t="shared" si="58"/>
        <v>0.34273116244445817</v>
      </c>
      <c r="CC30" s="32">
        <f t="shared" si="35"/>
        <v>36.995590685556039</v>
      </c>
    </row>
    <row r="31" spans="4:81" x14ac:dyDescent="0.3">
      <c r="Q31" s="32">
        <v>24</v>
      </c>
      <c r="S31" s="99">
        <f t="shared" si="0"/>
        <v>60</v>
      </c>
      <c r="T31" s="97">
        <f t="shared" si="36"/>
        <v>4.8000000000000001E-2</v>
      </c>
      <c r="U31" s="97">
        <f t="shared" si="1"/>
        <v>15</v>
      </c>
      <c r="V31" s="100">
        <f t="shared" si="2"/>
        <v>0.24</v>
      </c>
      <c r="W31" s="99">
        <f t="shared" si="3"/>
        <v>1</v>
      </c>
      <c r="X31" s="97">
        <f t="shared" si="4"/>
        <v>0.69282032302755092</v>
      </c>
      <c r="Y31" s="100">
        <f t="shared" si="5"/>
        <v>0.23094010767585033</v>
      </c>
      <c r="Z31" s="99">
        <f t="shared" si="6"/>
        <v>0.41569219381653061</v>
      </c>
      <c r="AA31" s="97">
        <f t="shared" si="37"/>
        <v>0.41569219381653061</v>
      </c>
      <c r="AB31" s="97">
        <f t="shared" si="38"/>
        <v>0.23066989575693647</v>
      </c>
      <c r="AC31" s="97">
        <v>0</v>
      </c>
      <c r="AD31" s="97">
        <f t="shared" si="7"/>
        <v>5.3208600808515936E-4</v>
      </c>
      <c r="AE31" s="100">
        <f t="shared" si="39"/>
        <v>5.3208600808515936E-4</v>
      </c>
      <c r="AF31" s="99">
        <f t="shared" si="8"/>
        <v>0.16627687752661222</v>
      </c>
      <c r="AG31" s="97">
        <f t="shared" si="9"/>
        <v>0.19976598961381525</v>
      </c>
      <c r="AH31" s="97">
        <f t="shared" si="10"/>
        <v>2.0680728765848045E-3</v>
      </c>
      <c r="AI31" s="97">
        <f t="shared" si="40"/>
        <v>0.252</v>
      </c>
      <c r="AJ31" s="100">
        <f t="shared" si="41"/>
        <v>0.25406807287658478</v>
      </c>
      <c r="AK31" s="99">
        <f t="shared" si="11"/>
        <v>5.5425625842204077E-2</v>
      </c>
      <c r="AL31" s="97">
        <f t="shared" si="12"/>
        <v>0.11533494787846824</v>
      </c>
      <c r="AM31" s="97">
        <f t="shared" si="13"/>
        <v>2.0160000000000001E-2</v>
      </c>
      <c r="AN31" s="97">
        <f t="shared" si="14"/>
        <v>0.75525000000000009</v>
      </c>
      <c r="AO31" s="100">
        <f t="shared" si="42"/>
        <v>0.77541000000000004</v>
      </c>
      <c r="AP31" s="99">
        <f t="shared" si="43"/>
        <v>0</v>
      </c>
      <c r="AQ31" s="97">
        <f t="shared" si="15"/>
        <v>8.7499999999999994E-2</v>
      </c>
      <c r="AR31" s="100">
        <f t="shared" si="16"/>
        <v>1.155E-2</v>
      </c>
      <c r="AS31" s="99">
        <f t="shared" si="17"/>
        <v>0.35311807287658475</v>
      </c>
      <c r="AT31" s="215">
        <f t="shared" si="18"/>
        <v>46.187084372595081</v>
      </c>
      <c r="AU31" s="216">
        <f t="shared" si="19"/>
        <v>5.8415599541840738E-2</v>
      </c>
      <c r="AV31" s="97">
        <f t="shared" si="20"/>
        <v>2.88</v>
      </c>
      <c r="AW31" s="100">
        <f t="shared" si="44"/>
        <v>89.07809535819375</v>
      </c>
      <c r="AX31" s="32"/>
      <c r="AY31" s="99">
        <f t="shared" si="21"/>
        <v>60</v>
      </c>
      <c r="AZ31" s="97">
        <f t="shared" si="22"/>
        <v>4.8000000000000001E-2</v>
      </c>
      <c r="BA31" s="97">
        <f t="shared" si="23"/>
        <v>15</v>
      </c>
      <c r="BB31" s="100">
        <f t="shared" si="24"/>
        <v>0.24</v>
      </c>
      <c r="BC31" s="99">
        <f t="shared" si="25"/>
        <v>1</v>
      </c>
      <c r="BD31" s="97">
        <f t="shared" si="26"/>
        <v>0.69282032302755092</v>
      </c>
      <c r="BE31" s="100">
        <f t="shared" si="27"/>
        <v>0.23094010767585033</v>
      </c>
      <c r="BF31" s="99">
        <f t="shared" si="28"/>
        <v>0.41569219381653061</v>
      </c>
      <c r="BG31" s="97">
        <f t="shared" si="60"/>
        <v>0.41569219381653061</v>
      </c>
      <c r="BH31" s="97">
        <f t="shared" si="61"/>
        <v>0.23066989575693647</v>
      </c>
      <c r="BI31" s="97">
        <v>0</v>
      </c>
      <c r="BJ31" s="97">
        <f t="shared" si="29"/>
        <v>5.3208600808515936E-4</v>
      </c>
      <c r="BK31" s="100">
        <f t="shared" si="47"/>
        <v>5.3208600808515936E-4</v>
      </c>
      <c r="BL31" s="99">
        <f t="shared" si="59"/>
        <v>0.16627687752661222</v>
      </c>
      <c r="BM31" s="97">
        <f t="shared" si="48"/>
        <v>0.19976598961381525</v>
      </c>
      <c r="BN31" s="97">
        <f t="shared" si="49"/>
        <v>2.3311592377589473E-3</v>
      </c>
      <c r="BO31" s="97">
        <f t="shared" si="50"/>
        <v>0.252</v>
      </c>
      <c r="BP31" s="100">
        <f t="shared" si="51"/>
        <v>0.25433115923775895</v>
      </c>
      <c r="BQ31" s="99">
        <f t="shared" si="52"/>
        <v>5.5425625842204077E-2</v>
      </c>
      <c r="BR31" s="97">
        <f t="shared" si="30"/>
        <v>0.11533494787846824</v>
      </c>
      <c r="BS31" s="97">
        <f t="shared" si="31"/>
        <v>2.0160000000000001E-2</v>
      </c>
      <c r="BT31" s="97">
        <f t="shared" si="32"/>
        <v>0.75525000000000009</v>
      </c>
      <c r="BU31" s="100">
        <f t="shared" si="53"/>
        <v>0.77541000000000004</v>
      </c>
      <c r="BV31" s="99">
        <f t="shared" si="54"/>
        <v>0</v>
      </c>
      <c r="BW31" s="97">
        <f t="shared" si="33"/>
        <v>8.7499999999999994E-2</v>
      </c>
      <c r="BX31" s="100">
        <f t="shared" si="34"/>
        <v>1.155E-2</v>
      </c>
      <c r="BY31" s="99">
        <f t="shared" si="55"/>
        <v>1.1293232452458439</v>
      </c>
      <c r="BZ31" s="97">
        <f t="shared" si="56"/>
        <v>2.88</v>
      </c>
      <c r="CA31" s="100">
        <f t="shared" si="57"/>
        <v>71.832571829049527</v>
      </c>
      <c r="CB31" s="51">
        <f t="shared" si="58"/>
        <v>0.35338115923775898</v>
      </c>
      <c r="CC31" s="32">
        <f t="shared" si="35"/>
        <v>37.368340573321561</v>
      </c>
    </row>
    <row r="32" spans="4:81" x14ac:dyDescent="0.3">
      <c r="Q32" s="32">
        <v>25</v>
      </c>
      <c r="S32" s="99">
        <f t="shared" si="0"/>
        <v>60</v>
      </c>
      <c r="T32" s="97">
        <f t="shared" si="36"/>
        <v>0.05</v>
      </c>
      <c r="U32" s="97">
        <f t="shared" si="1"/>
        <v>15</v>
      </c>
      <c r="V32" s="100">
        <f t="shared" si="2"/>
        <v>0.25</v>
      </c>
      <c r="W32" s="99">
        <f t="shared" si="3"/>
        <v>1</v>
      </c>
      <c r="X32" s="97">
        <f t="shared" si="4"/>
        <v>0.70710678118654757</v>
      </c>
      <c r="Y32" s="100">
        <f t="shared" si="5"/>
        <v>0.23570226039551589</v>
      </c>
      <c r="Z32" s="99">
        <f t="shared" si="6"/>
        <v>0.42426406871192857</v>
      </c>
      <c r="AA32" s="97">
        <f t="shared" si="37"/>
        <v>0.42426406871192857</v>
      </c>
      <c r="AB32" s="97">
        <f t="shared" si="38"/>
        <v>0.23784142300054428</v>
      </c>
      <c r="AC32" s="97">
        <v>0</v>
      </c>
      <c r="AD32" s="97">
        <f t="shared" si="7"/>
        <v>5.6568542494923836E-4</v>
      </c>
      <c r="AE32" s="100">
        <f t="shared" si="39"/>
        <v>5.6568542494923836E-4</v>
      </c>
      <c r="AF32" s="99">
        <f t="shared" si="8"/>
        <v>0.17677669529663689</v>
      </c>
      <c r="AG32" s="97">
        <f t="shared" si="9"/>
        <v>0.2059767143907118</v>
      </c>
      <c r="AH32" s="97">
        <f t="shared" si="10"/>
        <v>2.1986646260948699E-3</v>
      </c>
      <c r="AI32" s="97">
        <f t="shared" si="40"/>
        <v>0.26250000000000001</v>
      </c>
      <c r="AJ32" s="100">
        <f t="shared" si="41"/>
        <v>0.26469866462609487</v>
      </c>
      <c r="AK32" s="99">
        <f t="shared" si="11"/>
        <v>5.8925565098878974E-2</v>
      </c>
      <c r="AL32" s="97">
        <f t="shared" si="12"/>
        <v>0.11892071150027214</v>
      </c>
      <c r="AM32" s="97">
        <f t="shared" si="13"/>
        <v>2.1000000000000001E-2</v>
      </c>
      <c r="AN32" s="97">
        <f t="shared" si="14"/>
        <v>0.75525000000000009</v>
      </c>
      <c r="AO32" s="100">
        <f t="shared" si="42"/>
        <v>0.77625000000000011</v>
      </c>
      <c r="AP32" s="99">
        <f t="shared" si="43"/>
        <v>0</v>
      </c>
      <c r="AQ32" s="97">
        <f t="shared" si="15"/>
        <v>8.7499999999999994E-2</v>
      </c>
      <c r="AR32" s="100">
        <f t="shared" si="16"/>
        <v>1.155E-2</v>
      </c>
      <c r="AS32" s="99">
        <f t="shared" si="17"/>
        <v>0.36374866462609484</v>
      </c>
      <c r="AT32" s="215">
        <f t="shared" si="18"/>
        <v>46.824919877565691</v>
      </c>
      <c r="AU32" s="216">
        <f t="shared" si="19"/>
        <v>5.857130057477055E-2</v>
      </c>
      <c r="AV32" s="97">
        <f t="shared" si="20"/>
        <v>3</v>
      </c>
      <c r="AW32" s="100">
        <f t="shared" si="44"/>
        <v>89.186211548699987</v>
      </c>
      <c r="AX32" s="32"/>
      <c r="AY32" s="99">
        <f t="shared" si="21"/>
        <v>60</v>
      </c>
      <c r="AZ32" s="97">
        <f t="shared" si="22"/>
        <v>0.05</v>
      </c>
      <c r="BA32" s="97">
        <f t="shared" si="23"/>
        <v>15</v>
      </c>
      <c r="BB32" s="100">
        <f t="shared" si="24"/>
        <v>0.25</v>
      </c>
      <c r="BC32" s="99">
        <f t="shared" si="25"/>
        <v>1</v>
      </c>
      <c r="BD32" s="97">
        <f t="shared" si="26"/>
        <v>0.70710678118654757</v>
      </c>
      <c r="BE32" s="100">
        <f t="shared" si="27"/>
        <v>0.23570226039551589</v>
      </c>
      <c r="BF32" s="99">
        <f t="shared" si="28"/>
        <v>0.42426406871192857</v>
      </c>
      <c r="BG32" s="97">
        <f t="shared" si="60"/>
        <v>0.42426406871192857</v>
      </c>
      <c r="BH32" s="97">
        <f t="shared" si="61"/>
        <v>0.23784142300054428</v>
      </c>
      <c r="BI32" s="97">
        <v>0</v>
      </c>
      <c r="BJ32" s="97">
        <f t="shared" si="29"/>
        <v>5.6568542494923836E-4</v>
      </c>
      <c r="BK32" s="100">
        <f t="shared" si="47"/>
        <v>5.6568542494923836E-4</v>
      </c>
      <c r="BL32" s="99">
        <f t="shared" si="59"/>
        <v>0.17677669529663689</v>
      </c>
      <c r="BM32" s="97">
        <f t="shared" si="48"/>
        <v>0.2059767143907118</v>
      </c>
      <c r="BN32" s="97">
        <f t="shared" si="49"/>
        <v>2.4849698291601477E-3</v>
      </c>
      <c r="BO32" s="97">
        <f t="shared" si="50"/>
        <v>0.26250000000000001</v>
      </c>
      <c r="BP32" s="100">
        <f t="shared" si="51"/>
        <v>0.26498496982916014</v>
      </c>
      <c r="BQ32" s="99">
        <f t="shared" si="52"/>
        <v>5.8925565098878974E-2</v>
      </c>
      <c r="BR32" s="97">
        <f t="shared" si="30"/>
        <v>0.11892071150027214</v>
      </c>
      <c r="BS32" s="97">
        <f t="shared" si="31"/>
        <v>2.1000000000000001E-2</v>
      </c>
      <c r="BT32" s="97">
        <f t="shared" si="32"/>
        <v>0.75525000000000009</v>
      </c>
      <c r="BU32" s="100">
        <f t="shared" si="53"/>
        <v>0.77625000000000011</v>
      </c>
      <c r="BV32" s="99">
        <f t="shared" si="54"/>
        <v>0</v>
      </c>
      <c r="BW32" s="97">
        <f t="shared" si="33"/>
        <v>8.7499999999999994E-2</v>
      </c>
      <c r="BX32" s="100">
        <f t="shared" si="34"/>
        <v>1.155E-2</v>
      </c>
      <c r="BY32" s="99">
        <f t="shared" si="55"/>
        <v>1.1408506552541093</v>
      </c>
      <c r="BZ32" s="97">
        <f t="shared" si="56"/>
        <v>3</v>
      </c>
      <c r="CA32" s="100">
        <f t="shared" si="57"/>
        <v>72.44888187873805</v>
      </c>
      <c r="CB32" s="51">
        <f t="shared" si="58"/>
        <v>0.36403496982916012</v>
      </c>
      <c r="CC32" s="32">
        <f t="shared" si="35"/>
        <v>37.741223944020604</v>
      </c>
    </row>
    <row r="33" spans="17:81" x14ac:dyDescent="0.3">
      <c r="Q33" s="32">
        <v>26</v>
      </c>
      <c r="S33" s="99">
        <f t="shared" si="0"/>
        <v>60</v>
      </c>
      <c r="T33" s="97">
        <f t="shared" si="36"/>
        <v>5.2000000000000005E-2</v>
      </c>
      <c r="U33" s="97">
        <f t="shared" si="1"/>
        <v>15</v>
      </c>
      <c r="V33" s="100">
        <f t="shared" si="2"/>
        <v>0.26</v>
      </c>
      <c r="W33" s="99">
        <f t="shared" si="3"/>
        <v>1</v>
      </c>
      <c r="X33" s="97">
        <f t="shared" si="4"/>
        <v>0.72111025509279791</v>
      </c>
      <c r="Y33" s="100">
        <f t="shared" si="5"/>
        <v>0.24037008503093263</v>
      </c>
      <c r="Z33" s="99">
        <f t="shared" si="6"/>
        <v>0.43266615305567879</v>
      </c>
      <c r="AA33" s="97">
        <f t="shared" si="37"/>
        <v>0.43266615305567879</v>
      </c>
      <c r="AB33" s="97">
        <f t="shared" si="38"/>
        <v>0.24494157104036221</v>
      </c>
      <c r="AC33" s="97">
        <v>0</v>
      </c>
      <c r="AD33" s="97">
        <f t="shared" si="7"/>
        <v>5.9996373223720806E-4</v>
      </c>
      <c r="AE33" s="100">
        <f t="shared" si="39"/>
        <v>5.9996373223720806E-4</v>
      </c>
      <c r="AF33" s="99">
        <f t="shared" si="8"/>
        <v>0.18748866632412747</v>
      </c>
      <c r="AG33" s="97">
        <f t="shared" si="9"/>
        <v>0.21212562296382445</v>
      </c>
      <c r="AH33" s="97">
        <f t="shared" si="10"/>
        <v>2.331895037119217E-3</v>
      </c>
      <c r="AI33" s="97">
        <f t="shared" si="40"/>
        <v>0.27300000000000002</v>
      </c>
      <c r="AJ33" s="100">
        <f t="shared" si="41"/>
        <v>0.27533189503711925</v>
      </c>
      <c r="AK33" s="99">
        <f t="shared" si="11"/>
        <v>6.2496222108042489E-2</v>
      </c>
      <c r="AL33" s="97">
        <f t="shared" si="12"/>
        <v>0.12247078552018111</v>
      </c>
      <c r="AM33" s="97">
        <f t="shared" si="13"/>
        <v>2.1840000000000002E-2</v>
      </c>
      <c r="AN33" s="97">
        <f t="shared" si="14"/>
        <v>0.75525000000000009</v>
      </c>
      <c r="AO33" s="100">
        <f t="shared" si="42"/>
        <v>0.77709000000000006</v>
      </c>
      <c r="AP33" s="99">
        <f t="shared" si="43"/>
        <v>0</v>
      </c>
      <c r="AQ33" s="97">
        <f t="shared" si="15"/>
        <v>8.7499999999999994E-2</v>
      </c>
      <c r="AR33" s="100">
        <f t="shared" si="16"/>
        <v>1.155E-2</v>
      </c>
      <c r="AS33" s="99">
        <f t="shared" si="17"/>
        <v>0.37438189503711922</v>
      </c>
      <c r="AT33" s="215">
        <f t="shared" si="18"/>
        <v>47.462913702227155</v>
      </c>
      <c r="AU33" s="216">
        <f t="shared" si="19"/>
        <v>5.8727040254873818E-2</v>
      </c>
      <c r="AV33" s="97">
        <f t="shared" si="20"/>
        <v>3.12</v>
      </c>
      <c r="AW33" s="100">
        <f t="shared" si="44"/>
        <v>89.286176889571408</v>
      </c>
      <c r="AX33" s="32"/>
      <c r="AY33" s="99">
        <f t="shared" si="21"/>
        <v>60</v>
      </c>
      <c r="AZ33" s="97">
        <f t="shared" si="22"/>
        <v>5.2000000000000005E-2</v>
      </c>
      <c r="BA33" s="97">
        <f t="shared" si="23"/>
        <v>15</v>
      </c>
      <c r="BB33" s="100">
        <f t="shared" si="24"/>
        <v>0.26</v>
      </c>
      <c r="BC33" s="99">
        <f t="shared" si="25"/>
        <v>1</v>
      </c>
      <c r="BD33" s="97">
        <f t="shared" si="26"/>
        <v>0.72111025509279791</v>
      </c>
      <c r="BE33" s="100">
        <f t="shared" si="27"/>
        <v>0.24037008503093263</v>
      </c>
      <c r="BF33" s="99">
        <f t="shared" si="28"/>
        <v>0.43266615305567879</v>
      </c>
      <c r="BG33" s="97">
        <f t="shared" si="60"/>
        <v>0.43266615305567879</v>
      </c>
      <c r="BH33" s="97">
        <f t="shared" si="61"/>
        <v>0.24494157104036221</v>
      </c>
      <c r="BI33" s="97">
        <v>0</v>
      </c>
      <c r="BJ33" s="97">
        <f t="shared" si="29"/>
        <v>5.9996373223720806E-4</v>
      </c>
      <c r="BK33" s="100">
        <f t="shared" si="47"/>
        <v>5.9996373223720806E-4</v>
      </c>
      <c r="BL33" s="99">
        <f t="shared" si="59"/>
        <v>0.18748866632412747</v>
      </c>
      <c r="BM33" s="97">
        <f t="shared" si="48"/>
        <v>0.21212562296382445</v>
      </c>
      <c r="BN33" s="97">
        <f t="shared" si="49"/>
        <v>2.6425570690919143E-3</v>
      </c>
      <c r="BO33" s="97">
        <f t="shared" si="50"/>
        <v>0.27300000000000002</v>
      </c>
      <c r="BP33" s="100">
        <f t="shared" si="51"/>
        <v>0.27564255706909191</v>
      </c>
      <c r="BQ33" s="99">
        <f t="shared" si="52"/>
        <v>6.2496222108042489E-2</v>
      </c>
      <c r="BR33" s="97">
        <f t="shared" si="30"/>
        <v>0.12247078552018111</v>
      </c>
      <c r="BS33" s="97">
        <f t="shared" si="31"/>
        <v>2.1840000000000002E-2</v>
      </c>
      <c r="BT33" s="97">
        <f t="shared" si="32"/>
        <v>0.75525000000000009</v>
      </c>
      <c r="BU33" s="100">
        <f t="shared" si="53"/>
        <v>0.77709000000000006</v>
      </c>
      <c r="BV33" s="99">
        <f t="shared" si="54"/>
        <v>0</v>
      </c>
      <c r="BW33" s="97">
        <f t="shared" si="33"/>
        <v>8.7499999999999994E-2</v>
      </c>
      <c r="BX33" s="100">
        <f t="shared" si="34"/>
        <v>1.155E-2</v>
      </c>
      <c r="BY33" s="99">
        <f t="shared" si="55"/>
        <v>1.152382520801329</v>
      </c>
      <c r="BZ33" s="97">
        <f t="shared" si="56"/>
        <v>3.12</v>
      </c>
      <c r="CA33" s="100">
        <f t="shared" si="57"/>
        <v>73.027168911242796</v>
      </c>
      <c r="CB33" s="51">
        <f t="shared" si="58"/>
        <v>0.37469255706909194</v>
      </c>
      <c r="CC33" s="32">
        <f t="shared" si="35"/>
        <v>38.114239497418218</v>
      </c>
    </row>
    <row r="34" spans="17:81" x14ac:dyDescent="0.3">
      <c r="Q34" s="32">
        <v>27</v>
      </c>
      <c r="S34" s="99">
        <f t="shared" si="0"/>
        <v>60</v>
      </c>
      <c r="T34" s="97">
        <f t="shared" si="36"/>
        <v>5.3999999999999999E-2</v>
      </c>
      <c r="U34" s="97">
        <f t="shared" si="1"/>
        <v>15</v>
      </c>
      <c r="V34" s="100">
        <f t="shared" si="2"/>
        <v>0.26999999999999996</v>
      </c>
      <c r="W34" s="99">
        <f t="shared" si="3"/>
        <v>1</v>
      </c>
      <c r="X34" s="97">
        <f t="shared" si="4"/>
        <v>0.73484692283495334</v>
      </c>
      <c r="Y34" s="100">
        <f t="shared" si="5"/>
        <v>0.2449489742783178</v>
      </c>
      <c r="Z34" s="99">
        <f t="shared" si="6"/>
        <v>0.44090815370097208</v>
      </c>
      <c r="AA34" s="97">
        <f t="shared" si="37"/>
        <v>0.44090815370097208</v>
      </c>
      <c r="AB34" s="97">
        <f t="shared" si="38"/>
        <v>0.25197375683380197</v>
      </c>
      <c r="AC34" s="97">
        <v>0</v>
      </c>
      <c r="AD34" s="97">
        <f t="shared" si="7"/>
        <v>6.3490774132939965E-4</v>
      </c>
      <c r="AE34" s="100">
        <f t="shared" si="39"/>
        <v>6.3490774132939965E-4</v>
      </c>
      <c r="AF34" s="99">
        <f t="shared" si="8"/>
        <v>0.19840866916543737</v>
      </c>
      <c r="AG34" s="97">
        <f t="shared" si="9"/>
        <v>0.21821567450507531</v>
      </c>
      <c r="AH34" s="97">
        <f t="shared" si="10"/>
        <v>2.4677128490980804E-3</v>
      </c>
      <c r="AI34" s="97">
        <f t="shared" si="40"/>
        <v>0.28349999999999997</v>
      </c>
      <c r="AJ34" s="100">
        <f t="shared" si="41"/>
        <v>0.28596771284909805</v>
      </c>
      <c r="AK34" s="99">
        <f t="shared" si="11"/>
        <v>6.6136223055145799E-2</v>
      </c>
      <c r="AL34" s="97">
        <f t="shared" si="12"/>
        <v>0.12598687841690098</v>
      </c>
      <c r="AM34" s="97">
        <f t="shared" si="13"/>
        <v>2.2679999999999999E-2</v>
      </c>
      <c r="AN34" s="97">
        <f t="shared" si="14"/>
        <v>0.75525000000000009</v>
      </c>
      <c r="AO34" s="100">
        <f t="shared" si="42"/>
        <v>0.77793000000000012</v>
      </c>
      <c r="AP34" s="99">
        <f t="shared" si="43"/>
        <v>0</v>
      </c>
      <c r="AQ34" s="97">
        <f t="shared" si="15"/>
        <v>8.7499999999999994E-2</v>
      </c>
      <c r="AR34" s="100">
        <f t="shared" si="16"/>
        <v>1.155E-2</v>
      </c>
      <c r="AS34" s="99">
        <f t="shared" si="17"/>
        <v>0.38501771284909808</v>
      </c>
      <c r="AT34" s="215">
        <f t="shared" si="18"/>
        <v>48.101062770945887</v>
      </c>
      <c r="AU34" s="216">
        <f t="shared" si="19"/>
        <v>5.888281783136242E-2</v>
      </c>
      <c r="AV34" s="97">
        <f t="shared" si="20"/>
        <v>3.2399999999999998</v>
      </c>
      <c r="AW34" s="100">
        <f t="shared" si="44"/>
        <v>89.378873612551487</v>
      </c>
      <c r="AX34" s="32"/>
      <c r="AY34" s="99">
        <f t="shared" si="21"/>
        <v>60</v>
      </c>
      <c r="AZ34" s="97">
        <f t="shared" si="22"/>
        <v>5.3999999999999999E-2</v>
      </c>
      <c r="BA34" s="97">
        <f t="shared" si="23"/>
        <v>15</v>
      </c>
      <c r="BB34" s="100">
        <f t="shared" si="24"/>
        <v>0.26999999999999996</v>
      </c>
      <c r="BC34" s="99">
        <f t="shared" si="25"/>
        <v>1</v>
      </c>
      <c r="BD34" s="97">
        <f t="shared" si="26"/>
        <v>0.73484692283495334</v>
      </c>
      <c r="BE34" s="100">
        <f t="shared" si="27"/>
        <v>0.2449489742783178</v>
      </c>
      <c r="BF34" s="99">
        <f t="shared" si="28"/>
        <v>0.44090815370097208</v>
      </c>
      <c r="BG34" s="97">
        <f t="shared" si="60"/>
        <v>0.44090815370097208</v>
      </c>
      <c r="BH34" s="97">
        <f t="shared" si="61"/>
        <v>0.25197375683380197</v>
      </c>
      <c r="BI34" s="97">
        <v>0</v>
      </c>
      <c r="BJ34" s="97">
        <f t="shared" si="29"/>
        <v>6.3490774132939965E-4</v>
      </c>
      <c r="BK34" s="100">
        <f t="shared" si="47"/>
        <v>6.3490774132939965E-4</v>
      </c>
      <c r="BL34" s="99">
        <f t="shared" si="59"/>
        <v>0.19840866916543737</v>
      </c>
      <c r="BM34" s="97">
        <f t="shared" si="48"/>
        <v>0.21821567450507531</v>
      </c>
      <c r="BN34" s="97">
        <f t="shared" si="49"/>
        <v>2.8038867654315608E-3</v>
      </c>
      <c r="BO34" s="97">
        <f t="shared" si="50"/>
        <v>0.28349999999999997</v>
      </c>
      <c r="BP34" s="100">
        <f t="shared" si="51"/>
        <v>0.28630388676543156</v>
      </c>
      <c r="BQ34" s="99">
        <f t="shared" si="52"/>
        <v>6.6136223055145799E-2</v>
      </c>
      <c r="BR34" s="97">
        <f t="shared" si="30"/>
        <v>0.12598687841690098</v>
      </c>
      <c r="BS34" s="97">
        <f t="shared" si="31"/>
        <v>2.2679999999999999E-2</v>
      </c>
      <c r="BT34" s="97">
        <f t="shared" si="32"/>
        <v>0.75525000000000009</v>
      </c>
      <c r="BU34" s="100">
        <f t="shared" si="53"/>
        <v>0.77793000000000012</v>
      </c>
      <c r="BV34" s="99">
        <f t="shared" si="54"/>
        <v>0</v>
      </c>
      <c r="BW34" s="97">
        <f t="shared" si="33"/>
        <v>8.7499999999999994E-2</v>
      </c>
      <c r="BX34" s="100">
        <f t="shared" si="34"/>
        <v>1.155E-2</v>
      </c>
      <c r="BY34" s="99">
        <f t="shared" si="55"/>
        <v>1.1639187945067611</v>
      </c>
      <c r="BZ34" s="97">
        <f t="shared" si="56"/>
        <v>3.2399999999999998</v>
      </c>
      <c r="CA34" s="100">
        <f t="shared" si="57"/>
        <v>73.570838863818793</v>
      </c>
      <c r="CB34" s="51">
        <f t="shared" si="58"/>
        <v>0.38535388676543153</v>
      </c>
      <c r="CC34" s="32">
        <f t="shared" si="35"/>
        <v>38.487386036790106</v>
      </c>
    </row>
    <row r="35" spans="17:81" x14ac:dyDescent="0.3">
      <c r="Q35" s="32">
        <v>28</v>
      </c>
      <c r="S35" s="99">
        <f t="shared" si="0"/>
        <v>60</v>
      </c>
      <c r="T35" s="97">
        <f t="shared" si="36"/>
        <v>5.6000000000000001E-2</v>
      </c>
      <c r="U35" s="97">
        <f t="shared" si="1"/>
        <v>15</v>
      </c>
      <c r="V35" s="100">
        <f t="shared" si="2"/>
        <v>0.27999999999999997</v>
      </c>
      <c r="W35" s="99">
        <f t="shared" si="3"/>
        <v>1</v>
      </c>
      <c r="X35" s="97">
        <f t="shared" si="4"/>
        <v>0.74833147735478822</v>
      </c>
      <c r="Y35" s="100">
        <f t="shared" si="5"/>
        <v>0.24944382578492938</v>
      </c>
      <c r="Z35" s="99">
        <f t="shared" si="6"/>
        <v>0.44899888641287294</v>
      </c>
      <c r="AA35" s="97">
        <f t="shared" si="37"/>
        <v>0.44899888641287294</v>
      </c>
      <c r="AB35" s="97">
        <f t="shared" si="38"/>
        <v>0.25894111371311629</v>
      </c>
      <c r="AC35" s="97">
        <v>0</v>
      </c>
      <c r="AD35" s="97">
        <f t="shared" si="7"/>
        <v>6.705050037098902E-4</v>
      </c>
      <c r="AE35" s="100">
        <f t="shared" si="39"/>
        <v>6.705050037098902E-4</v>
      </c>
      <c r="AF35" s="99">
        <f t="shared" si="8"/>
        <v>0.20953281365934068</v>
      </c>
      <c r="AG35" s="97">
        <f t="shared" si="9"/>
        <v>0.22424958255979377</v>
      </c>
      <c r="AH35" s="97">
        <f t="shared" si="10"/>
        <v>2.606069678052663E-3</v>
      </c>
      <c r="AI35" s="97">
        <f t="shared" si="40"/>
        <v>0.29399999999999993</v>
      </c>
      <c r="AJ35" s="100">
        <f t="shared" si="41"/>
        <v>0.29660606967805259</v>
      </c>
      <c r="AK35" s="99">
        <f t="shared" si="11"/>
        <v>6.9844271219780221E-2</v>
      </c>
      <c r="AL35" s="97">
        <f t="shared" si="12"/>
        <v>0.12947055685655812</v>
      </c>
      <c r="AM35" s="97">
        <f t="shared" si="13"/>
        <v>2.3519999999999999E-2</v>
      </c>
      <c r="AN35" s="97">
        <f t="shared" si="14"/>
        <v>0.75525000000000009</v>
      </c>
      <c r="AO35" s="100">
        <f t="shared" si="42"/>
        <v>0.77877000000000007</v>
      </c>
      <c r="AP35" s="99">
        <f t="shared" si="43"/>
        <v>0</v>
      </c>
      <c r="AQ35" s="97">
        <f t="shared" si="15"/>
        <v>8.7499999999999994E-2</v>
      </c>
      <c r="AR35" s="100">
        <f t="shared" si="16"/>
        <v>1.155E-2</v>
      </c>
      <c r="AS35" s="99">
        <f t="shared" si="17"/>
        <v>0.39565606967805261</v>
      </c>
      <c r="AT35" s="215">
        <f t="shared" si="18"/>
        <v>48.739364180683154</v>
      </c>
      <c r="AU35" s="216">
        <f t="shared" si="19"/>
        <v>5.9038632595580086E-2</v>
      </c>
      <c r="AV35" s="97">
        <f t="shared" si="20"/>
        <v>3.36</v>
      </c>
      <c r="AW35" s="100">
        <f t="shared" si="44"/>
        <v>89.465061168075238</v>
      </c>
      <c r="AX35" s="32"/>
      <c r="AY35" s="99">
        <f t="shared" si="21"/>
        <v>60</v>
      </c>
      <c r="AZ35" s="97">
        <f t="shared" si="22"/>
        <v>5.6000000000000001E-2</v>
      </c>
      <c r="BA35" s="97">
        <f t="shared" si="23"/>
        <v>15</v>
      </c>
      <c r="BB35" s="100">
        <f t="shared" si="24"/>
        <v>0.27999999999999997</v>
      </c>
      <c r="BC35" s="99">
        <f t="shared" si="25"/>
        <v>1</v>
      </c>
      <c r="BD35" s="97">
        <f t="shared" si="26"/>
        <v>0.74833147735478822</v>
      </c>
      <c r="BE35" s="100">
        <f t="shared" si="27"/>
        <v>0.24944382578492938</v>
      </c>
      <c r="BF35" s="99">
        <f t="shared" si="28"/>
        <v>0.44899888641287294</v>
      </c>
      <c r="BG35" s="97">
        <f t="shared" si="60"/>
        <v>0.44899888641287294</v>
      </c>
      <c r="BH35" s="97">
        <f t="shared" si="61"/>
        <v>0.25894111371311629</v>
      </c>
      <c r="BI35" s="97">
        <v>0</v>
      </c>
      <c r="BJ35" s="97">
        <f t="shared" si="29"/>
        <v>6.705050037098902E-4</v>
      </c>
      <c r="BK35" s="100">
        <f t="shared" si="47"/>
        <v>6.705050037098902E-4</v>
      </c>
      <c r="BL35" s="99">
        <f t="shared" si="59"/>
        <v>0.20953281365934068</v>
      </c>
      <c r="BM35" s="97">
        <f t="shared" si="48"/>
        <v>0.22424958255979377</v>
      </c>
      <c r="BN35" s="97">
        <f t="shared" si="49"/>
        <v>2.9689273925644698E-3</v>
      </c>
      <c r="BO35" s="97">
        <f t="shared" si="50"/>
        <v>0.29399999999999993</v>
      </c>
      <c r="BP35" s="100">
        <f t="shared" si="51"/>
        <v>0.29696892739256442</v>
      </c>
      <c r="BQ35" s="99">
        <f t="shared" si="52"/>
        <v>6.9844271219780221E-2</v>
      </c>
      <c r="BR35" s="97">
        <f t="shared" si="30"/>
        <v>0.12947055685655812</v>
      </c>
      <c r="BS35" s="97">
        <f t="shared" si="31"/>
        <v>2.3519999999999999E-2</v>
      </c>
      <c r="BT35" s="97">
        <f t="shared" si="32"/>
        <v>0.75525000000000009</v>
      </c>
      <c r="BU35" s="100">
        <f t="shared" si="53"/>
        <v>0.77877000000000007</v>
      </c>
      <c r="BV35" s="99">
        <f t="shared" si="54"/>
        <v>0</v>
      </c>
      <c r="BW35" s="97">
        <f t="shared" si="33"/>
        <v>8.7499999999999994E-2</v>
      </c>
      <c r="BX35" s="100">
        <f t="shared" si="34"/>
        <v>1.155E-2</v>
      </c>
      <c r="BY35" s="99">
        <f t="shared" si="55"/>
        <v>1.1754594323962742</v>
      </c>
      <c r="BZ35" s="97">
        <f t="shared" si="56"/>
        <v>3.36</v>
      </c>
      <c r="CA35" s="100">
        <f t="shared" si="57"/>
        <v>74.082902737480126</v>
      </c>
      <c r="CB35" s="51">
        <f t="shared" si="58"/>
        <v>0.39601892739256445</v>
      </c>
      <c r="CC35" s="32">
        <f t="shared" si="35"/>
        <v>38.860662458739753</v>
      </c>
    </row>
    <row r="36" spans="17:81" x14ac:dyDescent="0.3">
      <c r="Q36" s="32">
        <v>29</v>
      </c>
      <c r="S36" s="99">
        <f t="shared" si="0"/>
        <v>60</v>
      </c>
      <c r="T36" s="97">
        <f t="shared" si="36"/>
        <v>5.8000000000000003E-2</v>
      </c>
      <c r="U36" s="97">
        <f t="shared" si="1"/>
        <v>15</v>
      </c>
      <c r="V36" s="100">
        <f t="shared" si="2"/>
        <v>0.28999999999999998</v>
      </c>
      <c r="W36" s="99">
        <f t="shared" si="3"/>
        <v>2</v>
      </c>
      <c r="X36" s="97">
        <f t="shared" si="4"/>
        <v>0.75</v>
      </c>
      <c r="Y36" s="100">
        <f t="shared" si="5"/>
        <v>0.25</v>
      </c>
      <c r="Z36" s="99">
        <f t="shared" si="6"/>
        <v>0.45000000000000007</v>
      </c>
      <c r="AA36" s="97">
        <f t="shared" si="37"/>
        <v>0.51500000000000001</v>
      </c>
      <c r="AB36" s="97">
        <f t="shared" si="38"/>
        <v>0.31776563690871296</v>
      </c>
      <c r="AC36" s="97">
        <v>0</v>
      </c>
      <c r="AD36" s="97">
        <f t="shared" si="7"/>
        <v>1.00975E-3</v>
      </c>
      <c r="AE36" s="100">
        <f t="shared" si="39"/>
        <v>1.00975E-3</v>
      </c>
      <c r="AF36" s="99">
        <f t="shared" si="8"/>
        <v>0.21749999999999997</v>
      </c>
      <c r="AG36" s="97">
        <f t="shared" si="9"/>
        <v>0.27519311401268742</v>
      </c>
      <c r="AH36" s="97">
        <f t="shared" si="10"/>
        <v>3.9246222516666667E-3</v>
      </c>
      <c r="AI36" s="97">
        <f t="shared" si="40"/>
        <v>0.30449999999999999</v>
      </c>
      <c r="AJ36" s="100">
        <f t="shared" si="41"/>
        <v>0.30842462225166667</v>
      </c>
      <c r="AK36" s="99">
        <f t="shared" si="11"/>
        <v>7.2499999999999995E-2</v>
      </c>
      <c r="AL36" s="97">
        <f t="shared" si="12"/>
        <v>0.15888281845435645</v>
      </c>
      <c r="AM36" s="97">
        <f t="shared" si="13"/>
        <v>2.436E-2</v>
      </c>
      <c r="AN36" s="97">
        <f t="shared" si="14"/>
        <v>0.75525000000000009</v>
      </c>
      <c r="AO36" s="100">
        <f t="shared" si="42"/>
        <v>0.77961000000000014</v>
      </c>
      <c r="AP36" s="99">
        <f t="shared" si="43"/>
        <v>0</v>
      </c>
      <c r="AQ36" s="97">
        <f t="shared" si="15"/>
        <v>8.7499999999999994E-2</v>
      </c>
      <c r="AR36" s="100">
        <f t="shared" si="16"/>
        <v>1.155E-2</v>
      </c>
      <c r="AS36" s="99">
        <f t="shared" si="17"/>
        <v>0.4074746222516667</v>
      </c>
      <c r="AT36" s="215">
        <f t="shared" si="18"/>
        <v>49.448477335100002</v>
      </c>
      <c r="AU36" s="216">
        <f t="shared" si="19"/>
        <v>5.9211733104639869E-2</v>
      </c>
      <c r="AV36" s="97">
        <f t="shared" si="20"/>
        <v>3.48</v>
      </c>
      <c r="AW36" s="100">
        <f t="shared" si="44"/>
        <v>89.518269266137267</v>
      </c>
      <c r="AX36" s="32"/>
      <c r="AY36" s="99">
        <f t="shared" si="21"/>
        <v>60</v>
      </c>
      <c r="AZ36" s="97">
        <f t="shared" si="22"/>
        <v>5.8000000000000003E-2</v>
      </c>
      <c r="BA36" s="97">
        <f t="shared" si="23"/>
        <v>15</v>
      </c>
      <c r="BB36" s="100">
        <f t="shared" si="24"/>
        <v>0.28999999999999998</v>
      </c>
      <c r="BC36" s="99">
        <f t="shared" si="25"/>
        <v>2</v>
      </c>
      <c r="BD36" s="97">
        <f t="shared" si="26"/>
        <v>0.75</v>
      </c>
      <c r="BE36" s="100">
        <f t="shared" si="27"/>
        <v>0.25</v>
      </c>
      <c r="BF36" s="99">
        <f t="shared" si="28"/>
        <v>0.45000000000000007</v>
      </c>
      <c r="BG36" s="97">
        <f t="shared" si="60"/>
        <v>0.51500000000000001</v>
      </c>
      <c r="BH36" s="97">
        <f t="shared" si="61"/>
        <v>0.31776563690871296</v>
      </c>
      <c r="BI36" s="97">
        <v>0</v>
      </c>
      <c r="BJ36" s="97">
        <f t="shared" si="29"/>
        <v>1.00975E-3</v>
      </c>
      <c r="BK36" s="100">
        <f t="shared" si="47"/>
        <v>1.00975E-3</v>
      </c>
      <c r="BL36" s="99">
        <f t="shared" si="59"/>
        <v>0.21749999999999997</v>
      </c>
      <c r="BM36" s="97">
        <f t="shared" si="48"/>
        <v>0.27519311401268742</v>
      </c>
      <c r="BN36" s="97">
        <f t="shared" si="49"/>
        <v>4.4841785626807563E-3</v>
      </c>
      <c r="BO36" s="97">
        <f t="shared" si="50"/>
        <v>0.30449999999999999</v>
      </c>
      <c r="BP36" s="100">
        <f t="shared" si="51"/>
        <v>0.30898417856268073</v>
      </c>
      <c r="BQ36" s="99">
        <f t="shared" si="52"/>
        <v>7.2499999999999995E-2</v>
      </c>
      <c r="BR36" s="97">
        <f t="shared" si="30"/>
        <v>0.15888281845435645</v>
      </c>
      <c r="BS36" s="97">
        <f t="shared" si="31"/>
        <v>2.436E-2</v>
      </c>
      <c r="BT36" s="97">
        <f t="shared" si="32"/>
        <v>0.75525000000000009</v>
      </c>
      <c r="BU36" s="100">
        <f t="shared" si="53"/>
        <v>0.77961000000000014</v>
      </c>
      <c r="BV36" s="99">
        <f t="shared" si="54"/>
        <v>0</v>
      </c>
      <c r="BW36" s="97">
        <f t="shared" si="33"/>
        <v>8.7499999999999994E-2</v>
      </c>
      <c r="BX36" s="100">
        <f t="shared" si="34"/>
        <v>1.155E-2</v>
      </c>
      <c r="BY36" s="99">
        <f t="shared" si="55"/>
        <v>1.1886539285626807</v>
      </c>
      <c r="BZ36" s="97">
        <f t="shared" si="56"/>
        <v>3.48</v>
      </c>
      <c r="CA36" s="100">
        <f t="shared" si="57"/>
        <v>74.539686454578842</v>
      </c>
      <c r="CB36" s="51">
        <f t="shared" si="58"/>
        <v>0.4080341785626807</v>
      </c>
      <c r="CC36" s="32">
        <f t="shared" si="35"/>
        <v>39.281196249693821</v>
      </c>
    </row>
    <row r="37" spans="17:81" x14ac:dyDescent="0.3">
      <c r="Q37" s="32">
        <v>30</v>
      </c>
      <c r="S37" s="99">
        <f t="shared" si="0"/>
        <v>60</v>
      </c>
      <c r="T37" s="97">
        <f t="shared" si="36"/>
        <v>0.06</v>
      </c>
      <c r="U37" s="97">
        <f t="shared" si="1"/>
        <v>15</v>
      </c>
      <c r="V37" s="100">
        <f t="shared" si="2"/>
        <v>0.3</v>
      </c>
      <c r="W37" s="99">
        <f t="shared" si="3"/>
        <v>2</v>
      </c>
      <c r="X37" s="97">
        <f t="shared" si="4"/>
        <v>0.75</v>
      </c>
      <c r="Y37" s="100">
        <f t="shared" si="5"/>
        <v>0.25</v>
      </c>
      <c r="Z37" s="99">
        <f t="shared" si="6"/>
        <v>0.45000000000000007</v>
      </c>
      <c r="AA37" s="97">
        <f t="shared" si="37"/>
        <v>0.52500000000000002</v>
      </c>
      <c r="AB37" s="97">
        <f t="shared" si="38"/>
        <v>0.32691742076555053</v>
      </c>
      <c r="AC37" s="97">
        <v>0</v>
      </c>
      <c r="AD37" s="97">
        <f t="shared" si="7"/>
        <v>1.06875E-3</v>
      </c>
      <c r="AE37" s="100">
        <f t="shared" si="39"/>
        <v>1.06875E-3</v>
      </c>
      <c r="AF37" s="99">
        <f t="shared" si="8"/>
        <v>0.22499999999999998</v>
      </c>
      <c r="AG37" s="97">
        <f t="shared" si="9"/>
        <v>0.28311879132265311</v>
      </c>
      <c r="AH37" s="97">
        <f t="shared" si="10"/>
        <v>4.1539391250000014E-3</v>
      </c>
      <c r="AI37" s="97">
        <f t="shared" si="40"/>
        <v>0.315</v>
      </c>
      <c r="AJ37" s="100">
        <f t="shared" si="41"/>
        <v>0.31915393912500001</v>
      </c>
      <c r="AK37" s="99">
        <f t="shared" si="11"/>
        <v>7.4999999999999997E-2</v>
      </c>
      <c r="AL37" s="97">
        <f t="shared" si="12"/>
        <v>0.16345871038277524</v>
      </c>
      <c r="AM37" s="97">
        <f t="shared" si="13"/>
        <v>2.5199999999999997E-2</v>
      </c>
      <c r="AN37" s="97">
        <f t="shared" si="14"/>
        <v>0.75525000000000009</v>
      </c>
      <c r="AO37" s="100">
        <f t="shared" si="42"/>
        <v>0.78045000000000009</v>
      </c>
      <c r="AP37" s="99">
        <f t="shared" si="43"/>
        <v>0</v>
      </c>
      <c r="AQ37" s="97">
        <f t="shared" si="15"/>
        <v>8.7499999999999994E-2</v>
      </c>
      <c r="AR37" s="100">
        <f t="shared" si="16"/>
        <v>1.155E-2</v>
      </c>
      <c r="AS37" s="99">
        <f t="shared" si="17"/>
        <v>0.41820393912500003</v>
      </c>
      <c r="AT37" s="215">
        <f t="shared" si="18"/>
        <v>50.092236347500005</v>
      </c>
      <c r="AU37" s="216">
        <f t="shared" si="19"/>
        <v>5.9368880115753926E-2</v>
      </c>
      <c r="AV37" s="97">
        <f t="shared" si="20"/>
        <v>3.5999999999999996</v>
      </c>
      <c r="AW37" s="100">
        <f t="shared" si="44"/>
        <v>89.592266956562995</v>
      </c>
      <c r="AX37" s="32"/>
      <c r="AY37" s="99">
        <f t="shared" si="21"/>
        <v>60</v>
      </c>
      <c r="AZ37" s="97">
        <f t="shared" si="22"/>
        <v>0.06</v>
      </c>
      <c r="BA37" s="97">
        <f t="shared" si="23"/>
        <v>15</v>
      </c>
      <c r="BB37" s="100">
        <f t="shared" si="24"/>
        <v>0.3</v>
      </c>
      <c r="BC37" s="99">
        <f t="shared" si="25"/>
        <v>2</v>
      </c>
      <c r="BD37" s="97">
        <f t="shared" si="26"/>
        <v>0.75</v>
      </c>
      <c r="BE37" s="100">
        <f t="shared" si="27"/>
        <v>0.25</v>
      </c>
      <c r="BF37" s="99">
        <f t="shared" si="28"/>
        <v>0.45000000000000007</v>
      </c>
      <c r="BG37" s="97">
        <f t="shared" si="60"/>
        <v>0.52500000000000002</v>
      </c>
      <c r="BH37" s="97">
        <f t="shared" si="61"/>
        <v>0.32691742076555053</v>
      </c>
      <c r="BI37" s="97">
        <v>0</v>
      </c>
      <c r="BJ37" s="97">
        <f t="shared" si="29"/>
        <v>1.06875E-3</v>
      </c>
      <c r="BK37" s="100">
        <f t="shared" si="47"/>
        <v>1.06875E-3</v>
      </c>
      <c r="BL37" s="99">
        <f t="shared" si="59"/>
        <v>0.22499999999999998</v>
      </c>
      <c r="BM37" s="97">
        <f t="shared" si="48"/>
        <v>0.28311879132265311</v>
      </c>
      <c r="BN37" s="97">
        <f t="shared" si="49"/>
        <v>4.7587867967784003E-3</v>
      </c>
      <c r="BO37" s="97">
        <f t="shared" si="50"/>
        <v>0.315</v>
      </c>
      <c r="BP37" s="100">
        <f t="shared" si="51"/>
        <v>0.31975878679677838</v>
      </c>
      <c r="BQ37" s="99">
        <f t="shared" si="52"/>
        <v>7.4999999999999997E-2</v>
      </c>
      <c r="BR37" s="97">
        <f t="shared" si="30"/>
        <v>0.16345871038277524</v>
      </c>
      <c r="BS37" s="97">
        <f t="shared" si="31"/>
        <v>2.5199999999999997E-2</v>
      </c>
      <c r="BT37" s="97">
        <f t="shared" si="32"/>
        <v>0.75525000000000009</v>
      </c>
      <c r="BU37" s="100">
        <f t="shared" si="53"/>
        <v>0.78045000000000009</v>
      </c>
      <c r="BV37" s="99">
        <f t="shared" si="54"/>
        <v>0</v>
      </c>
      <c r="BW37" s="97">
        <f t="shared" si="33"/>
        <v>8.7499999999999994E-2</v>
      </c>
      <c r="BX37" s="100">
        <f t="shared" si="34"/>
        <v>1.155E-2</v>
      </c>
      <c r="BY37" s="99">
        <f t="shared" si="55"/>
        <v>1.2003275367967783</v>
      </c>
      <c r="BZ37" s="97">
        <f t="shared" si="56"/>
        <v>3.5999999999999996</v>
      </c>
      <c r="CA37" s="100">
        <f t="shared" si="57"/>
        <v>74.994882586746414</v>
      </c>
      <c r="CB37" s="51">
        <f t="shared" si="58"/>
        <v>0.41880878679677841</v>
      </c>
      <c r="CC37" s="32">
        <f t="shared" si="35"/>
        <v>39.658307537887246</v>
      </c>
    </row>
    <row r="38" spans="17:81" x14ac:dyDescent="0.3">
      <c r="Q38" s="32">
        <v>31</v>
      </c>
      <c r="S38" s="99">
        <f t="shared" si="0"/>
        <v>60</v>
      </c>
      <c r="T38" s="97">
        <f t="shared" si="36"/>
        <v>6.2E-2</v>
      </c>
      <c r="U38" s="97">
        <f t="shared" si="1"/>
        <v>15</v>
      </c>
      <c r="V38" s="100">
        <f t="shared" si="2"/>
        <v>0.31</v>
      </c>
      <c r="W38" s="99">
        <f t="shared" si="3"/>
        <v>2</v>
      </c>
      <c r="X38" s="97">
        <f t="shared" si="4"/>
        <v>0.75</v>
      </c>
      <c r="Y38" s="100">
        <f t="shared" si="5"/>
        <v>0.25</v>
      </c>
      <c r="Z38" s="99">
        <f t="shared" si="6"/>
        <v>0.45000000000000007</v>
      </c>
      <c r="AA38" s="97">
        <f t="shared" si="37"/>
        <v>0.53500000000000003</v>
      </c>
      <c r="AB38" s="97">
        <f t="shared" si="38"/>
        <v>0.33611753896516616</v>
      </c>
      <c r="AC38" s="97">
        <v>0</v>
      </c>
      <c r="AD38" s="97">
        <f t="shared" si="7"/>
        <v>1.1297499999999999E-3</v>
      </c>
      <c r="AE38" s="100">
        <f t="shared" si="39"/>
        <v>1.1297499999999999E-3</v>
      </c>
      <c r="AF38" s="99">
        <f t="shared" si="8"/>
        <v>0.23249999999999998</v>
      </c>
      <c r="AG38" s="97">
        <f t="shared" si="9"/>
        <v>0.29108632740133977</v>
      </c>
      <c r="AH38" s="97">
        <f t="shared" si="10"/>
        <v>4.3910294516666662E-3</v>
      </c>
      <c r="AI38" s="97">
        <f t="shared" si="40"/>
        <v>0.32550000000000001</v>
      </c>
      <c r="AJ38" s="100">
        <f t="shared" si="41"/>
        <v>0.32989102945166665</v>
      </c>
      <c r="AK38" s="99">
        <f t="shared" si="11"/>
        <v>7.7499999999999999E-2</v>
      </c>
      <c r="AL38" s="97">
        <f t="shared" si="12"/>
        <v>0.16805876948258305</v>
      </c>
      <c r="AM38" s="97">
        <f t="shared" si="13"/>
        <v>2.6039999999999997E-2</v>
      </c>
      <c r="AN38" s="97">
        <f t="shared" si="14"/>
        <v>0.75525000000000009</v>
      </c>
      <c r="AO38" s="100">
        <f t="shared" si="42"/>
        <v>0.78129000000000004</v>
      </c>
      <c r="AP38" s="99">
        <f t="shared" si="43"/>
        <v>0</v>
      </c>
      <c r="AQ38" s="97">
        <f t="shared" si="15"/>
        <v>8.7499999999999994E-2</v>
      </c>
      <c r="AR38" s="100">
        <f t="shared" si="16"/>
        <v>1.155E-2</v>
      </c>
      <c r="AS38" s="99">
        <f t="shared" si="17"/>
        <v>0.42894102945166662</v>
      </c>
      <c r="AT38" s="215">
        <f t="shared" si="18"/>
        <v>50.736461767099996</v>
      </c>
      <c r="AU38" s="216">
        <f t="shared" si="19"/>
        <v>5.9526140980804054E-2</v>
      </c>
      <c r="AV38" s="97">
        <f t="shared" si="20"/>
        <v>3.7199999999999998</v>
      </c>
      <c r="AW38" s="100">
        <f t="shared" si="44"/>
        <v>89.661433449962615</v>
      </c>
      <c r="AX38" s="32"/>
      <c r="AY38" s="99">
        <f t="shared" si="21"/>
        <v>60</v>
      </c>
      <c r="AZ38" s="97">
        <f t="shared" si="22"/>
        <v>6.2E-2</v>
      </c>
      <c r="BA38" s="97">
        <f t="shared" si="23"/>
        <v>15</v>
      </c>
      <c r="BB38" s="100">
        <f t="shared" si="24"/>
        <v>0.31</v>
      </c>
      <c r="BC38" s="99">
        <f t="shared" si="25"/>
        <v>2</v>
      </c>
      <c r="BD38" s="97">
        <f t="shared" si="26"/>
        <v>0.75</v>
      </c>
      <c r="BE38" s="100">
        <f t="shared" si="27"/>
        <v>0.25</v>
      </c>
      <c r="BF38" s="99">
        <f t="shared" si="28"/>
        <v>0.45000000000000007</v>
      </c>
      <c r="BG38" s="97">
        <f t="shared" si="60"/>
        <v>0.53500000000000003</v>
      </c>
      <c r="BH38" s="97">
        <f t="shared" si="61"/>
        <v>0.33611753896516616</v>
      </c>
      <c r="BI38" s="97">
        <v>0</v>
      </c>
      <c r="BJ38" s="97">
        <f t="shared" si="29"/>
        <v>1.1297499999999999E-3</v>
      </c>
      <c r="BK38" s="100">
        <f t="shared" si="47"/>
        <v>1.1297499999999999E-3</v>
      </c>
      <c r="BL38" s="99">
        <f t="shared" si="59"/>
        <v>0.23249999999999998</v>
      </c>
      <c r="BM38" s="97">
        <f t="shared" si="48"/>
        <v>0.29108632740133977</v>
      </c>
      <c r="BN38" s="97">
        <f t="shared" si="49"/>
        <v>5.0437243329797517E-3</v>
      </c>
      <c r="BO38" s="97">
        <f t="shared" si="50"/>
        <v>0.32550000000000001</v>
      </c>
      <c r="BP38" s="100">
        <f t="shared" si="51"/>
        <v>0.33054372433297974</v>
      </c>
      <c r="BQ38" s="99">
        <f t="shared" si="52"/>
        <v>7.7499999999999999E-2</v>
      </c>
      <c r="BR38" s="97">
        <f t="shared" si="30"/>
        <v>0.16805876948258305</v>
      </c>
      <c r="BS38" s="97">
        <f t="shared" si="31"/>
        <v>2.6039999999999997E-2</v>
      </c>
      <c r="BT38" s="97">
        <f t="shared" si="32"/>
        <v>0.75525000000000009</v>
      </c>
      <c r="BU38" s="100">
        <f t="shared" si="53"/>
        <v>0.78129000000000004</v>
      </c>
      <c r="BV38" s="99">
        <f t="shared" si="54"/>
        <v>0</v>
      </c>
      <c r="BW38" s="97">
        <f t="shared" si="33"/>
        <v>8.7499999999999994E-2</v>
      </c>
      <c r="BX38" s="100">
        <f t="shared" si="34"/>
        <v>1.155E-2</v>
      </c>
      <c r="BY38" s="99">
        <f t="shared" si="55"/>
        <v>1.2120134743329796</v>
      </c>
      <c r="BZ38" s="97">
        <f t="shared" si="56"/>
        <v>3.7199999999999998</v>
      </c>
      <c r="CA38" s="100">
        <f t="shared" si="57"/>
        <v>75.425584689893896</v>
      </c>
      <c r="CB38" s="51">
        <f t="shared" si="58"/>
        <v>0.42959372433297977</v>
      </c>
      <c r="CC38" s="32">
        <f t="shared" si="35"/>
        <v>40.035780351654296</v>
      </c>
    </row>
    <row r="39" spans="17:81" x14ac:dyDescent="0.3">
      <c r="Q39" s="32">
        <v>32</v>
      </c>
      <c r="S39" s="99">
        <f t="shared" si="0"/>
        <v>60</v>
      </c>
      <c r="T39" s="97">
        <f t="shared" si="36"/>
        <v>6.4000000000000001E-2</v>
      </c>
      <c r="U39" s="97">
        <f t="shared" si="1"/>
        <v>15</v>
      </c>
      <c r="V39" s="100">
        <f t="shared" si="2"/>
        <v>0.32</v>
      </c>
      <c r="W39" s="99">
        <f t="shared" si="3"/>
        <v>2</v>
      </c>
      <c r="X39" s="97">
        <f t="shared" si="4"/>
        <v>0.75</v>
      </c>
      <c r="Y39" s="100">
        <f t="shared" ref="Y39:Y70" si="62">CHOOSE(W39,(Lm*AA39*Fsw)/(S39-U39),1-X39)</f>
        <v>0.25</v>
      </c>
      <c r="Z39" s="99">
        <f t="shared" si="6"/>
        <v>0.45000000000000007</v>
      </c>
      <c r="AA39" s="97">
        <f t="shared" si="37"/>
        <v>0.54500000000000004</v>
      </c>
      <c r="AB39" s="97">
        <f t="shared" si="38"/>
        <v>0.34536212878658251</v>
      </c>
      <c r="AC39" s="97">
        <v>0</v>
      </c>
      <c r="AD39" s="97">
        <f t="shared" si="7"/>
        <v>1.19275E-3</v>
      </c>
      <c r="AE39" s="100">
        <f t="shared" si="39"/>
        <v>1.19275E-3</v>
      </c>
      <c r="AF39" s="99">
        <f t="shared" ref="AF39:AF70" si="63">V39*X39</f>
        <v>0.24</v>
      </c>
      <c r="AG39" s="97">
        <f t="shared" ref="AG39:AG70" si="64">CHOOSE(W39,AA39*SQRT(X39/3),SQRT(X39*((AA39^2)+((Z39^2)/3)-(AA39*Z39))))</f>
        <v>0.2990923770342534</v>
      </c>
      <c r="AH39" s="97">
        <f t="shared" si="10"/>
        <v>4.6358932316666671E-3</v>
      </c>
      <c r="AI39" s="97">
        <f t="shared" si="40"/>
        <v>0.33599999999999997</v>
      </c>
      <c r="AJ39" s="100">
        <f t="shared" si="41"/>
        <v>0.34063589323166665</v>
      </c>
      <c r="AK39" s="99">
        <f t="shared" ref="AK39:AK70" si="65">Y39*V39</f>
        <v>0.08</v>
      </c>
      <c r="AL39" s="97">
        <f t="shared" ref="AL39:AL70" si="66">CHOOSE(W39,AA39*SQRT(Y39/3),SQRT(Y39*((AA39^2)+((Z39^2)/3)-(Z39*AA39))))</f>
        <v>0.17268106439329126</v>
      </c>
      <c r="AM39" s="97">
        <f t="shared" ref="AM39:AM70" si="67">T39*Vd_rect</f>
        <v>2.6880000000000001E-2</v>
      </c>
      <c r="AN39" s="97">
        <f t="shared" ref="AN39:AN70" si="68">CHOOSE(W39,(S39+Vd_rect)*Qrr*Fsw,(S39+Vd_rect)*Qrr*Fsw)</f>
        <v>0.75525000000000009</v>
      </c>
      <c r="AO39" s="100">
        <f t="shared" si="42"/>
        <v>0.7821300000000001</v>
      </c>
      <c r="AP39" s="99">
        <f t="shared" si="43"/>
        <v>0</v>
      </c>
      <c r="AQ39" s="97">
        <f t="shared" si="15"/>
        <v>8.7499999999999994E-2</v>
      </c>
      <c r="AR39" s="100">
        <f t="shared" ref="AR39:AR70" si="69">IQ*U39</f>
        <v>1.155E-2</v>
      </c>
      <c r="AS39" s="99">
        <f t="shared" ref="AS39:AS95" si="70">AP39+AJ39+AQ39+AR39</f>
        <v>0.43968589323166668</v>
      </c>
      <c r="AT39" s="215">
        <f t="shared" ref="AT39:AT70" si="71">Ta+Tk*AS39</f>
        <v>51.381153593900002</v>
      </c>
      <c r="AU39" s="216">
        <f t="shared" ref="AU39:AU70" si="72">RDS_on/51.8*(47.12+AT39*0.244)</f>
        <v>5.9683515699790246E-2</v>
      </c>
      <c r="AV39" s="97">
        <f t="shared" ref="AV39:AV70" si="73">S39*T39</f>
        <v>3.84</v>
      </c>
      <c r="AW39" s="100">
        <f t="shared" si="44"/>
        <v>89.726211123881058</v>
      </c>
      <c r="AX39" s="32"/>
      <c r="AY39" s="99">
        <f t="shared" si="21"/>
        <v>60</v>
      </c>
      <c r="AZ39" s="97">
        <f t="shared" ref="AZ39:AZ70" si="74">Q39*$O$12</f>
        <v>6.4000000000000001E-2</v>
      </c>
      <c r="BA39" s="97">
        <f t="shared" si="23"/>
        <v>15</v>
      </c>
      <c r="BB39" s="100">
        <f t="shared" ref="BB39:BB70" si="75">(AY39*AZ39)/(BA39*EFF_est)</f>
        <v>0.32</v>
      </c>
      <c r="BC39" s="99">
        <f t="shared" ref="BC39:BC70" si="76">IF((AZ39*AY39/BA39)&lt;((BA39*(1-(BA39/AY39)))/(2*Lm*Fsw)),1,2)</f>
        <v>2</v>
      </c>
      <c r="BD39" s="97">
        <f t="shared" ref="BD39:BD70" si="77">CHOOSE(BC39,SQRT((2*AZ39*Lm*Fsw*(AY39-BA39))/((BA39)^2)),1-(BA39/AY39))</f>
        <v>0.75</v>
      </c>
      <c r="BE39" s="100">
        <f t="shared" ref="BE39:BE70" si="78">CHOOSE(BC39,(Lm*BG39*Fsw)/(AY39-BA39),1-BD39)</f>
        <v>0.25</v>
      </c>
      <c r="BF39" s="99">
        <f t="shared" ref="BF39:BF70" si="79">(BA39*BD39)/(Lm*Fsw)</f>
        <v>0.45000000000000007</v>
      </c>
      <c r="BG39" s="97">
        <f t="shared" si="60"/>
        <v>0.54500000000000004</v>
      </c>
      <c r="BH39" s="97">
        <f t="shared" si="61"/>
        <v>0.34536212878658251</v>
      </c>
      <c r="BI39" s="97">
        <v>0</v>
      </c>
      <c r="BJ39" s="97">
        <f t="shared" ref="BJ39:BJ70" si="80">(BH39^2)*Rdcr</f>
        <v>1.19275E-3</v>
      </c>
      <c r="BK39" s="100">
        <f t="shared" si="47"/>
        <v>1.19275E-3</v>
      </c>
      <c r="BL39" s="99">
        <f t="shared" si="59"/>
        <v>0.24</v>
      </c>
      <c r="BM39" s="97">
        <f t="shared" si="48"/>
        <v>0.2990923770342534</v>
      </c>
      <c r="BN39" s="97">
        <f t="shared" si="49"/>
        <v>5.3390635013193608E-3</v>
      </c>
      <c r="BO39" s="97">
        <f t="shared" si="50"/>
        <v>0.33599999999999997</v>
      </c>
      <c r="BP39" s="100">
        <f t="shared" si="51"/>
        <v>0.34133906350131932</v>
      </c>
      <c r="BQ39" s="99">
        <f t="shared" si="52"/>
        <v>0.08</v>
      </c>
      <c r="BR39" s="97">
        <f t="shared" ref="BR39:BR70" si="81">CHOOSE(BC39,BG39*SQRT(BE39/3),SQRT(BE39*((BG39^2)+((BF39^2)/3)-(BF39*BG39))))</f>
        <v>0.17268106439329126</v>
      </c>
      <c r="BS39" s="97">
        <f t="shared" ref="BS39:BS70" si="82">AZ39*Vd_rect</f>
        <v>2.6880000000000001E-2</v>
      </c>
      <c r="BT39" s="97">
        <f t="shared" ref="BT39:BT70" si="83">CHOOSE(BC39,(AY39+Vd_rect)*Qrr*Fsw,(AY39+Vd_rect)*Qrr*Fsw)</f>
        <v>0.75525000000000009</v>
      </c>
      <c r="BU39" s="100">
        <f t="shared" si="53"/>
        <v>0.7821300000000001</v>
      </c>
      <c r="BV39" s="99">
        <f t="shared" si="54"/>
        <v>0</v>
      </c>
      <c r="BW39" s="97">
        <f t="shared" ref="BW39:BW70" si="84">Qg_tot*Vcc*Fsw</f>
        <v>8.7499999999999994E-2</v>
      </c>
      <c r="BX39" s="100">
        <f t="shared" ref="BX39:BX70" si="85">IQ*BA39</f>
        <v>1.155E-2</v>
      </c>
      <c r="BY39" s="99">
        <f t="shared" si="55"/>
        <v>1.2237118135013192</v>
      </c>
      <c r="BZ39" s="97">
        <f t="shared" si="56"/>
        <v>3.84</v>
      </c>
      <c r="CA39" s="100">
        <f t="shared" si="57"/>
        <v>75.833699496117646</v>
      </c>
      <c r="CB39" s="51">
        <f t="shared" si="58"/>
        <v>0.44038906350131929</v>
      </c>
      <c r="CC39" s="32">
        <f t="shared" ref="CC39:CC70" si="86">Ta+Tk_f*CB39</f>
        <v>40.413617222546179</v>
      </c>
    </row>
    <row r="40" spans="17:81" x14ac:dyDescent="0.3">
      <c r="Q40" s="32">
        <v>33</v>
      </c>
      <c r="S40" s="99">
        <f t="shared" si="0"/>
        <v>60</v>
      </c>
      <c r="T40" s="97">
        <f t="shared" si="36"/>
        <v>6.6000000000000003E-2</v>
      </c>
      <c r="U40" s="97">
        <f t="shared" si="1"/>
        <v>15</v>
      </c>
      <c r="V40" s="100">
        <f t="shared" si="2"/>
        <v>0.33</v>
      </c>
      <c r="W40" s="99">
        <f t="shared" si="3"/>
        <v>2</v>
      </c>
      <c r="X40" s="97">
        <f t="shared" si="4"/>
        <v>0.75</v>
      </c>
      <c r="Y40" s="100">
        <f t="shared" si="62"/>
        <v>0.25</v>
      </c>
      <c r="Z40" s="99">
        <f t="shared" si="6"/>
        <v>0.45000000000000007</v>
      </c>
      <c r="AA40" s="97">
        <f t="shared" si="37"/>
        <v>0.55500000000000005</v>
      </c>
      <c r="AB40" s="97">
        <f t="shared" si="38"/>
        <v>0.35464771252610672</v>
      </c>
      <c r="AC40" s="97">
        <v>0</v>
      </c>
      <c r="AD40" s="97">
        <f t="shared" si="7"/>
        <v>1.2577500000000002E-3</v>
      </c>
      <c r="AE40" s="100">
        <f t="shared" si="39"/>
        <v>1.2577500000000002E-3</v>
      </c>
      <c r="AF40" s="99">
        <f t="shared" si="63"/>
        <v>0.2475</v>
      </c>
      <c r="AG40" s="97">
        <f t="shared" si="64"/>
        <v>0.30713392844164905</v>
      </c>
      <c r="AH40" s="97">
        <f t="shared" si="10"/>
        <v>4.8885304650000015E-3</v>
      </c>
      <c r="AI40" s="97">
        <f t="shared" ref="AI40:AI71" si="87">((S40*V40)/2)*Fsw*(tr_sw_fix+tf_sw_fix)</f>
        <v>0.34649999999999997</v>
      </c>
      <c r="AJ40" s="100">
        <f t="shared" si="41"/>
        <v>0.35138853046499996</v>
      </c>
      <c r="AK40" s="99">
        <f t="shared" si="65"/>
        <v>8.2500000000000004E-2</v>
      </c>
      <c r="AL40" s="97">
        <f t="shared" si="66"/>
        <v>0.17732385626305333</v>
      </c>
      <c r="AM40" s="97">
        <f t="shared" si="67"/>
        <v>2.7720000000000002E-2</v>
      </c>
      <c r="AN40" s="97">
        <f t="shared" si="68"/>
        <v>0.75525000000000009</v>
      </c>
      <c r="AO40" s="100">
        <f t="shared" si="42"/>
        <v>0.78297000000000005</v>
      </c>
      <c r="AP40" s="99">
        <f t="shared" si="43"/>
        <v>0</v>
      </c>
      <c r="AQ40" s="97">
        <f t="shared" si="15"/>
        <v>8.7499999999999994E-2</v>
      </c>
      <c r="AR40" s="100">
        <f t="shared" si="69"/>
        <v>1.155E-2</v>
      </c>
      <c r="AS40" s="99">
        <f t="shared" si="70"/>
        <v>0.45043853046499999</v>
      </c>
      <c r="AT40" s="215">
        <f t="shared" si="71"/>
        <v>52.026311827900003</v>
      </c>
      <c r="AU40" s="216">
        <f t="shared" si="72"/>
        <v>5.9841004272712515E-2</v>
      </c>
      <c r="AV40" s="97">
        <f t="shared" si="73"/>
        <v>3.96</v>
      </c>
      <c r="AW40" s="100">
        <f t="shared" si="44"/>
        <v>89.786989947743152</v>
      </c>
      <c r="AX40" s="32"/>
      <c r="AY40" s="99">
        <f t="shared" si="21"/>
        <v>60</v>
      </c>
      <c r="AZ40" s="97">
        <f t="shared" si="74"/>
        <v>6.6000000000000003E-2</v>
      </c>
      <c r="BA40" s="97">
        <f t="shared" si="23"/>
        <v>15</v>
      </c>
      <c r="BB40" s="100">
        <f t="shared" si="75"/>
        <v>0.33</v>
      </c>
      <c r="BC40" s="99">
        <f t="shared" si="76"/>
        <v>2</v>
      </c>
      <c r="BD40" s="97">
        <f t="shared" si="77"/>
        <v>0.75</v>
      </c>
      <c r="BE40" s="100">
        <f t="shared" si="78"/>
        <v>0.25</v>
      </c>
      <c r="BF40" s="99">
        <f t="shared" si="79"/>
        <v>0.45000000000000007</v>
      </c>
      <c r="BG40" s="97">
        <f t="shared" si="60"/>
        <v>0.55500000000000005</v>
      </c>
      <c r="BH40" s="97">
        <f t="shared" si="61"/>
        <v>0.35464771252610672</v>
      </c>
      <c r="BI40" s="97">
        <v>0</v>
      </c>
      <c r="BJ40" s="97">
        <f t="shared" si="80"/>
        <v>1.2577500000000002E-3</v>
      </c>
      <c r="BK40" s="100">
        <f t="shared" si="47"/>
        <v>1.2577500000000002E-3</v>
      </c>
      <c r="BL40" s="99">
        <f t="shared" si="59"/>
        <v>0.2475</v>
      </c>
      <c r="BM40" s="97">
        <f t="shared" si="48"/>
        <v>0.30713392844164905</v>
      </c>
      <c r="BN40" s="97">
        <f t="shared" si="49"/>
        <v>5.6448767343003125E-3</v>
      </c>
      <c r="BO40" s="97">
        <f t="shared" ref="BO40:BO71" si="88">((AY40*BB40)/2)*Fsw*(tr_sw_fix+tf_sw_fix)</f>
        <v>0.34649999999999997</v>
      </c>
      <c r="BP40" s="100">
        <f t="shared" si="51"/>
        <v>0.35214487673430028</v>
      </c>
      <c r="BQ40" s="99">
        <f t="shared" si="52"/>
        <v>8.2500000000000004E-2</v>
      </c>
      <c r="BR40" s="97">
        <f t="shared" si="81"/>
        <v>0.17732385626305333</v>
      </c>
      <c r="BS40" s="97">
        <f t="shared" si="82"/>
        <v>2.7720000000000002E-2</v>
      </c>
      <c r="BT40" s="97">
        <f>CHOOSE(BC40,(AY40+Vd_rect)*Qrr*Fsw,(AY40+Vd_rect)*Qrr*Fsw)</f>
        <v>0.75525000000000009</v>
      </c>
      <c r="BU40" s="100">
        <f t="shared" si="53"/>
        <v>0.78297000000000005</v>
      </c>
      <c r="BV40" s="99">
        <f t="shared" si="54"/>
        <v>0</v>
      </c>
      <c r="BW40" s="97">
        <f t="shared" si="84"/>
        <v>8.7499999999999994E-2</v>
      </c>
      <c r="BX40" s="100">
        <f t="shared" si="85"/>
        <v>1.155E-2</v>
      </c>
      <c r="BY40" s="99">
        <f t="shared" si="55"/>
        <v>1.2354226267343003</v>
      </c>
      <c r="BZ40" s="97">
        <f t="shared" si="56"/>
        <v>3.96</v>
      </c>
      <c r="CA40" s="100">
        <f t="shared" si="57"/>
        <v>76.220940710826184</v>
      </c>
      <c r="CB40" s="51">
        <f t="shared" si="58"/>
        <v>0.45119487673430031</v>
      </c>
      <c r="CC40" s="32">
        <f t="shared" si="86"/>
        <v>40.791820685700515</v>
      </c>
    </row>
    <row r="41" spans="17:81" x14ac:dyDescent="0.3">
      <c r="Q41" s="32">
        <v>34</v>
      </c>
      <c r="S41" s="99">
        <f t="shared" si="0"/>
        <v>60</v>
      </c>
      <c r="T41" s="97">
        <f t="shared" si="36"/>
        <v>6.8000000000000005E-2</v>
      </c>
      <c r="U41" s="97">
        <f t="shared" si="1"/>
        <v>15</v>
      </c>
      <c r="V41" s="100">
        <f t="shared" si="2"/>
        <v>0.34</v>
      </c>
      <c r="W41" s="99">
        <f t="shared" si="3"/>
        <v>2</v>
      </c>
      <c r="X41" s="97">
        <f t="shared" si="4"/>
        <v>0.75</v>
      </c>
      <c r="Y41" s="100">
        <f t="shared" si="62"/>
        <v>0.25</v>
      </c>
      <c r="Z41" s="99">
        <f t="shared" si="6"/>
        <v>0.45000000000000007</v>
      </c>
      <c r="AA41" s="97">
        <f t="shared" si="37"/>
        <v>0.56500000000000006</v>
      </c>
      <c r="AB41" s="97">
        <f t="shared" si="38"/>
        <v>0.36397115270306801</v>
      </c>
      <c r="AC41" s="97">
        <v>0</v>
      </c>
      <c r="AD41" s="97">
        <f t="shared" si="7"/>
        <v>1.3247500000000006E-3</v>
      </c>
      <c r="AE41" s="100">
        <f t="shared" si="39"/>
        <v>1.3247500000000006E-3</v>
      </c>
      <c r="AF41" s="99">
        <f t="shared" si="63"/>
        <v>0.255</v>
      </c>
      <c r="AG41" s="97">
        <f t="shared" si="64"/>
        <v>0.315208264485562</v>
      </c>
      <c r="AH41" s="97">
        <f t="shared" si="10"/>
        <v>5.1489411516666686E-3</v>
      </c>
      <c r="AI41" s="97">
        <f t="shared" si="87"/>
        <v>0.35700000000000004</v>
      </c>
      <c r="AJ41" s="100">
        <f t="shared" si="41"/>
        <v>0.36214894115166668</v>
      </c>
      <c r="AK41" s="99">
        <f t="shared" si="65"/>
        <v>8.5000000000000006E-2</v>
      </c>
      <c r="AL41" s="97">
        <f t="shared" si="66"/>
        <v>0.18198557635153398</v>
      </c>
      <c r="AM41" s="97">
        <f t="shared" si="67"/>
        <v>2.8560000000000002E-2</v>
      </c>
      <c r="AN41" s="97">
        <f t="shared" si="68"/>
        <v>0.75525000000000009</v>
      </c>
      <c r="AO41" s="100">
        <f t="shared" si="42"/>
        <v>0.78381000000000012</v>
      </c>
      <c r="AP41" s="99">
        <f t="shared" si="43"/>
        <v>0</v>
      </c>
      <c r="AQ41" s="97">
        <f t="shared" si="15"/>
        <v>8.7499999999999994E-2</v>
      </c>
      <c r="AR41" s="100">
        <f t="shared" si="69"/>
        <v>1.155E-2</v>
      </c>
      <c r="AS41" s="99">
        <f t="shared" si="70"/>
        <v>0.46119894115166665</v>
      </c>
      <c r="AT41" s="215">
        <f t="shared" si="71"/>
        <v>52.671936469100004</v>
      </c>
      <c r="AU41" s="216">
        <f t="shared" si="72"/>
        <v>5.9998606699570849E-2</v>
      </c>
      <c r="AV41" s="97">
        <f t="shared" si="73"/>
        <v>4.08</v>
      </c>
      <c r="AW41" s="100">
        <f t="shared" si="44"/>
        <v>89.844115020543356</v>
      </c>
      <c r="AX41" s="32"/>
      <c r="AY41" s="99">
        <f t="shared" si="21"/>
        <v>60</v>
      </c>
      <c r="AZ41" s="97">
        <f t="shared" si="74"/>
        <v>6.8000000000000005E-2</v>
      </c>
      <c r="BA41" s="97">
        <f t="shared" si="23"/>
        <v>15</v>
      </c>
      <c r="BB41" s="100">
        <f t="shared" si="75"/>
        <v>0.34</v>
      </c>
      <c r="BC41" s="99">
        <f t="shared" si="76"/>
        <v>2</v>
      </c>
      <c r="BD41" s="97">
        <f t="shared" si="77"/>
        <v>0.75</v>
      </c>
      <c r="BE41" s="100">
        <f t="shared" si="78"/>
        <v>0.25</v>
      </c>
      <c r="BF41" s="99">
        <f t="shared" si="79"/>
        <v>0.45000000000000007</v>
      </c>
      <c r="BG41" s="97">
        <f t="shared" si="60"/>
        <v>0.56500000000000006</v>
      </c>
      <c r="BH41" s="97">
        <f t="shared" si="61"/>
        <v>0.36397115270306801</v>
      </c>
      <c r="BI41" s="97">
        <v>0</v>
      </c>
      <c r="BJ41" s="97">
        <f t="shared" si="80"/>
        <v>1.3247500000000006E-3</v>
      </c>
      <c r="BK41" s="100">
        <f t="shared" si="47"/>
        <v>1.3247500000000006E-3</v>
      </c>
      <c r="BL41" s="99">
        <f t="shared" si="59"/>
        <v>0.255</v>
      </c>
      <c r="BM41" s="97">
        <f t="shared" si="48"/>
        <v>0.315208264485562</v>
      </c>
      <c r="BN41" s="97">
        <f t="shared" si="49"/>
        <v>5.9612365668942364E-3</v>
      </c>
      <c r="BO41" s="97">
        <f t="shared" si="88"/>
        <v>0.35700000000000004</v>
      </c>
      <c r="BP41" s="100">
        <f t="shared" si="51"/>
        <v>0.36296123656689427</v>
      </c>
      <c r="BQ41" s="99">
        <f t="shared" si="52"/>
        <v>8.5000000000000006E-2</v>
      </c>
      <c r="BR41" s="97">
        <f t="shared" si="81"/>
        <v>0.18198557635153398</v>
      </c>
      <c r="BS41" s="97">
        <f t="shared" si="82"/>
        <v>2.8560000000000002E-2</v>
      </c>
      <c r="BT41" s="97">
        <f t="shared" si="83"/>
        <v>0.75525000000000009</v>
      </c>
      <c r="BU41" s="100">
        <f t="shared" si="53"/>
        <v>0.78381000000000012</v>
      </c>
      <c r="BV41" s="99">
        <f t="shared" si="54"/>
        <v>0</v>
      </c>
      <c r="BW41" s="97">
        <f t="shared" si="84"/>
        <v>8.7499999999999994E-2</v>
      </c>
      <c r="BX41" s="100">
        <f t="shared" si="85"/>
        <v>1.155E-2</v>
      </c>
      <c r="BY41" s="99">
        <f t="shared" si="55"/>
        <v>1.2471459865668941</v>
      </c>
      <c r="BZ41" s="97">
        <f t="shared" si="56"/>
        <v>4.08</v>
      </c>
      <c r="CA41" s="100">
        <f t="shared" si="57"/>
        <v>76.588852835801049</v>
      </c>
      <c r="CB41" s="51">
        <f t="shared" si="58"/>
        <v>0.4620112365668943</v>
      </c>
      <c r="CC41" s="32">
        <f t="shared" si="86"/>
        <v>41.170393279841299</v>
      </c>
    </row>
    <row r="42" spans="17:81" x14ac:dyDescent="0.3">
      <c r="Q42" s="32">
        <v>35</v>
      </c>
      <c r="S42" s="99">
        <f t="shared" si="0"/>
        <v>60</v>
      </c>
      <c r="T42" s="97">
        <f t="shared" si="36"/>
        <v>7.0000000000000007E-2</v>
      </c>
      <c r="U42" s="97">
        <f t="shared" si="1"/>
        <v>15</v>
      </c>
      <c r="V42" s="100">
        <f t="shared" si="2"/>
        <v>0.35000000000000003</v>
      </c>
      <c r="W42" s="99">
        <f t="shared" si="3"/>
        <v>2</v>
      </c>
      <c r="X42" s="97">
        <f t="shared" si="4"/>
        <v>0.75</v>
      </c>
      <c r="Y42" s="100">
        <f t="shared" si="62"/>
        <v>0.25</v>
      </c>
      <c r="Z42" s="99">
        <f t="shared" si="6"/>
        <v>0.45000000000000007</v>
      </c>
      <c r="AA42" s="97">
        <f t="shared" si="37"/>
        <v>0.57500000000000007</v>
      </c>
      <c r="AB42" s="97">
        <f t="shared" si="38"/>
        <v>0.37332961307670198</v>
      </c>
      <c r="AC42" s="97">
        <v>0</v>
      </c>
      <c r="AD42" s="97">
        <f t="shared" si="7"/>
        <v>1.39375E-3</v>
      </c>
      <c r="AE42" s="100">
        <f t="shared" si="39"/>
        <v>1.39375E-3</v>
      </c>
      <c r="AF42" s="99">
        <f t="shared" si="63"/>
        <v>0.26250000000000001</v>
      </c>
      <c r="AG42" s="97">
        <f t="shared" si="64"/>
        <v>0.32331292890943902</v>
      </c>
      <c r="AH42" s="97">
        <f t="shared" si="10"/>
        <v>5.4171252916666674E-3</v>
      </c>
      <c r="AI42" s="97">
        <f t="shared" si="87"/>
        <v>0.36750000000000005</v>
      </c>
      <c r="AJ42" s="100">
        <f t="shared" si="41"/>
        <v>0.37291712529166671</v>
      </c>
      <c r="AK42" s="99">
        <f t="shared" si="65"/>
        <v>8.7500000000000008E-2</v>
      </c>
      <c r="AL42" s="97">
        <f t="shared" si="66"/>
        <v>0.18666480653835096</v>
      </c>
      <c r="AM42" s="97">
        <f t="shared" si="67"/>
        <v>2.9400000000000003E-2</v>
      </c>
      <c r="AN42" s="97">
        <f t="shared" si="68"/>
        <v>0.75525000000000009</v>
      </c>
      <c r="AO42" s="100">
        <f t="shared" si="42"/>
        <v>0.78465000000000007</v>
      </c>
      <c r="AP42" s="99">
        <f t="shared" si="43"/>
        <v>0</v>
      </c>
      <c r="AQ42" s="97">
        <f t="shared" si="15"/>
        <v>8.7499999999999994E-2</v>
      </c>
      <c r="AR42" s="100">
        <f t="shared" si="69"/>
        <v>1.155E-2</v>
      </c>
      <c r="AS42" s="99">
        <f t="shared" si="70"/>
        <v>0.47196712529166668</v>
      </c>
      <c r="AT42" s="215">
        <f t="shared" si="71"/>
        <v>53.318027517499999</v>
      </c>
      <c r="AU42" s="216">
        <f t="shared" si="72"/>
        <v>6.0156322980365252E-2</v>
      </c>
      <c r="AV42" s="97">
        <f t="shared" si="73"/>
        <v>4.2</v>
      </c>
      <c r="AW42" s="100">
        <f t="shared" si="44"/>
        <v>89.897892843965536</v>
      </c>
      <c r="AX42" s="32"/>
      <c r="AY42" s="99">
        <f t="shared" si="21"/>
        <v>60</v>
      </c>
      <c r="AZ42" s="97">
        <f t="shared" si="74"/>
        <v>7.0000000000000007E-2</v>
      </c>
      <c r="BA42" s="97">
        <f t="shared" si="23"/>
        <v>15</v>
      </c>
      <c r="BB42" s="100">
        <f t="shared" si="75"/>
        <v>0.35000000000000003</v>
      </c>
      <c r="BC42" s="99">
        <f t="shared" si="76"/>
        <v>2</v>
      </c>
      <c r="BD42" s="97">
        <f t="shared" si="77"/>
        <v>0.75</v>
      </c>
      <c r="BE42" s="100">
        <f t="shared" si="78"/>
        <v>0.25</v>
      </c>
      <c r="BF42" s="99">
        <f t="shared" si="79"/>
        <v>0.45000000000000007</v>
      </c>
      <c r="BG42" s="97">
        <f t="shared" si="60"/>
        <v>0.57500000000000007</v>
      </c>
      <c r="BH42" s="97">
        <f t="shared" si="61"/>
        <v>0.37332961307670198</v>
      </c>
      <c r="BI42" s="97">
        <v>0</v>
      </c>
      <c r="BJ42" s="97">
        <f t="shared" si="80"/>
        <v>1.39375E-3</v>
      </c>
      <c r="BK42" s="100">
        <f t="shared" si="47"/>
        <v>1.39375E-3</v>
      </c>
      <c r="BL42" s="99">
        <f t="shared" si="59"/>
        <v>0.26250000000000001</v>
      </c>
      <c r="BM42" s="97">
        <f t="shared" si="48"/>
        <v>0.32331292890943902</v>
      </c>
      <c r="BN42" s="97">
        <f t="shared" si="49"/>
        <v>6.2882156365413038E-3</v>
      </c>
      <c r="BO42" s="97">
        <f t="shared" si="88"/>
        <v>0.36750000000000005</v>
      </c>
      <c r="BP42" s="100">
        <f t="shared" si="51"/>
        <v>0.37378821563654135</v>
      </c>
      <c r="BQ42" s="99">
        <f t="shared" si="52"/>
        <v>8.7500000000000008E-2</v>
      </c>
      <c r="BR42" s="97">
        <f t="shared" si="81"/>
        <v>0.18666480653835096</v>
      </c>
      <c r="BS42" s="97">
        <f t="shared" si="82"/>
        <v>2.9400000000000003E-2</v>
      </c>
      <c r="BT42" s="97">
        <f t="shared" si="83"/>
        <v>0.75525000000000009</v>
      </c>
      <c r="BU42" s="100">
        <f t="shared" si="53"/>
        <v>0.78465000000000007</v>
      </c>
      <c r="BV42" s="99">
        <f t="shared" si="54"/>
        <v>0</v>
      </c>
      <c r="BW42" s="97">
        <f t="shared" si="84"/>
        <v>8.7499999999999994E-2</v>
      </c>
      <c r="BX42" s="100">
        <f t="shared" si="85"/>
        <v>1.155E-2</v>
      </c>
      <c r="BY42" s="99">
        <f t="shared" si="55"/>
        <v>1.2588819656365413</v>
      </c>
      <c r="BZ42" s="97">
        <f t="shared" si="56"/>
        <v>4.2</v>
      </c>
      <c r="CA42" s="100">
        <f t="shared" si="57"/>
        <v>76.938831549002956</v>
      </c>
      <c r="CB42" s="51">
        <f t="shared" si="58"/>
        <v>0.47283821563654133</v>
      </c>
      <c r="CC42" s="32">
        <f t="shared" si="86"/>
        <v>41.549337547278945</v>
      </c>
    </row>
    <row r="43" spans="17:81" x14ac:dyDescent="0.3">
      <c r="Q43" s="32">
        <v>36</v>
      </c>
      <c r="S43" s="99">
        <f t="shared" si="0"/>
        <v>60</v>
      </c>
      <c r="T43" s="97">
        <f t="shared" si="36"/>
        <v>7.2000000000000008E-2</v>
      </c>
      <c r="U43" s="97">
        <f t="shared" si="1"/>
        <v>15</v>
      </c>
      <c r="V43" s="100">
        <f t="shared" si="2"/>
        <v>0.36000000000000004</v>
      </c>
      <c r="W43" s="99">
        <f t="shared" si="3"/>
        <v>2</v>
      </c>
      <c r="X43" s="97">
        <f t="shared" si="4"/>
        <v>0.75</v>
      </c>
      <c r="Y43" s="100">
        <f t="shared" si="62"/>
        <v>0.25</v>
      </c>
      <c r="Z43" s="99">
        <f t="shared" si="6"/>
        <v>0.45000000000000007</v>
      </c>
      <c r="AA43" s="97">
        <f t="shared" si="37"/>
        <v>0.58500000000000008</v>
      </c>
      <c r="AB43" s="97">
        <f t="shared" si="38"/>
        <v>0.38272052466519224</v>
      </c>
      <c r="AC43" s="97">
        <v>0</v>
      </c>
      <c r="AD43" s="97">
        <f t="shared" si="7"/>
        <v>1.4647500000000003E-3</v>
      </c>
      <c r="AE43" s="100">
        <f t="shared" si="39"/>
        <v>1.4647500000000003E-3</v>
      </c>
      <c r="AF43" s="99">
        <f t="shared" si="63"/>
        <v>0.27</v>
      </c>
      <c r="AG43" s="97">
        <f t="shared" si="64"/>
        <v>0.33144569690976533</v>
      </c>
      <c r="AH43" s="97">
        <f t="shared" si="10"/>
        <v>5.6930828850000025E-3</v>
      </c>
      <c r="AI43" s="97">
        <f t="shared" si="87"/>
        <v>0.378</v>
      </c>
      <c r="AJ43" s="100">
        <f t="shared" si="41"/>
        <v>0.38369308288499998</v>
      </c>
      <c r="AK43" s="99">
        <f t="shared" si="65"/>
        <v>9.0000000000000011E-2</v>
      </c>
      <c r="AL43" s="97">
        <f t="shared" si="66"/>
        <v>0.19136026233259612</v>
      </c>
      <c r="AM43" s="97">
        <f t="shared" si="67"/>
        <v>3.0240000000000003E-2</v>
      </c>
      <c r="AN43" s="97">
        <f t="shared" si="68"/>
        <v>0.75525000000000009</v>
      </c>
      <c r="AO43" s="100">
        <f t="shared" si="42"/>
        <v>0.78549000000000013</v>
      </c>
      <c r="AP43" s="99">
        <f t="shared" si="43"/>
        <v>0</v>
      </c>
      <c r="AQ43" s="97">
        <f t="shared" si="15"/>
        <v>8.7499999999999994E-2</v>
      </c>
      <c r="AR43" s="100">
        <f t="shared" si="69"/>
        <v>1.155E-2</v>
      </c>
      <c r="AS43" s="99">
        <f t="shared" si="70"/>
        <v>0.48274308288499995</v>
      </c>
      <c r="AT43" s="215">
        <f t="shared" si="71"/>
        <v>53.964584973099996</v>
      </c>
      <c r="AU43" s="216">
        <f t="shared" si="72"/>
        <v>6.031415311509572E-2</v>
      </c>
      <c r="AV43" s="97">
        <f t="shared" si="73"/>
        <v>4.32</v>
      </c>
      <c r="AW43" s="100">
        <f t="shared" si="44"/>
        <v>89.94859657171132</v>
      </c>
      <c r="AX43" s="32"/>
      <c r="AY43" s="99">
        <f t="shared" si="21"/>
        <v>60</v>
      </c>
      <c r="AZ43" s="97">
        <f t="shared" si="74"/>
        <v>7.2000000000000008E-2</v>
      </c>
      <c r="BA43" s="97">
        <f t="shared" si="23"/>
        <v>15</v>
      </c>
      <c r="BB43" s="100">
        <f t="shared" si="75"/>
        <v>0.36000000000000004</v>
      </c>
      <c r="BC43" s="99">
        <f t="shared" si="76"/>
        <v>2</v>
      </c>
      <c r="BD43" s="97">
        <f t="shared" si="77"/>
        <v>0.75</v>
      </c>
      <c r="BE43" s="100">
        <f t="shared" si="78"/>
        <v>0.25</v>
      </c>
      <c r="BF43" s="99">
        <f t="shared" si="79"/>
        <v>0.45000000000000007</v>
      </c>
      <c r="BG43" s="97">
        <f t="shared" si="60"/>
        <v>0.58500000000000008</v>
      </c>
      <c r="BH43" s="97">
        <f t="shared" si="61"/>
        <v>0.38272052466519224</v>
      </c>
      <c r="BI43" s="97">
        <v>0</v>
      </c>
      <c r="BJ43" s="97">
        <f t="shared" si="80"/>
        <v>1.4647500000000003E-3</v>
      </c>
      <c r="BK43" s="100">
        <f t="shared" si="47"/>
        <v>1.4647500000000003E-3</v>
      </c>
      <c r="BL43" s="99">
        <f t="shared" si="59"/>
        <v>0.27</v>
      </c>
      <c r="BM43" s="97">
        <f t="shared" si="48"/>
        <v>0.33144569690976533</v>
      </c>
      <c r="BN43" s="97">
        <f t="shared" si="49"/>
        <v>6.6258866831502353E-3</v>
      </c>
      <c r="BO43" s="97">
        <f t="shared" si="88"/>
        <v>0.378</v>
      </c>
      <c r="BP43" s="100">
        <f t="shared" si="51"/>
        <v>0.38462588668315023</v>
      </c>
      <c r="BQ43" s="99">
        <f t="shared" si="52"/>
        <v>9.0000000000000011E-2</v>
      </c>
      <c r="BR43" s="97">
        <f t="shared" si="81"/>
        <v>0.19136026233259612</v>
      </c>
      <c r="BS43" s="97">
        <f t="shared" si="82"/>
        <v>3.0240000000000003E-2</v>
      </c>
      <c r="BT43" s="97">
        <f t="shared" si="83"/>
        <v>0.75525000000000009</v>
      </c>
      <c r="BU43" s="100">
        <f t="shared" si="53"/>
        <v>0.78549000000000013</v>
      </c>
      <c r="BV43" s="99">
        <f t="shared" si="54"/>
        <v>0</v>
      </c>
      <c r="BW43" s="97">
        <f t="shared" si="84"/>
        <v>8.7499999999999994E-2</v>
      </c>
      <c r="BX43" s="100">
        <f t="shared" si="85"/>
        <v>1.155E-2</v>
      </c>
      <c r="BY43" s="99">
        <f t="shared" si="55"/>
        <v>1.2706306366831503</v>
      </c>
      <c r="BZ43" s="97">
        <f t="shared" si="56"/>
        <v>4.32</v>
      </c>
      <c r="CA43" s="100">
        <f t="shared" si="57"/>
        <v>77.272141208080257</v>
      </c>
      <c r="CB43" s="51">
        <f t="shared" si="58"/>
        <v>0.48367588668315026</v>
      </c>
      <c r="CC43" s="32">
        <f t="shared" si="86"/>
        <v>41.928656033910258</v>
      </c>
    </row>
    <row r="44" spans="17:81" x14ac:dyDescent="0.3">
      <c r="Q44" s="32">
        <v>37</v>
      </c>
      <c r="S44" s="99">
        <f t="shared" si="0"/>
        <v>60</v>
      </c>
      <c r="T44" s="97">
        <f t="shared" si="36"/>
        <v>7.3999999999999996E-2</v>
      </c>
      <c r="U44" s="97">
        <f t="shared" si="1"/>
        <v>15</v>
      </c>
      <c r="V44" s="100">
        <f t="shared" si="2"/>
        <v>0.36999999999999994</v>
      </c>
      <c r="W44" s="99">
        <f t="shared" si="3"/>
        <v>2</v>
      </c>
      <c r="X44" s="97">
        <f t="shared" si="4"/>
        <v>0.75</v>
      </c>
      <c r="Y44" s="100">
        <f t="shared" si="62"/>
        <v>0.25</v>
      </c>
      <c r="Z44" s="99">
        <f t="shared" si="6"/>
        <v>0.45000000000000007</v>
      </c>
      <c r="AA44" s="97">
        <f t="shared" si="37"/>
        <v>0.59499999999999997</v>
      </c>
      <c r="AB44" s="97">
        <f t="shared" si="38"/>
        <v>0.39214155607382389</v>
      </c>
      <c r="AC44" s="97">
        <v>0</v>
      </c>
      <c r="AD44" s="97">
        <f t="shared" si="7"/>
        <v>1.5377499999999996E-3</v>
      </c>
      <c r="AE44" s="100">
        <f t="shared" si="39"/>
        <v>1.5377499999999996E-3</v>
      </c>
      <c r="AF44" s="99">
        <f t="shared" si="63"/>
        <v>0.27749999999999997</v>
      </c>
      <c r="AG44" s="97">
        <f t="shared" si="64"/>
        <v>0.33960454943949142</v>
      </c>
      <c r="AH44" s="97">
        <f t="shared" si="10"/>
        <v>5.9768139316666666E-3</v>
      </c>
      <c r="AI44" s="97">
        <f t="shared" si="87"/>
        <v>0.38849999999999996</v>
      </c>
      <c r="AJ44" s="100">
        <f t="shared" si="41"/>
        <v>0.39447681393166661</v>
      </c>
      <c r="AK44" s="99">
        <f t="shared" si="65"/>
        <v>9.2499999999999985E-2</v>
      </c>
      <c r="AL44" s="97">
        <f t="shared" si="66"/>
        <v>0.19607077803691192</v>
      </c>
      <c r="AM44" s="97">
        <f t="shared" si="67"/>
        <v>3.1079999999999997E-2</v>
      </c>
      <c r="AN44" s="97">
        <f t="shared" si="68"/>
        <v>0.75525000000000009</v>
      </c>
      <c r="AO44" s="100">
        <f t="shared" si="42"/>
        <v>0.78633000000000008</v>
      </c>
      <c r="AP44" s="99">
        <f t="shared" si="43"/>
        <v>0</v>
      </c>
      <c r="AQ44" s="97">
        <f t="shared" si="15"/>
        <v>8.7499999999999994E-2</v>
      </c>
      <c r="AR44" s="100">
        <f t="shared" si="69"/>
        <v>1.155E-2</v>
      </c>
      <c r="AS44" s="99">
        <f t="shared" si="70"/>
        <v>0.49352681393166659</v>
      </c>
      <c r="AT44" s="215">
        <f t="shared" si="71"/>
        <v>54.6116088359</v>
      </c>
      <c r="AU44" s="216">
        <f t="shared" si="72"/>
        <v>6.0472097103762272E-2</v>
      </c>
      <c r="AV44" s="97">
        <f t="shared" si="73"/>
        <v>4.4399999999999995</v>
      </c>
      <c r="AW44" s="100">
        <f t="shared" si="44"/>
        <v>89.996470424808322</v>
      </c>
      <c r="AX44" s="32"/>
      <c r="AY44" s="99">
        <f t="shared" si="21"/>
        <v>60</v>
      </c>
      <c r="AZ44" s="97">
        <f t="shared" si="74"/>
        <v>7.3999999999999996E-2</v>
      </c>
      <c r="BA44" s="97">
        <f t="shared" si="23"/>
        <v>15</v>
      </c>
      <c r="BB44" s="100">
        <f t="shared" si="75"/>
        <v>0.36999999999999994</v>
      </c>
      <c r="BC44" s="99">
        <f t="shared" si="76"/>
        <v>2</v>
      </c>
      <c r="BD44" s="97">
        <f t="shared" si="77"/>
        <v>0.75</v>
      </c>
      <c r="BE44" s="100">
        <f t="shared" si="78"/>
        <v>0.25</v>
      </c>
      <c r="BF44" s="99">
        <f t="shared" si="79"/>
        <v>0.45000000000000007</v>
      </c>
      <c r="BG44" s="97">
        <f t="shared" si="60"/>
        <v>0.59499999999999997</v>
      </c>
      <c r="BH44" s="97">
        <f t="shared" si="61"/>
        <v>0.39214155607382389</v>
      </c>
      <c r="BI44" s="97">
        <v>0</v>
      </c>
      <c r="BJ44" s="97">
        <f t="shared" si="80"/>
        <v>1.5377499999999996E-3</v>
      </c>
      <c r="BK44" s="100">
        <f t="shared" si="47"/>
        <v>1.5377499999999996E-3</v>
      </c>
      <c r="BL44" s="99">
        <f t="shared" si="59"/>
        <v>0.27749999999999997</v>
      </c>
      <c r="BM44" s="97">
        <f t="shared" si="48"/>
        <v>0.33960454943949142</v>
      </c>
      <c r="BN44" s="97">
        <f t="shared" si="49"/>
        <v>6.9743225490982805E-3</v>
      </c>
      <c r="BO44" s="97">
        <f t="shared" si="88"/>
        <v>0.38849999999999996</v>
      </c>
      <c r="BP44" s="100">
        <f t="shared" si="51"/>
        <v>0.39547432254909826</v>
      </c>
      <c r="BQ44" s="99">
        <f t="shared" si="52"/>
        <v>9.2499999999999985E-2</v>
      </c>
      <c r="BR44" s="97">
        <f t="shared" si="81"/>
        <v>0.19607077803691192</v>
      </c>
      <c r="BS44" s="97">
        <f t="shared" si="82"/>
        <v>3.1079999999999997E-2</v>
      </c>
      <c r="BT44" s="97">
        <f t="shared" si="83"/>
        <v>0.75525000000000009</v>
      </c>
      <c r="BU44" s="100">
        <f t="shared" si="53"/>
        <v>0.78633000000000008</v>
      </c>
      <c r="BV44" s="99">
        <f t="shared" si="54"/>
        <v>0</v>
      </c>
      <c r="BW44" s="97">
        <f t="shared" si="84"/>
        <v>8.7499999999999994E-2</v>
      </c>
      <c r="BX44" s="100">
        <f t="shared" si="85"/>
        <v>1.155E-2</v>
      </c>
      <c r="BY44" s="99">
        <f t="shared" si="55"/>
        <v>1.2823920725490983</v>
      </c>
      <c r="BZ44" s="97">
        <f t="shared" si="56"/>
        <v>4.4399999999999995</v>
      </c>
      <c r="CA44" s="100">
        <f t="shared" si="57"/>
        <v>77.589929940297793</v>
      </c>
      <c r="CB44" s="51">
        <f t="shared" si="58"/>
        <v>0.49452432254909823</v>
      </c>
      <c r="CC44" s="32">
        <f t="shared" si="86"/>
        <v>42.308351289218436</v>
      </c>
    </row>
    <row r="45" spans="17:81" x14ac:dyDescent="0.3">
      <c r="Q45" s="32">
        <v>38</v>
      </c>
      <c r="S45" s="99">
        <f t="shared" si="0"/>
        <v>60</v>
      </c>
      <c r="T45" s="97">
        <f t="shared" si="36"/>
        <v>7.5999999999999998E-2</v>
      </c>
      <c r="U45" s="97">
        <f t="shared" si="1"/>
        <v>15</v>
      </c>
      <c r="V45" s="100">
        <f t="shared" si="2"/>
        <v>0.37999999999999995</v>
      </c>
      <c r="W45" s="99">
        <f t="shared" si="3"/>
        <v>2</v>
      </c>
      <c r="X45" s="97">
        <f t="shared" si="4"/>
        <v>0.75</v>
      </c>
      <c r="Y45" s="100">
        <f t="shared" si="62"/>
        <v>0.25</v>
      </c>
      <c r="Z45" s="99">
        <f t="shared" si="6"/>
        <v>0.45000000000000007</v>
      </c>
      <c r="AA45" s="97">
        <f t="shared" si="37"/>
        <v>0.60499999999999998</v>
      </c>
      <c r="AB45" s="97">
        <f t="shared" si="38"/>
        <v>0.40159058753910054</v>
      </c>
      <c r="AC45" s="97">
        <v>0</v>
      </c>
      <c r="AD45" s="97">
        <f t="shared" si="7"/>
        <v>1.6127499999999998E-3</v>
      </c>
      <c r="AE45" s="100">
        <f t="shared" si="39"/>
        <v>1.6127499999999998E-3</v>
      </c>
      <c r="AF45" s="99">
        <f t="shared" si="63"/>
        <v>0.28499999999999998</v>
      </c>
      <c r="AG45" s="97">
        <f t="shared" si="64"/>
        <v>0.34778765072957946</v>
      </c>
      <c r="AH45" s="97">
        <f t="shared" si="10"/>
        <v>6.2683184316666652E-3</v>
      </c>
      <c r="AI45" s="97">
        <f t="shared" si="87"/>
        <v>0.39899999999999991</v>
      </c>
      <c r="AJ45" s="100">
        <f t="shared" si="41"/>
        <v>0.40526831843166655</v>
      </c>
      <c r="AK45" s="99">
        <f t="shared" si="65"/>
        <v>9.4999999999999987E-2</v>
      </c>
      <c r="AL45" s="97">
        <f t="shared" si="66"/>
        <v>0.20079529376955024</v>
      </c>
      <c r="AM45" s="97">
        <f t="shared" si="67"/>
        <v>3.1919999999999997E-2</v>
      </c>
      <c r="AN45" s="97">
        <f t="shared" si="68"/>
        <v>0.75525000000000009</v>
      </c>
      <c r="AO45" s="100">
        <f t="shared" si="42"/>
        <v>0.78717000000000004</v>
      </c>
      <c r="AP45" s="99">
        <f t="shared" si="43"/>
        <v>0</v>
      </c>
      <c r="AQ45" s="97">
        <f t="shared" si="15"/>
        <v>8.7499999999999994E-2</v>
      </c>
      <c r="AR45" s="100">
        <f t="shared" si="69"/>
        <v>1.155E-2</v>
      </c>
      <c r="AS45" s="99">
        <f t="shared" si="70"/>
        <v>0.50431831843166652</v>
      </c>
      <c r="AT45" s="215">
        <f t="shared" si="71"/>
        <v>55.259099105899992</v>
      </c>
      <c r="AU45" s="216">
        <f t="shared" si="72"/>
        <v>6.0630154946364881E-2</v>
      </c>
      <c r="AV45" s="97">
        <f t="shared" si="73"/>
        <v>4.5599999999999996</v>
      </c>
      <c r="AW45" s="100">
        <f t="shared" si="44"/>
        <v>90.041733423505548</v>
      </c>
      <c r="AX45" s="32"/>
      <c r="AY45" s="99">
        <f t="shared" si="21"/>
        <v>60</v>
      </c>
      <c r="AZ45" s="97">
        <f t="shared" si="74"/>
        <v>7.5999999999999998E-2</v>
      </c>
      <c r="BA45" s="97">
        <f t="shared" si="23"/>
        <v>15</v>
      </c>
      <c r="BB45" s="100">
        <f t="shared" si="75"/>
        <v>0.37999999999999995</v>
      </c>
      <c r="BC45" s="99">
        <f t="shared" si="76"/>
        <v>2</v>
      </c>
      <c r="BD45" s="97">
        <f t="shared" si="77"/>
        <v>0.75</v>
      </c>
      <c r="BE45" s="100">
        <f t="shared" si="78"/>
        <v>0.25</v>
      </c>
      <c r="BF45" s="99">
        <f t="shared" si="79"/>
        <v>0.45000000000000007</v>
      </c>
      <c r="BG45" s="97">
        <f t="shared" si="60"/>
        <v>0.60499999999999998</v>
      </c>
      <c r="BH45" s="97">
        <f t="shared" si="61"/>
        <v>0.40159058753910054</v>
      </c>
      <c r="BI45" s="97">
        <v>0</v>
      </c>
      <c r="BJ45" s="97">
        <f t="shared" si="80"/>
        <v>1.6127499999999998E-3</v>
      </c>
      <c r="BK45" s="100">
        <f t="shared" si="47"/>
        <v>1.6127499999999998E-3</v>
      </c>
      <c r="BL45" s="99">
        <f t="shared" si="59"/>
        <v>0.28499999999999998</v>
      </c>
      <c r="BM45" s="97">
        <f t="shared" si="48"/>
        <v>0.34778765072957946</v>
      </c>
      <c r="BN45" s="97">
        <f t="shared" si="49"/>
        <v>7.3335961792312439E-3</v>
      </c>
      <c r="BO45" s="97">
        <f t="shared" si="88"/>
        <v>0.39899999999999991</v>
      </c>
      <c r="BP45" s="100">
        <f t="shared" si="51"/>
        <v>0.40633359617923115</v>
      </c>
      <c r="BQ45" s="99">
        <f t="shared" si="52"/>
        <v>9.4999999999999987E-2</v>
      </c>
      <c r="BR45" s="97">
        <f t="shared" si="81"/>
        <v>0.20079529376955024</v>
      </c>
      <c r="BS45" s="97">
        <f t="shared" si="82"/>
        <v>3.1919999999999997E-2</v>
      </c>
      <c r="BT45" s="97">
        <f t="shared" si="83"/>
        <v>0.75525000000000009</v>
      </c>
      <c r="BU45" s="100">
        <f t="shared" si="53"/>
        <v>0.78717000000000004</v>
      </c>
      <c r="BV45" s="99">
        <f t="shared" si="54"/>
        <v>0</v>
      </c>
      <c r="BW45" s="97">
        <f t="shared" si="84"/>
        <v>8.7499999999999994E-2</v>
      </c>
      <c r="BX45" s="100">
        <f t="shared" si="85"/>
        <v>1.155E-2</v>
      </c>
      <c r="BY45" s="99">
        <f t="shared" si="55"/>
        <v>1.294166346179231</v>
      </c>
      <c r="BZ45" s="97">
        <f t="shared" si="56"/>
        <v>4.5599999999999996</v>
      </c>
      <c r="CA45" s="100">
        <f t="shared" si="57"/>
        <v>77.893242698443672</v>
      </c>
      <c r="CB45" s="51">
        <f t="shared" si="58"/>
        <v>0.50538359617923112</v>
      </c>
      <c r="CC45" s="32">
        <f t="shared" si="86"/>
        <v>42.688425866273093</v>
      </c>
    </row>
    <row r="46" spans="17:81" x14ac:dyDescent="0.3">
      <c r="Q46" s="32">
        <v>39</v>
      </c>
      <c r="S46" s="99">
        <f t="shared" si="0"/>
        <v>60</v>
      </c>
      <c r="T46" s="97">
        <f t="shared" si="36"/>
        <v>7.8E-2</v>
      </c>
      <c r="U46" s="97">
        <f t="shared" si="1"/>
        <v>15</v>
      </c>
      <c r="V46" s="100">
        <f t="shared" si="2"/>
        <v>0.38999999999999996</v>
      </c>
      <c r="W46" s="99">
        <f t="shared" si="3"/>
        <v>2</v>
      </c>
      <c r="X46" s="97">
        <f t="shared" si="4"/>
        <v>0.75</v>
      </c>
      <c r="Y46" s="100">
        <f t="shared" si="62"/>
        <v>0.25</v>
      </c>
      <c r="Z46" s="99">
        <f t="shared" si="6"/>
        <v>0.45000000000000007</v>
      </c>
      <c r="AA46" s="97">
        <f t="shared" si="37"/>
        <v>0.61499999999999999</v>
      </c>
      <c r="AB46" s="97">
        <f t="shared" si="38"/>
        <v>0.41106568818134159</v>
      </c>
      <c r="AC46" s="97">
        <v>0</v>
      </c>
      <c r="AD46" s="97">
        <f t="shared" si="7"/>
        <v>1.6897499999999996E-3</v>
      </c>
      <c r="AE46" s="100">
        <f t="shared" si="39"/>
        <v>1.6897499999999996E-3</v>
      </c>
      <c r="AF46" s="99">
        <f t="shared" si="63"/>
        <v>0.29249999999999998</v>
      </c>
      <c r="AG46" s="97">
        <f t="shared" si="64"/>
        <v>0.35599332858917448</v>
      </c>
      <c r="AH46" s="97">
        <f t="shared" si="10"/>
        <v>6.567596385E-3</v>
      </c>
      <c r="AI46" s="97">
        <f t="shared" si="87"/>
        <v>0.40949999999999998</v>
      </c>
      <c r="AJ46" s="100">
        <f t="shared" si="41"/>
        <v>0.41606759638499996</v>
      </c>
      <c r="AK46" s="99">
        <f t="shared" si="65"/>
        <v>9.7499999999999989E-2</v>
      </c>
      <c r="AL46" s="97">
        <f t="shared" si="66"/>
        <v>0.20553284409067077</v>
      </c>
      <c r="AM46" s="97">
        <f t="shared" si="67"/>
        <v>3.2759999999999997E-2</v>
      </c>
      <c r="AN46" s="97">
        <f t="shared" si="68"/>
        <v>0.75525000000000009</v>
      </c>
      <c r="AO46" s="100">
        <f t="shared" si="42"/>
        <v>0.7880100000000001</v>
      </c>
      <c r="AP46" s="99">
        <f t="shared" si="43"/>
        <v>0</v>
      </c>
      <c r="AQ46" s="97">
        <f t="shared" si="15"/>
        <v>8.7499999999999994E-2</v>
      </c>
      <c r="AR46" s="100">
        <f t="shared" si="69"/>
        <v>1.155E-2</v>
      </c>
      <c r="AS46" s="99">
        <f t="shared" si="70"/>
        <v>0.51511759638499988</v>
      </c>
      <c r="AT46" s="215">
        <f t="shared" si="71"/>
        <v>55.907055783099992</v>
      </c>
      <c r="AU46" s="216">
        <f t="shared" si="72"/>
        <v>6.0788326642903567E-2</v>
      </c>
      <c r="AV46" s="97">
        <f t="shared" si="73"/>
        <v>4.68</v>
      </c>
      <c r="AW46" s="100">
        <f t="shared" si="44"/>
        <v>90.084582556062969</v>
      </c>
      <c r="AX46" s="32"/>
      <c r="AY46" s="99">
        <f t="shared" si="21"/>
        <v>60</v>
      </c>
      <c r="AZ46" s="97">
        <f t="shared" si="74"/>
        <v>7.8E-2</v>
      </c>
      <c r="BA46" s="97">
        <f t="shared" si="23"/>
        <v>15</v>
      </c>
      <c r="BB46" s="100">
        <f t="shared" si="75"/>
        <v>0.38999999999999996</v>
      </c>
      <c r="BC46" s="99">
        <f t="shared" si="76"/>
        <v>2</v>
      </c>
      <c r="BD46" s="97">
        <f t="shared" si="77"/>
        <v>0.75</v>
      </c>
      <c r="BE46" s="100">
        <f t="shared" si="78"/>
        <v>0.25</v>
      </c>
      <c r="BF46" s="99">
        <f t="shared" si="79"/>
        <v>0.45000000000000007</v>
      </c>
      <c r="BG46" s="97">
        <f t="shared" si="60"/>
        <v>0.61499999999999999</v>
      </c>
      <c r="BH46" s="97">
        <f t="shared" si="61"/>
        <v>0.41106568818134159</v>
      </c>
      <c r="BI46" s="97">
        <v>0</v>
      </c>
      <c r="BJ46" s="97">
        <f t="shared" si="80"/>
        <v>1.6897499999999996E-3</v>
      </c>
      <c r="BK46" s="100">
        <f t="shared" si="47"/>
        <v>1.6897499999999996E-3</v>
      </c>
      <c r="BL46" s="99">
        <f t="shared" si="59"/>
        <v>0.29249999999999998</v>
      </c>
      <c r="BM46" s="97">
        <f t="shared" si="48"/>
        <v>0.35599332858917448</v>
      </c>
      <c r="BN46" s="97">
        <f t="shared" si="49"/>
        <v>7.7037806208634704E-3</v>
      </c>
      <c r="BO46" s="97">
        <f t="shared" si="88"/>
        <v>0.40949999999999998</v>
      </c>
      <c r="BP46" s="100">
        <f t="shared" si="51"/>
        <v>0.41720378062086344</v>
      </c>
      <c r="BQ46" s="99">
        <f t="shared" si="52"/>
        <v>9.7499999999999989E-2</v>
      </c>
      <c r="BR46" s="97">
        <f t="shared" si="81"/>
        <v>0.20553284409067077</v>
      </c>
      <c r="BS46" s="97">
        <f t="shared" si="82"/>
        <v>3.2759999999999997E-2</v>
      </c>
      <c r="BT46" s="97">
        <f t="shared" si="83"/>
        <v>0.75525000000000009</v>
      </c>
      <c r="BU46" s="100">
        <f t="shared" si="53"/>
        <v>0.7880100000000001</v>
      </c>
      <c r="BV46" s="99">
        <f t="shared" si="54"/>
        <v>0</v>
      </c>
      <c r="BW46" s="97">
        <f t="shared" si="84"/>
        <v>8.7499999999999994E-2</v>
      </c>
      <c r="BX46" s="100">
        <f t="shared" si="85"/>
        <v>1.155E-2</v>
      </c>
      <c r="BY46" s="99">
        <f t="shared" si="55"/>
        <v>1.3059535306208634</v>
      </c>
      <c r="BZ46" s="97">
        <f t="shared" si="56"/>
        <v>4.68</v>
      </c>
      <c r="CA46" s="100">
        <f t="shared" si="57"/>
        <v>78.183032595553584</v>
      </c>
      <c r="CB46" s="51">
        <f t="shared" si="58"/>
        <v>0.51625378062086336</v>
      </c>
      <c r="CC46" s="32">
        <f t="shared" si="86"/>
        <v>43.068882321730214</v>
      </c>
    </row>
    <row r="47" spans="17:81" x14ac:dyDescent="0.3">
      <c r="Q47" s="32">
        <v>40</v>
      </c>
      <c r="S47" s="99">
        <f t="shared" si="0"/>
        <v>60</v>
      </c>
      <c r="T47" s="97">
        <f t="shared" si="36"/>
        <v>0.08</v>
      </c>
      <c r="U47" s="97">
        <f t="shared" si="1"/>
        <v>15</v>
      </c>
      <c r="V47" s="100">
        <f t="shared" si="2"/>
        <v>0.39999999999999997</v>
      </c>
      <c r="W47" s="99">
        <f t="shared" si="3"/>
        <v>2</v>
      </c>
      <c r="X47" s="97">
        <f t="shared" si="4"/>
        <v>0.75</v>
      </c>
      <c r="Y47" s="100">
        <f t="shared" si="62"/>
        <v>0.25</v>
      </c>
      <c r="Z47" s="99">
        <f t="shared" si="6"/>
        <v>0.45000000000000007</v>
      </c>
      <c r="AA47" s="97">
        <f t="shared" si="37"/>
        <v>0.625</v>
      </c>
      <c r="AB47" s="97">
        <f t="shared" si="38"/>
        <v>0.42056509603151804</v>
      </c>
      <c r="AC47" s="97">
        <v>0</v>
      </c>
      <c r="AD47" s="97">
        <f t="shared" si="7"/>
        <v>1.7687499999999997E-3</v>
      </c>
      <c r="AE47" s="100">
        <f t="shared" si="39"/>
        <v>1.7687499999999997E-3</v>
      </c>
      <c r="AF47" s="99">
        <f t="shared" si="63"/>
        <v>0.3</v>
      </c>
      <c r="AG47" s="97">
        <f t="shared" si="64"/>
        <v>0.3642200571083366</v>
      </c>
      <c r="AH47" s="97">
        <f t="shared" si="10"/>
        <v>6.8746477916666673E-3</v>
      </c>
      <c r="AI47" s="97">
        <f t="shared" si="87"/>
        <v>0.41999999999999993</v>
      </c>
      <c r="AJ47" s="100">
        <f t="shared" si="41"/>
        <v>0.42687464779166662</v>
      </c>
      <c r="AK47" s="99">
        <f t="shared" si="65"/>
        <v>9.9999999999999992E-2</v>
      </c>
      <c r="AL47" s="97">
        <f t="shared" si="66"/>
        <v>0.21028254801575899</v>
      </c>
      <c r="AM47" s="97">
        <f t="shared" si="67"/>
        <v>3.3599999999999998E-2</v>
      </c>
      <c r="AN47" s="97">
        <f t="shared" si="68"/>
        <v>0.75525000000000009</v>
      </c>
      <c r="AO47" s="100">
        <f t="shared" si="42"/>
        <v>0.78885000000000005</v>
      </c>
      <c r="AP47" s="99">
        <f t="shared" si="43"/>
        <v>0</v>
      </c>
      <c r="AQ47" s="97">
        <f t="shared" si="15"/>
        <v>8.7499999999999994E-2</v>
      </c>
      <c r="AR47" s="100">
        <f t="shared" si="69"/>
        <v>1.155E-2</v>
      </c>
      <c r="AS47" s="99">
        <f t="shared" si="70"/>
        <v>0.52592464779166659</v>
      </c>
      <c r="AT47" s="215">
        <f t="shared" si="71"/>
        <v>56.5554788675</v>
      </c>
      <c r="AU47" s="216">
        <f t="shared" si="72"/>
        <v>6.0946612193378318E-2</v>
      </c>
      <c r="AV47" s="97">
        <f t="shared" si="73"/>
        <v>4.8</v>
      </c>
      <c r="AW47" s="100">
        <f t="shared" si="44"/>
        <v>90.125195481131428</v>
      </c>
      <c r="AX47" s="32"/>
      <c r="AY47" s="99">
        <f t="shared" si="21"/>
        <v>60</v>
      </c>
      <c r="AZ47" s="97">
        <f t="shared" si="74"/>
        <v>0.08</v>
      </c>
      <c r="BA47" s="97">
        <f t="shared" si="23"/>
        <v>15</v>
      </c>
      <c r="BB47" s="100">
        <f t="shared" si="75"/>
        <v>0.39999999999999997</v>
      </c>
      <c r="BC47" s="99">
        <f t="shared" si="76"/>
        <v>2</v>
      </c>
      <c r="BD47" s="97">
        <f t="shared" si="77"/>
        <v>0.75</v>
      </c>
      <c r="BE47" s="100">
        <f t="shared" si="78"/>
        <v>0.25</v>
      </c>
      <c r="BF47" s="99">
        <f t="shared" si="79"/>
        <v>0.45000000000000007</v>
      </c>
      <c r="BG47" s="97">
        <f t="shared" si="60"/>
        <v>0.625</v>
      </c>
      <c r="BH47" s="97">
        <f t="shared" si="61"/>
        <v>0.42056509603151804</v>
      </c>
      <c r="BI47" s="97">
        <v>0</v>
      </c>
      <c r="BJ47" s="97">
        <f t="shared" si="80"/>
        <v>1.7687499999999997E-3</v>
      </c>
      <c r="BK47" s="100">
        <f t="shared" si="47"/>
        <v>1.7687499999999997E-3</v>
      </c>
      <c r="BL47" s="99">
        <f t="shared" si="59"/>
        <v>0.3</v>
      </c>
      <c r="BM47" s="97">
        <f t="shared" si="48"/>
        <v>0.3642200571083366</v>
      </c>
      <c r="BN47" s="97">
        <f t="shared" si="49"/>
        <v>8.0849490237778418E-3</v>
      </c>
      <c r="BO47" s="97">
        <f t="shared" si="88"/>
        <v>0.41999999999999993</v>
      </c>
      <c r="BP47" s="100">
        <f t="shared" si="51"/>
        <v>0.42808494902377775</v>
      </c>
      <c r="BQ47" s="99">
        <f t="shared" si="52"/>
        <v>9.9999999999999992E-2</v>
      </c>
      <c r="BR47" s="97">
        <f t="shared" si="81"/>
        <v>0.21028254801575899</v>
      </c>
      <c r="BS47" s="97">
        <f t="shared" si="82"/>
        <v>3.3599999999999998E-2</v>
      </c>
      <c r="BT47" s="97">
        <f t="shared" si="83"/>
        <v>0.75525000000000009</v>
      </c>
      <c r="BU47" s="100">
        <f t="shared" si="53"/>
        <v>0.78885000000000005</v>
      </c>
      <c r="BV47" s="99">
        <f t="shared" si="54"/>
        <v>0</v>
      </c>
      <c r="BW47" s="97">
        <f t="shared" si="84"/>
        <v>8.7499999999999994E-2</v>
      </c>
      <c r="BX47" s="100">
        <f t="shared" si="85"/>
        <v>1.155E-2</v>
      </c>
      <c r="BY47" s="99">
        <f t="shared" si="55"/>
        <v>1.3177536990237777</v>
      </c>
      <c r="BZ47" s="97">
        <f t="shared" si="56"/>
        <v>4.8</v>
      </c>
      <c r="CA47" s="100">
        <f t="shared" si="57"/>
        <v>78.460170777485615</v>
      </c>
      <c r="CB47" s="51">
        <f t="shared" si="58"/>
        <v>0.52713494902377767</v>
      </c>
      <c r="CC47" s="32">
        <f t="shared" si="86"/>
        <v>43.449723215832222</v>
      </c>
    </row>
    <row r="48" spans="17:81" x14ac:dyDescent="0.3">
      <c r="Q48" s="32">
        <v>41</v>
      </c>
      <c r="S48" s="99">
        <f t="shared" si="0"/>
        <v>60</v>
      </c>
      <c r="T48" s="97">
        <f t="shared" si="36"/>
        <v>8.2000000000000003E-2</v>
      </c>
      <c r="U48" s="97">
        <f t="shared" si="1"/>
        <v>15</v>
      </c>
      <c r="V48" s="100">
        <f t="shared" si="2"/>
        <v>0.41</v>
      </c>
      <c r="W48" s="99">
        <f t="shared" si="3"/>
        <v>2</v>
      </c>
      <c r="X48" s="97">
        <f t="shared" si="4"/>
        <v>0.75</v>
      </c>
      <c r="Y48" s="100">
        <f t="shared" si="62"/>
        <v>0.25</v>
      </c>
      <c r="Z48" s="99">
        <f t="shared" si="6"/>
        <v>0.45000000000000007</v>
      </c>
      <c r="AA48" s="97">
        <f t="shared" si="37"/>
        <v>0.63500000000000001</v>
      </c>
      <c r="AB48" s="97">
        <f t="shared" si="38"/>
        <v>0.43008720046055776</v>
      </c>
      <c r="AC48" s="97">
        <v>0</v>
      </c>
      <c r="AD48" s="97">
        <f t="shared" si="7"/>
        <v>1.84975E-3</v>
      </c>
      <c r="AE48" s="100">
        <f t="shared" si="39"/>
        <v>1.84975E-3</v>
      </c>
      <c r="AF48" s="99">
        <f t="shared" si="63"/>
        <v>0.3075</v>
      </c>
      <c r="AG48" s="97">
        <f t="shared" si="64"/>
        <v>0.37246644144137331</v>
      </c>
      <c r="AH48" s="97">
        <f t="shared" si="10"/>
        <v>7.1894726516666674E-3</v>
      </c>
      <c r="AI48" s="97">
        <f t="shared" si="87"/>
        <v>0.43049999999999994</v>
      </c>
      <c r="AJ48" s="100">
        <f t="shared" si="41"/>
        <v>0.43768947265166658</v>
      </c>
      <c r="AK48" s="99">
        <f t="shared" si="65"/>
        <v>0.10249999999999999</v>
      </c>
      <c r="AL48" s="97">
        <f t="shared" si="66"/>
        <v>0.21504360023027885</v>
      </c>
      <c r="AM48" s="97">
        <f t="shared" si="67"/>
        <v>3.4439999999999998E-2</v>
      </c>
      <c r="AN48" s="97">
        <f t="shared" si="68"/>
        <v>0.75525000000000009</v>
      </c>
      <c r="AO48" s="100">
        <f t="shared" si="42"/>
        <v>0.78969000000000011</v>
      </c>
      <c r="AP48" s="99">
        <f t="shared" si="43"/>
        <v>0</v>
      </c>
      <c r="AQ48" s="97">
        <f t="shared" si="15"/>
        <v>8.7499999999999994E-2</v>
      </c>
      <c r="AR48" s="100">
        <f t="shared" si="69"/>
        <v>1.155E-2</v>
      </c>
      <c r="AS48" s="99">
        <f t="shared" si="70"/>
        <v>0.53673947265166655</v>
      </c>
      <c r="AT48" s="215">
        <f t="shared" si="71"/>
        <v>57.204368359099995</v>
      </c>
      <c r="AU48" s="216">
        <f t="shared" si="72"/>
        <v>6.1105011597789145E-2</v>
      </c>
      <c r="AV48" s="97">
        <f t="shared" si="73"/>
        <v>4.92</v>
      </c>
      <c r="AW48" s="100">
        <f t="shared" si="44"/>
        <v>90.163732841897229</v>
      </c>
      <c r="AX48" s="32"/>
      <c r="AY48" s="99">
        <f t="shared" si="21"/>
        <v>60</v>
      </c>
      <c r="AZ48" s="97">
        <f t="shared" si="74"/>
        <v>8.2000000000000003E-2</v>
      </c>
      <c r="BA48" s="97">
        <f t="shared" si="23"/>
        <v>15</v>
      </c>
      <c r="BB48" s="100">
        <f t="shared" si="75"/>
        <v>0.41</v>
      </c>
      <c r="BC48" s="99">
        <f t="shared" si="76"/>
        <v>2</v>
      </c>
      <c r="BD48" s="97">
        <f t="shared" si="77"/>
        <v>0.75</v>
      </c>
      <c r="BE48" s="100">
        <f t="shared" si="78"/>
        <v>0.25</v>
      </c>
      <c r="BF48" s="99">
        <f t="shared" si="79"/>
        <v>0.45000000000000007</v>
      </c>
      <c r="BG48" s="97">
        <f t="shared" si="60"/>
        <v>0.63500000000000001</v>
      </c>
      <c r="BH48" s="97">
        <f t="shared" si="61"/>
        <v>0.43008720046055776</v>
      </c>
      <c r="BI48" s="97">
        <v>0</v>
      </c>
      <c r="BJ48" s="97">
        <f t="shared" si="80"/>
        <v>1.84975E-3</v>
      </c>
      <c r="BK48" s="100">
        <f t="shared" si="47"/>
        <v>1.84975E-3</v>
      </c>
      <c r="BL48" s="99">
        <f t="shared" si="59"/>
        <v>0.3075</v>
      </c>
      <c r="BM48" s="97">
        <f t="shared" si="48"/>
        <v>0.37246644144137331</v>
      </c>
      <c r="BN48" s="97">
        <f t="shared" si="49"/>
        <v>8.4771746402257844E-3</v>
      </c>
      <c r="BO48" s="97">
        <f t="shared" si="88"/>
        <v>0.43049999999999994</v>
      </c>
      <c r="BP48" s="100">
        <f t="shared" si="51"/>
        <v>0.43897717464022573</v>
      </c>
      <c r="BQ48" s="99">
        <f t="shared" si="52"/>
        <v>0.10249999999999999</v>
      </c>
      <c r="BR48" s="97">
        <f t="shared" si="81"/>
        <v>0.21504360023027885</v>
      </c>
      <c r="BS48" s="97">
        <f t="shared" si="82"/>
        <v>3.4439999999999998E-2</v>
      </c>
      <c r="BT48" s="97">
        <f t="shared" si="83"/>
        <v>0.75525000000000009</v>
      </c>
      <c r="BU48" s="100">
        <f t="shared" si="53"/>
        <v>0.78969000000000011</v>
      </c>
      <c r="BV48" s="99">
        <f t="shared" si="54"/>
        <v>0</v>
      </c>
      <c r="BW48" s="97">
        <f t="shared" si="84"/>
        <v>8.7499999999999994E-2</v>
      </c>
      <c r="BX48" s="100">
        <f t="shared" si="85"/>
        <v>1.155E-2</v>
      </c>
      <c r="BY48" s="99">
        <f t="shared" si="55"/>
        <v>1.3295669246402257</v>
      </c>
      <c r="BZ48" s="97">
        <f t="shared" si="56"/>
        <v>4.92</v>
      </c>
      <c r="CA48" s="100">
        <f t="shared" si="57"/>
        <v>78.725455048762981</v>
      </c>
      <c r="CB48" s="51">
        <f t="shared" si="58"/>
        <v>0.53802717464022565</v>
      </c>
      <c r="CC48" s="32">
        <f t="shared" si="86"/>
        <v>43.830951112407902</v>
      </c>
    </row>
    <row r="49" spans="17:81" x14ac:dyDescent="0.3">
      <c r="Q49" s="32">
        <v>42</v>
      </c>
      <c r="S49" s="99">
        <f t="shared" si="0"/>
        <v>60</v>
      </c>
      <c r="T49" s="97">
        <f t="shared" si="36"/>
        <v>8.4000000000000005E-2</v>
      </c>
      <c r="U49" s="97">
        <f t="shared" si="1"/>
        <v>15</v>
      </c>
      <c r="V49" s="100">
        <f t="shared" si="2"/>
        <v>0.42</v>
      </c>
      <c r="W49" s="99">
        <f t="shared" si="3"/>
        <v>2</v>
      </c>
      <c r="X49" s="97">
        <f t="shared" si="4"/>
        <v>0.75</v>
      </c>
      <c r="Y49" s="100">
        <f t="shared" si="62"/>
        <v>0.25</v>
      </c>
      <c r="Z49" s="99">
        <f t="shared" si="6"/>
        <v>0.45000000000000007</v>
      </c>
      <c r="AA49" s="97">
        <f t="shared" si="37"/>
        <v>0.64500000000000002</v>
      </c>
      <c r="AB49" s="97">
        <f t="shared" si="38"/>
        <v>0.43963052669258534</v>
      </c>
      <c r="AC49" s="97">
        <v>0</v>
      </c>
      <c r="AD49" s="97">
        <f t="shared" si="7"/>
        <v>1.93275E-3</v>
      </c>
      <c r="AE49" s="100">
        <f t="shared" si="39"/>
        <v>1.93275E-3</v>
      </c>
      <c r="AF49" s="99">
        <f t="shared" si="63"/>
        <v>0.315</v>
      </c>
      <c r="AG49" s="97">
        <f t="shared" si="64"/>
        <v>0.38073120439491165</v>
      </c>
      <c r="AH49" s="97">
        <f t="shared" si="10"/>
        <v>7.5120709650000009E-3</v>
      </c>
      <c r="AI49" s="97">
        <f t="shared" si="87"/>
        <v>0.441</v>
      </c>
      <c r="AJ49" s="100">
        <f t="shared" si="41"/>
        <v>0.44851207096500001</v>
      </c>
      <c r="AK49" s="99">
        <f t="shared" si="65"/>
        <v>0.105</v>
      </c>
      <c r="AL49" s="97">
        <f t="shared" si="66"/>
        <v>0.21981526334629267</v>
      </c>
      <c r="AM49" s="97">
        <f t="shared" si="67"/>
        <v>3.5279999999999999E-2</v>
      </c>
      <c r="AN49" s="97">
        <f t="shared" si="68"/>
        <v>0.75525000000000009</v>
      </c>
      <c r="AO49" s="100">
        <f t="shared" si="42"/>
        <v>0.79053000000000007</v>
      </c>
      <c r="AP49" s="99">
        <f t="shared" si="43"/>
        <v>0</v>
      </c>
      <c r="AQ49" s="97">
        <f t="shared" si="15"/>
        <v>8.7499999999999994E-2</v>
      </c>
      <c r="AR49" s="100">
        <f t="shared" si="69"/>
        <v>1.155E-2</v>
      </c>
      <c r="AS49" s="99">
        <f t="shared" si="70"/>
        <v>0.54756207096499998</v>
      </c>
      <c r="AT49" s="215">
        <f t="shared" si="71"/>
        <v>57.853724257899998</v>
      </c>
      <c r="AU49" s="216">
        <f t="shared" si="72"/>
        <v>6.1263524856136037E-2</v>
      </c>
      <c r="AV49" s="97">
        <f t="shared" si="73"/>
        <v>5.04</v>
      </c>
      <c r="AW49" s="100">
        <f t="shared" si="44"/>
        <v>90.200340255541306</v>
      </c>
      <c r="AX49" s="32"/>
      <c r="AY49" s="99">
        <f t="shared" si="21"/>
        <v>60</v>
      </c>
      <c r="AZ49" s="97">
        <f t="shared" si="74"/>
        <v>8.4000000000000005E-2</v>
      </c>
      <c r="BA49" s="97">
        <f t="shared" si="23"/>
        <v>15</v>
      </c>
      <c r="BB49" s="100">
        <f t="shared" si="75"/>
        <v>0.42</v>
      </c>
      <c r="BC49" s="99">
        <f t="shared" si="76"/>
        <v>2</v>
      </c>
      <c r="BD49" s="97">
        <f t="shared" si="77"/>
        <v>0.75</v>
      </c>
      <c r="BE49" s="100">
        <f t="shared" si="78"/>
        <v>0.25</v>
      </c>
      <c r="BF49" s="99">
        <f t="shared" si="79"/>
        <v>0.45000000000000007</v>
      </c>
      <c r="BG49" s="97">
        <f t="shared" si="60"/>
        <v>0.64500000000000002</v>
      </c>
      <c r="BH49" s="97">
        <f t="shared" si="61"/>
        <v>0.43963052669258534</v>
      </c>
      <c r="BI49" s="97">
        <v>0</v>
      </c>
      <c r="BJ49" s="97">
        <f t="shared" si="80"/>
        <v>1.93275E-3</v>
      </c>
      <c r="BK49" s="100">
        <f t="shared" si="47"/>
        <v>1.93275E-3</v>
      </c>
      <c r="BL49" s="99">
        <f t="shared" si="59"/>
        <v>0.315</v>
      </c>
      <c r="BM49" s="97">
        <f t="shared" si="48"/>
        <v>0.38073120439491165</v>
      </c>
      <c r="BN49" s="97">
        <f t="shared" si="49"/>
        <v>8.8805308249272682E-3</v>
      </c>
      <c r="BO49" s="97">
        <f t="shared" si="88"/>
        <v>0.441</v>
      </c>
      <c r="BP49" s="100">
        <f t="shared" si="51"/>
        <v>0.44988053082492729</v>
      </c>
      <c r="BQ49" s="99">
        <f t="shared" si="52"/>
        <v>0.105</v>
      </c>
      <c r="BR49" s="97">
        <f t="shared" si="81"/>
        <v>0.21981526334629267</v>
      </c>
      <c r="BS49" s="97">
        <f t="shared" si="82"/>
        <v>3.5279999999999999E-2</v>
      </c>
      <c r="BT49" s="97">
        <f t="shared" si="83"/>
        <v>0.75525000000000009</v>
      </c>
      <c r="BU49" s="100">
        <f t="shared" si="53"/>
        <v>0.79053000000000007</v>
      </c>
      <c r="BV49" s="99">
        <f t="shared" si="54"/>
        <v>0</v>
      </c>
      <c r="BW49" s="97">
        <f t="shared" si="84"/>
        <v>8.7499999999999994E-2</v>
      </c>
      <c r="BX49" s="100">
        <f t="shared" si="85"/>
        <v>1.155E-2</v>
      </c>
      <c r="BY49" s="99">
        <f t="shared" si="55"/>
        <v>1.3413932808249271</v>
      </c>
      <c r="BZ49" s="97">
        <f t="shared" si="56"/>
        <v>5.04</v>
      </c>
      <c r="CA49" s="100">
        <f t="shared" si="57"/>
        <v>78.97961743157876</v>
      </c>
      <c r="CB49" s="51">
        <f t="shared" si="58"/>
        <v>0.54893053082492727</v>
      </c>
      <c r="CC49" s="32">
        <f t="shared" si="86"/>
        <v>44.21256857887245</v>
      </c>
    </row>
    <row r="50" spans="17:81" x14ac:dyDescent="0.3">
      <c r="Q50" s="32">
        <v>43</v>
      </c>
      <c r="S50" s="99">
        <f t="shared" si="0"/>
        <v>60</v>
      </c>
      <c r="T50" s="97">
        <f t="shared" si="36"/>
        <v>8.6000000000000007E-2</v>
      </c>
      <c r="U50" s="97">
        <f t="shared" si="1"/>
        <v>15</v>
      </c>
      <c r="V50" s="100">
        <f t="shared" si="2"/>
        <v>0.43</v>
      </c>
      <c r="W50" s="99">
        <f t="shared" si="3"/>
        <v>2</v>
      </c>
      <c r="X50" s="97">
        <f t="shared" si="4"/>
        <v>0.75</v>
      </c>
      <c r="Y50" s="100">
        <f t="shared" si="62"/>
        <v>0.25</v>
      </c>
      <c r="Z50" s="99">
        <f t="shared" si="6"/>
        <v>0.45000000000000007</v>
      </c>
      <c r="AA50" s="97">
        <f t="shared" si="37"/>
        <v>0.65500000000000003</v>
      </c>
      <c r="AB50" s="97">
        <f t="shared" si="38"/>
        <v>0.44919372212888281</v>
      </c>
      <c r="AC50" s="97">
        <v>0</v>
      </c>
      <c r="AD50" s="97">
        <f t="shared" si="7"/>
        <v>2.01775E-3</v>
      </c>
      <c r="AE50" s="100">
        <f t="shared" si="39"/>
        <v>2.01775E-3</v>
      </c>
      <c r="AF50" s="99">
        <f t="shared" si="63"/>
        <v>0.32250000000000001</v>
      </c>
      <c r="AG50" s="97">
        <f t="shared" si="64"/>
        <v>0.38901317458410067</v>
      </c>
      <c r="AH50" s="97">
        <f t="shared" si="10"/>
        <v>7.8424427316666698E-3</v>
      </c>
      <c r="AI50" s="97">
        <f t="shared" si="87"/>
        <v>0.45150000000000001</v>
      </c>
      <c r="AJ50" s="100">
        <f t="shared" si="41"/>
        <v>0.45934244273166669</v>
      </c>
      <c r="AK50" s="99">
        <f t="shared" si="65"/>
        <v>0.1075</v>
      </c>
      <c r="AL50" s="97">
        <f t="shared" si="66"/>
        <v>0.22459686106444141</v>
      </c>
      <c r="AM50" s="97">
        <f t="shared" si="67"/>
        <v>3.6119999999999999E-2</v>
      </c>
      <c r="AN50" s="97">
        <f t="shared" si="68"/>
        <v>0.75525000000000009</v>
      </c>
      <c r="AO50" s="100">
        <f t="shared" si="42"/>
        <v>0.79137000000000013</v>
      </c>
      <c r="AP50" s="99">
        <f t="shared" si="43"/>
        <v>0</v>
      </c>
      <c r="AQ50" s="97">
        <f t="shared" si="15"/>
        <v>8.7499999999999994E-2</v>
      </c>
      <c r="AR50" s="100">
        <f t="shared" si="69"/>
        <v>1.155E-2</v>
      </c>
      <c r="AS50" s="99">
        <f t="shared" si="70"/>
        <v>0.55839244273166666</v>
      </c>
      <c r="AT50" s="215">
        <f t="shared" si="71"/>
        <v>58.503546563900002</v>
      </c>
      <c r="AU50" s="216">
        <f t="shared" si="72"/>
        <v>6.1422151968418999E-2</v>
      </c>
      <c r="AV50" s="97">
        <f t="shared" si="73"/>
        <v>5.16</v>
      </c>
      <c r="AW50" s="100">
        <f t="shared" si="44"/>
        <v>90.235150029945771</v>
      </c>
      <c r="AX50" s="32"/>
      <c r="AY50" s="99">
        <f t="shared" si="21"/>
        <v>60</v>
      </c>
      <c r="AZ50" s="97">
        <f t="shared" si="74"/>
        <v>8.6000000000000007E-2</v>
      </c>
      <c r="BA50" s="97">
        <f t="shared" si="23"/>
        <v>15</v>
      </c>
      <c r="BB50" s="100">
        <f t="shared" si="75"/>
        <v>0.43</v>
      </c>
      <c r="BC50" s="99">
        <f t="shared" si="76"/>
        <v>2</v>
      </c>
      <c r="BD50" s="97">
        <f t="shared" si="77"/>
        <v>0.75</v>
      </c>
      <c r="BE50" s="100">
        <f t="shared" si="78"/>
        <v>0.25</v>
      </c>
      <c r="BF50" s="99">
        <f t="shared" si="79"/>
        <v>0.45000000000000007</v>
      </c>
      <c r="BG50" s="97">
        <f t="shared" si="60"/>
        <v>0.65500000000000003</v>
      </c>
      <c r="BH50" s="97">
        <f t="shared" si="61"/>
        <v>0.44919372212888281</v>
      </c>
      <c r="BI50" s="97">
        <v>0</v>
      </c>
      <c r="BJ50" s="97">
        <f t="shared" si="80"/>
        <v>2.01775E-3</v>
      </c>
      <c r="BK50" s="100">
        <f t="shared" si="47"/>
        <v>2.01775E-3</v>
      </c>
      <c r="BL50" s="99">
        <f t="shared" si="59"/>
        <v>0.32250000000000001</v>
      </c>
      <c r="BM50" s="97">
        <f t="shared" si="48"/>
        <v>0.38901317458410067</v>
      </c>
      <c r="BN50" s="97">
        <f t="shared" si="49"/>
        <v>9.2950910350708075E-3</v>
      </c>
      <c r="BO50" s="97">
        <f t="shared" si="88"/>
        <v>0.45150000000000001</v>
      </c>
      <c r="BP50" s="100">
        <f t="shared" si="51"/>
        <v>0.46079509103507083</v>
      </c>
      <c r="BQ50" s="99">
        <f t="shared" si="52"/>
        <v>0.1075</v>
      </c>
      <c r="BR50" s="97">
        <f t="shared" si="81"/>
        <v>0.22459686106444141</v>
      </c>
      <c r="BS50" s="97">
        <f t="shared" si="82"/>
        <v>3.6119999999999999E-2</v>
      </c>
      <c r="BT50" s="97">
        <f t="shared" si="83"/>
        <v>0.75525000000000009</v>
      </c>
      <c r="BU50" s="100">
        <f t="shared" si="53"/>
        <v>0.79137000000000013</v>
      </c>
      <c r="BV50" s="99">
        <f t="shared" si="54"/>
        <v>0</v>
      </c>
      <c r="BW50" s="97">
        <f t="shared" si="84"/>
        <v>8.7499999999999994E-2</v>
      </c>
      <c r="BX50" s="100">
        <f t="shared" si="85"/>
        <v>1.155E-2</v>
      </c>
      <c r="BY50" s="99">
        <f t="shared" si="55"/>
        <v>1.3532328410350709</v>
      </c>
      <c r="BZ50" s="97">
        <f t="shared" si="56"/>
        <v>5.16</v>
      </c>
      <c r="CA50" s="100">
        <f t="shared" si="57"/>
        <v>79.223330808790521</v>
      </c>
      <c r="CB50" s="51">
        <f t="shared" si="58"/>
        <v>0.55984509103507074</v>
      </c>
      <c r="CC50" s="32">
        <f t="shared" si="86"/>
        <v>44.59457818622748</v>
      </c>
    </row>
    <row r="51" spans="17:81" x14ac:dyDescent="0.3">
      <c r="Q51" s="32">
        <v>44</v>
      </c>
      <c r="S51" s="99">
        <f t="shared" si="0"/>
        <v>60</v>
      </c>
      <c r="T51" s="97">
        <f t="shared" si="36"/>
        <v>8.7999999999999995E-2</v>
      </c>
      <c r="U51" s="97">
        <f t="shared" si="1"/>
        <v>15</v>
      </c>
      <c r="V51" s="100">
        <f t="shared" si="2"/>
        <v>0.43999999999999995</v>
      </c>
      <c r="W51" s="99">
        <f t="shared" si="3"/>
        <v>2</v>
      </c>
      <c r="X51" s="97">
        <f t="shared" si="4"/>
        <v>0.75</v>
      </c>
      <c r="Y51" s="100">
        <f t="shared" si="62"/>
        <v>0.25</v>
      </c>
      <c r="Z51" s="99">
        <f t="shared" si="6"/>
        <v>0.45000000000000007</v>
      </c>
      <c r="AA51" s="97">
        <f t="shared" si="37"/>
        <v>0.66500000000000004</v>
      </c>
      <c r="AB51" s="97">
        <f t="shared" si="38"/>
        <v>0.45877554424794698</v>
      </c>
      <c r="AC51" s="97">
        <v>0</v>
      </c>
      <c r="AD51" s="97">
        <f t="shared" si="7"/>
        <v>2.1047499999999994E-3</v>
      </c>
      <c r="AE51" s="100">
        <f t="shared" si="39"/>
        <v>2.1047499999999994E-3</v>
      </c>
      <c r="AF51" s="99">
        <f t="shared" si="63"/>
        <v>0.32999999999999996</v>
      </c>
      <c r="AG51" s="97">
        <f t="shared" si="64"/>
        <v>0.39731127595375398</v>
      </c>
      <c r="AH51" s="97">
        <f t="shared" si="10"/>
        <v>8.1805879516666721E-3</v>
      </c>
      <c r="AI51" s="97">
        <f t="shared" si="87"/>
        <v>0.46199999999999997</v>
      </c>
      <c r="AJ51" s="100">
        <f t="shared" si="41"/>
        <v>0.47018058795166662</v>
      </c>
      <c r="AK51" s="99">
        <f t="shared" si="65"/>
        <v>0.10999999999999999</v>
      </c>
      <c r="AL51" s="97">
        <f t="shared" si="66"/>
        <v>0.22938777212397352</v>
      </c>
      <c r="AM51" s="97">
        <f t="shared" si="67"/>
        <v>3.696E-2</v>
      </c>
      <c r="AN51" s="97">
        <f t="shared" si="68"/>
        <v>0.75525000000000009</v>
      </c>
      <c r="AO51" s="100">
        <f t="shared" si="42"/>
        <v>0.79221000000000008</v>
      </c>
      <c r="AP51" s="99">
        <f t="shared" si="43"/>
        <v>0</v>
      </c>
      <c r="AQ51" s="97">
        <f t="shared" si="15"/>
        <v>8.7499999999999994E-2</v>
      </c>
      <c r="AR51" s="100">
        <f t="shared" si="69"/>
        <v>1.155E-2</v>
      </c>
      <c r="AS51" s="99">
        <f t="shared" si="70"/>
        <v>0.56923058795166659</v>
      </c>
      <c r="AT51" s="215">
        <f t="shared" si="71"/>
        <v>59.153835277099994</v>
      </c>
      <c r="AU51" s="216">
        <f t="shared" si="72"/>
        <v>6.1580892934638025E-2</v>
      </c>
      <c r="AV51" s="97">
        <f t="shared" si="73"/>
        <v>5.2799999999999994</v>
      </c>
      <c r="AW51" s="100">
        <f t="shared" si="44"/>
        <v>90.268282650299739</v>
      </c>
      <c r="AX51" s="32"/>
      <c r="AY51" s="99">
        <f t="shared" si="21"/>
        <v>60</v>
      </c>
      <c r="AZ51" s="97">
        <f t="shared" si="74"/>
        <v>8.7999999999999995E-2</v>
      </c>
      <c r="BA51" s="97">
        <f t="shared" si="23"/>
        <v>15</v>
      </c>
      <c r="BB51" s="100">
        <f t="shared" si="75"/>
        <v>0.43999999999999995</v>
      </c>
      <c r="BC51" s="99">
        <f t="shared" si="76"/>
        <v>2</v>
      </c>
      <c r="BD51" s="97">
        <f t="shared" si="77"/>
        <v>0.75</v>
      </c>
      <c r="BE51" s="100">
        <f t="shared" si="78"/>
        <v>0.25</v>
      </c>
      <c r="BF51" s="99">
        <f t="shared" si="79"/>
        <v>0.45000000000000007</v>
      </c>
      <c r="BG51" s="97">
        <f t="shared" si="60"/>
        <v>0.66500000000000004</v>
      </c>
      <c r="BH51" s="97">
        <f t="shared" si="61"/>
        <v>0.45877554424794698</v>
      </c>
      <c r="BI51" s="97">
        <v>0</v>
      </c>
      <c r="BJ51" s="97">
        <f t="shared" si="80"/>
        <v>2.1047499999999994E-3</v>
      </c>
      <c r="BK51" s="100">
        <f t="shared" si="47"/>
        <v>2.1047499999999994E-3</v>
      </c>
      <c r="BL51" s="99">
        <f t="shared" si="59"/>
        <v>0.32999999999999996</v>
      </c>
      <c r="BM51" s="97">
        <f t="shared" si="48"/>
        <v>0.39731127595375398</v>
      </c>
      <c r="BN51" s="97">
        <f t="shared" si="49"/>
        <v>9.7209288303134571E-3</v>
      </c>
      <c r="BO51" s="97">
        <f t="shared" si="88"/>
        <v>0.46199999999999997</v>
      </c>
      <c r="BP51" s="100">
        <f t="shared" si="51"/>
        <v>0.47172092883031341</v>
      </c>
      <c r="BQ51" s="99">
        <f t="shared" si="52"/>
        <v>0.10999999999999999</v>
      </c>
      <c r="BR51" s="97">
        <f t="shared" si="81"/>
        <v>0.22938777212397352</v>
      </c>
      <c r="BS51" s="97">
        <f t="shared" si="82"/>
        <v>3.696E-2</v>
      </c>
      <c r="BT51" s="97">
        <f t="shared" si="83"/>
        <v>0.75525000000000009</v>
      </c>
      <c r="BU51" s="100">
        <f t="shared" si="53"/>
        <v>0.79221000000000008</v>
      </c>
      <c r="BV51" s="99">
        <f t="shared" si="54"/>
        <v>0</v>
      </c>
      <c r="BW51" s="97">
        <f t="shared" si="84"/>
        <v>8.7499999999999994E-2</v>
      </c>
      <c r="BX51" s="100">
        <f t="shared" si="85"/>
        <v>1.155E-2</v>
      </c>
      <c r="BY51" s="99">
        <f t="shared" si="55"/>
        <v>1.3650856788303134</v>
      </c>
      <c r="BZ51" s="97">
        <f t="shared" si="56"/>
        <v>5.2799999999999994</v>
      </c>
      <c r="CA51" s="100">
        <f t="shared" si="57"/>
        <v>79.457214777844669</v>
      </c>
      <c r="CB51" s="51">
        <f t="shared" si="58"/>
        <v>0.57077092883031333</v>
      </c>
      <c r="CC51" s="32">
        <f t="shared" si="86"/>
        <v>44.976982509060967</v>
      </c>
    </row>
    <row r="52" spans="17:81" x14ac:dyDescent="0.3">
      <c r="Q52" s="32">
        <v>45</v>
      </c>
      <c r="S52" s="99">
        <f t="shared" si="0"/>
        <v>60</v>
      </c>
      <c r="T52" s="97">
        <f t="shared" si="36"/>
        <v>0.09</v>
      </c>
      <c r="U52" s="97">
        <f t="shared" si="1"/>
        <v>15</v>
      </c>
      <c r="V52" s="100">
        <f t="shared" si="2"/>
        <v>0.44999999999999996</v>
      </c>
      <c r="W52" s="99">
        <f t="shared" si="3"/>
        <v>2</v>
      </c>
      <c r="X52" s="97">
        <f t="shared" si="4"/>
        <v>0.75</v>
      </c>
      <c r="Y52" s="100">
        <f t="shared" si="62"/>
        <v>0.25</v>
      </c>
      <c r="Z52" s="99">
        <f t="shared" si="6"/>
        <v>0.45000000000000007</v>
      </c>
      <c r="AA52" s="97">
        <f t="shared" si="37"/>
        <v>0.67500000000000004</v>
      </c>
      <c r="AB52" s="97">
        <f t="shared" si="38"/>
        <v>0.46837484987987982</v>
      </c>
      <c r="AC52" s="97">
        <v>0</v>
      </c>
      <c r="AD52" s="97">
        <f t="shared" si="7"/>
        <v>2.1937499999999995E-3</v>
      </c>
      <c r="AE52" s="100">
        <f t="shared" si="39"/>
        <v>2.1937499999999995E-3</v>
      </c>
      <c r="AF52" s="99">
        <f t="shared" si="63"/>
        <v>0.33749999999999997</v>
      </c>
      <c r="AG52" s="97">
        <f t="shared" si="64"/>
        <v>0.40562451848969877</v>
      </c>
      <c r="AH52" s="97">
        <f t="shared" si="10"/>
        <v>8.5265066250000011E-3</v>
      </c>
      <c r="AI52" s="97">
        <f t="shared" si="87"/>
        <v>0.47249999999999986</v>
      </c>
      <c r="AJ52" s="100">
        <f t="shared" si="41"/>
        <v>0.48102650662499985</v>
      </c>
      <c r="AK52" s="99">
        <f t="shared" si="65"/>
        <v>0.11249999999999999</v>
      </c>
      <c r="AL52" s="97">
        <f t="shared" si="66"/>
        <v>0.23418742493993994</v>
      </c>
      <c r="AM52" s="97">
        <f t="shared" si="67"/>
        <v>3.78E-2</v>
      </c>
      <c r="AN52" s="97">
        <f t="shared" si="68"/>
        <v>0.75525000000000009</v>
      </c>
      <c r="AO52" s="100">
        <f t="shared" si="42"/>
        <v>0.79305000000000003</v>
      </c>
      <c r="AP52" s="99">
        <f t="shared" si="43"/>
        <v>0</v>
      </c>
      <c r="AQ52" s="97">
        <f t="shared" si="15"/>
        <v>8.7499999999999994E-2</v>
      </c>
      <c r="AR52" s="100">
        <f t="shared" si="69"/>
        <v>1.155E-2</v>
      </c>
      <c r="AS52" s="99">
        <f t="shared" si="70"/>
        <v>0.58007650662499977</v>
      </c>
      <c r="AT52" s="215">
        <f t="shared" si="71"/>
        <v>59.804590397499986</v>
      </c>
      <c r="AU52" s="216">
        <f t="shared" si="72"/>
        <v>6.1739747754793128E-2</v>
      </c>
      <c r="AV52" s="97">
        <f t="shared" si="73"/>
        <v>5.3999999999999995</v>
      </c>
      <c r="AW52" s="100">
        <f t="shared" si="44"/>
        <v>90.299848070800351</v>
      </c>
      <c r="AX52" s="32"/>
      <c r="AY52" s="99">
        <f t="shared" si="21"/>
        <v>60</v>
      </c>
      <c r="AZ52" s="97">
        <f t="shared" si="74"/>
        <v>0.09</v>
      </c>
      <c r="BA52" s="97">
        <f t="shared" si="23"/>
        <v>15</v>
      </c>
      <c r="BB52" s="100">
        <f t="shared" si="75"/>
        <v>0.44999999999999996</v>
      </c>
      <c r="BC52" s="99">
        <f t="shared" si="76"/>
        <v>2</v>
      </c>
      <c r="BD52" s="97">
        <f t="shared" si="77"/>
        <v>0.75</v>
      </c>
      <c r="BE52" s="100">
        <f t="shared" si="78"/>
        <v>0.25</v>
      </c>
      <c r="BF52" s="99">
        <f t="shared" si="79"/>
        <v>0.45000000000000007</v>
      </c>
      <c r="BG52" s="97">
        <f t="shared" si="60"/>
        <v>0.67500000000000004</v>
      </c>
      <c r="BH52" s="97">
        <f t="shared" si="61"/>
        <v>0.46837484987987982</v>
      </c>
      <c r="BI52" s="97">
        <v>0</v>
      </c>
      <c r="BJ52" s="97">
        <f t="shared" si="80"/>
        <v>2.1937499999999995E-3</v>
      </c>
      <c r="BK52" s="100">
        <f t="shared" si="47"/>
        <v>2.1937499999999995E-3</v>
      </c>
      <c r="BL52" s="99">
        <f t="shared" si="59"/>
        <v>0.33749999999999997</v>
      </c>
      <c r="BM52" s="97">
        <f t="shared" si="48"/>
        <v>0.40562451848969877</v>
      </c>
      <c r="BN52" s="97">
        <f t="shared" si="49"/>
        <v>1.0158117872780805E-2</v>
      </c>
      <c r="BO52" s="97">
        <f t="shared" si="88"/>
        <v>0.47249999999999986</v>
      </c>
      <c r="BP52" s="100">
        <f t="shared" si="51"/>
        <v>0.48265811787278068</v>
      </c>
      <c r="BQ52" s="99">
        <f t="shared" si="52"/>
        <v>0.11249999999999999</v>
      </c>
      <c r="BR52" s="97">
        <f t="shared" si="81"/>
        <v>0.23418742493993994</v>
      </c>
      <c r="BS52" s="97">
        <f t="shared" si="82"/>
        <v>3.78E-2</v>
      </c>
      <c r="BT52" s="97">
        <f t="shared" si="83"/>
        <v>0.75525000000000009</v>
      </c>
      <c r="BU52" s="100">
        <f t="shared" si="53"/>
        <v>0.79305000000000003</v>
      </c>
      <c r="BV52" s="99">
        <f t="shared" si="54"/>
        <v>0</v>
      </c>
      <c r="BW52" s="97">
        <f t="shared" si="84"/>
        <v>8.7499999999999994E-2</v>
      </c>
      <c r="BX52" s="100">
        <f t="shared" si="85"/>
        <v>1.155E-2</v>
      </c>
      <c r="BY52" s="99">
        <f t="shared" si="55"/>
        <v>1.3769518678727806</v>
      </c>
      <c r="BZ52" s="97">
        <f t="shared" si="56"/>
        <v>5.3999999999999995</v>
      </c>
      <c r="CA52" s="100">
        <f t="shared" si="57"/>
        <v>79.681840822856657</v>
      </c>
      <c r="CB52" s="51">
        <f t="shared" si="58"/>
        <v>0.58170811787278065</v>
      </c>
      <c r="CC52" s="32">
        <f t="shared" si="86"/>
        <v>45.359784125547321</v>
      </c>
    </row>
    <row r="53" spans="17:81" x14ac:dyDescent="0.3">
      <c r="Q53" s="32">
        <v>46</v>
      </c>
      <c r="S53" s="99">
        <f t="shared" si="0"/>
        <v>60</v>
      </c>
      <c r="T53" s="97">
        <f t="shared" si="36"/>
        <v>9.1999999999999998E-2</v>
      </c>
      <c r="U53" s="97">
        <f t="shared" si="1"/>
        <v>15</v>
      </c>
      <c r="V53" s="100">
        <f t="shared" si="2"/>
        <v>0.45999999999999996</v>
      </c>
      <c r="W53" s="99">
        <f t="shared" si="3"/>
        <v>2</v>
      </c>
      <c r="X53" s="97">
        <f t="shared" si="4"/>
        <v>0.75</v>
      </c>
      <c r="Y53" s="100">
        <f t="shared" si="62"/>
        <v>0.25</v>
      </c>
      <c r="Z53" s="99">
        <f t="shared" si="6"/>
        <v>0.45000000000000007</v>
      </c>
      <c r="AA53" s="97">
        <f t="shared" si="37"/>
        <v>0.68500000000000005</v>
      </c>
      <c r="AB53" s="97">
        <f t="shared" si="38"/>
        <v>0.47799058568134994</v>
      </c>
      <c r="AC53" s="97">
        <v>0</v>
      </c>
      <c r="AD53" s="97">
        <f t="shared" si="7"/>
        <v>2.2847499999999995E-3</v>
      </c>
      <c r="AE53" s="100">
        <f t="shared" si="39"/>
        <v>2.2847499999999995E-3</v>
      </c>
      <c r="AF53" s="99">
        <f t="shared" si="63"/>
        <v>0.34499999999999997</v>
      </c>
      <c r="AG53" s="97">
        <f t="shared" si="64"/>
        <v>0.4139519899698515</v>
      </c>
      <c r="AH53" s="97">
        <f t="shared" si="10"/>
        <v>8.8801987516666722E-3</v>
      </c>
      <c r="AI53" s="97">
        <f t="shared" si="87"/>
        <v>0.48299999999999998</v>
      </c>
      <c r="AJ53" s="100">
        <f t="shared" si="41"/>
        <v>0.49188019875166666</v>
      </c>
      <c r="AK53" s="99">
        <f t="shared" si="65"/>
        <v>0.11499999999999999</v>
      </c>
      <c r="AL53" s="97">
        <f t="shared" si="66"/>
        <v>0.23899529284067503</v>
      </c>
      <c r="AM53" s="97">
        <f t="shared" si="67"/>
        <v>3.8640000000000001E-2</v>
      </c>
      <c r="AN53" s="97">
        <f t="shared" si="68"/>
        <v>0.75525000000000009</v>
      </c>
      <c r="AO53" s="100">
        <f t="shared" si="42"/>
        <v>0.7938900000000001</v>
      </c>
      <c r="AP53" s="99">
        <f t="shared" si="43"/>
        <v>0</v>
      </c>
      <c r="AQ53" s="97">
        <f t="shared" si="15"/>
        <v>8.7499999999999994E-2</v>
      </c>
      <c r="AR53" s="100">
        <f t="shared" si="69"/>
        <v>1.155E-2</v>
      </c>
      <c r="AS53" s="99">
        <f t="shared" si="70"/>
        <v>0.59093019875166664</v>
      </c>
      <c r="AT53" s="215">
        <f t="shared" si="71"/>
        <v>60.455811925100001</v>
      </c>
      <c r="AU53" s="216">
        <f t="shared" si="72"/>
        <v>6.1898716428884296E-2</v>
      </c>
      <c r="AV53" s="97">
        <f t="shared" si="73"/>
        <v>5.52</v>
      </c>
      <c r="AW53" s="100">
        <f t="shared" si="44"/>
        <v>90.329946840623691</v>
      </c>
      <c r="AX53" s="32"/>
      <c r="AY53" s="99">
        <f t="shared" si="21"/>
        <v>60</v>
      </c>
      <c r="AZ53" s="97">
        <f t="shared" si="74"/>
        <v>9.1999999999999998E-2</v>
      </c>
      <c r="BA53" s="97">
        <f t="shared" si="23"/>
        <v>15</v>
      </c>
      <c r="BB53" s="100">
        <f t="shared" si="75"/>
        <v>0.45999999999999996</v>
      </c>
      <c r="BC53" s="99">
        <f t="shared" si="76"/>
        <v>2</v>
      </c>
      <c r="BD53" s="97">
        <f t="shared" si="77"/>
        <v>0.75</v>
      </c>
      <c r="BE53" s="100">
        <f t="shared" si="78"/>
        <v>0.25</v>
      </c>
      <c r="BF53" s="99">
        <f t="shared" si="79"/>
        <v>0.45000000000000007</v>
      </c>
      <c r="BG53" s="97">
        <f t="shared" si="60"/>
        <v>0.68500000000000005</v>
      </c>
      <c r="BH53" s="97">
        <f t="shared" si="61"/>
        <v>0.47799058568134994</v>
      </c>
      <c r="BI53" s="97">
        <v>0</v>
      </c>
      <c r="BJ53" s="97">
        <f t="shared" si="80"/>
        <v>2.2847499999999995E-3</v>
      </c>
      <c r="BK53" s="100">
        <f t="shared" si="47"/>
        <v>2.2847499999999995E-3</v>
      </c>
      <c r="BL53" s="99">
        <f t="shared" si="59"/>
        <v>0.34499999999999997</v>
      </c>
      <c r="BM53" s="97">
        <f t="shared" si="48"/>
        <v>0.4139519899698515</v>
      </c>
      <c r="BN53" s="97">
        <f t="shared" si="49"/>
        <v>1.0606731927067008E-2</v>
      </c>
      <c r="BO53" s="97">
        <f t="shared" si="88"/>
        <v>0.48299999999999998</v>
      </c>
      <c r="BP53" s="100">
        <f t="shared" si="51"/>
        <v>0.493606731927067</v>
      </c>
      <c r="BQ53" s="99">
        <f t="shared" si="52"/>
        <v>0.11499999999999999</v>
      </c>
      <c r="BR53" s="97">
        <f t="shared" si="81"/>
        <v>0.23899529284067503</v>
      </c>
      <c r="BS53" s="97">
        <f t="shared" si="82"/>
        <v>3.8640000000000001E-2</v>
      </c>
      <c r="BT53" s="97">
        <f t="shared" si="83"/>
        <v>0.75525000000000009</v>
      </c>
      <c r="BU53" s="100">
        <f t="shared" si="53"/>
        <v>0.7938900000000001</v>
      </c>
      <c r="BV53" s="99">
        <f t="shared" si="54"/>
        <v>0</v>
      </c>
      <c r="BW53" s="97">
        <f t="shared" si="84"/>
        <v>8.7499999999999994E-2</v>
      </c>
      <c r="BX53" s="100">
        <f t="shared" si="85"/>
        <v>1.155E-2</v>
      </c>
      <c r="BY53" s="99">
        <f t="shared" si="55"/>
        <v>1.3888314819270671</v>
      </c>
      <c r="BZ53" s="97">
        <f t="shared" si="56"/>
        <v>5.52</v>
      </c>
      <c r="CA53" s="100">
        <f t="shared" si="57"/>
        <v>79.897736895737935</v>
      </c>
      <c r="CB53" s="51">
        <f t="shared" si="58"/>
        <v>0.59265673192706692</v>
      </c>
      <c r="CC53" s="32">
        <f t="shared" si="86"/>
        <v>45.742985617447346</v>
      </c>
    </row>
    <row r="54" spans="17:81" x14ac:dyDescent="0.3">
      <c r="Q54" s="32">
        <v>47</v>
      </c>
      <c r="S54" s="99">
        <f t="shared" si="0"/>
        <v>60</v>
      </c>
      <c r="T54" s="97">
        <f t="shared" si="36"/>
        <v>9.4E-2</v>
      </c>
      <c r="U54" s="97">
        <f t="shared" si="1"/>
        <v>15</v>
      </c>
      <c r="V54" s="100">
        <f t="shared" si="2"/>
        <v>0.47</v>
      </c>
      <c r="W54" s="99">
        <f t="shared" si="3"/>
        <v>2</v>
      </c>
      <c r="X54" s="97">
        <f t="shared" si="4"/>
        <v>0.75</v>
      </c>
      <c r="Y54" s="100">
        <f t="shared" si="62"/>
        <v>0.25</v>
      </c>
      <c r="Z54" s="99">
        <f t="shared" si="6"/>
        <v>0.45000000000000007</v>
      </c>
      <c r="AA54" s="97">
        <f t="shared" si="37"/>
        <v>0.69500000000000006</v>
      </c>
      <c r="AB54" s="97">
        <f t="shared" si="38"/>
        <v>0.4876217796612452</v>
      </c>
      <c r="AC54" s="97">
        <v>0</v>
      </c>
      <c r="AD54" s="97">
        <f t="shared" si="7"/>
        <v>2.3777499999999997E-3</v>
      </c>
      <c r="AE54" s="100">
        <f t="shared" si="39"/>
        <v>2.3777499999999997E-3</v>
      </c>
      <c r="AF54" s="99">
        <f t="shared" si="63"/>
        <v>0.35249999999999998</v>
      </c>
      <c r="AG54" s="97">
        <f t="shared" si="64"/>
        <v>0.42229284862521654</v>
      </c>
      <c r="AH54" s="97">
        <f t="shared" si="10"/>
        <v>9.2416643316666717E-3</v>
      </c>
      <c r="AI54" s="97">
        <f t="shared" si="87"/>
        <v>0.49349999999999999</v>
      </c>
      <c r="AJ54" s="100">
        <f t="shared" si="41"/>
        <v>0.50274166433166667</v>
      </c>
      <c r="AK54" s="99">
        <f t="shared" si="65"/>
        <v>0.11749999999999999</v>
      </c>
      <c r="AL54" s="97">
        <f t="shared" si="66"/>
        <v>0.24381088983062266</v>
      </c>
      <c r="AM54" s="97">
        <f t="shared" si="67"/>
        <v>3.9480000000000001E-2</v>
      </c>
      <c r="AN54" s="97">
        <f t="shared" si="68"/>
        <v>0.75525000000000009</v>
      </c>
      <c r="AO54" s="100">
        <f t="shared" si="42"/>
        <v>0.79473000000000005</v>
      </c>
      <c r="AP54" s="99">
        <f t="shared" si="43"/>
        <v>0</v>
      </c>
      <c r="AQ54" s="97">
        <f t="shared" si="15"/>
        <v>8.7499999999999994E-2</v>
      </c>
      <c r="AR54" s="100">
        <f t="shared" si="69"/>
        <v>1.155E-2</v>
      </c>
      <c r="AS54" s="99">
        <f t="shared" si="70"/>
        <v>0.60179166433166664</v>
      </c>
      <c r="AT54" s="215">
        <f t="shared" si="71"/>
        <v>61.107499859899995</v>
      </c>
      <c r="AU54" s="216">
        <f t="shared" si="72"/>
        <v>6.205779895691154E-2</v>
      </c>
      <c r="AV54" s="97">
        <f t="shared" si="73"/>
        <v>5.64</v>
      </c>
      <c r="AW54" s="100">
        <f t="shared" si="44"/>
        <v>90.358671088454173</v>
      </c>
      <c r="AX54" s="32"/>
      <c r="AY54" s="99">
        <f t="shared" si="21"/>
        <v>60</v>
      </c>
      <c r="AZ54" s="97">
        <f t="shared" si="74"/>
        <v>9.4E-2</v>
      </c>
      <c r="BA54" s="97">
        <f t="shared" si="23"/>
        <v>15</v>
      </c>
      <c r="BB54" s="100">
        <f t="shared" si="75"/>
        <v>0.47</v>
      </c>
      <c r="BC54" s="99">
        <f t="shared" si="76"/>
        <v>2</v>
      </c>
      <c r="BD54" s="97">
        <f t="shared" si="77"/>
        <v>0.75</v>
      </c>
      <c r="BE54" s="100">
        <f t="shared" si="78"/>
        <v>0.25</v>
      </c>
      <c r="BF54" s="99">
        <f t="shared" si="79"/>
        <v>0.45000000000000007</v>
      </c>
      <c r="BG54" s="97">
        <f t="shared" si="60"/>
        <v>0.69500000000000006</v>
      </c>
      <c r="BH54" s="97">
        <f t="shared" si="61"/>
        <v>0.4876217796612452</v>
      </c>
      <c r="BI54" s="97">
        <v>0</v>
      </c>
      <c r="BJ54" s="97">
        <f t="shared" si="80"/>
        <v>2.3777499999999997E-3</v>
      </c>
      <c r="BK54" s="100">
        <f t="shared" si="47"/>
        <v>2.3777499999999997E-3</v>
      </c>
      <c r="BL54" s="99">
        <f t="shared" si="59"/>
        <v>0.35249999999999998</v>
      </c>
      <c r="BM54" s="97">
        <f t="shared" si="48"/>
        <v>0.42229284862521654</v>
      </c>
      <c r="BN54" s="97">
        <f t="shared" si="49"/>
        <v>1.1066844860234735E-2</v>
      </c>
      <c r="BO54" s="97">
        <f t="shared" si="88"/>
        <v>0.49349999999999999</v>
      </c>
      <c r="BP54" s="100">
        <f t="shared" si="51"/>
        <v>0.50456684486023473</v>
      </c>
      <c r="BQ54" s="99">
        <f t="shared" si="52"/>
        <v>0.11749999999999999</v>
      </c>
      <c r="BR54" s="97">
        <f t="shared" si="81"/>
        <v>0.24381088983062266</v>
      </c>
      <c r="BS54" s="97">
        <f t="shared" si="82"/>
        <v>3.9480000000000001E-2</v>
      </c>
      <c r="BT54" s="97">
        <f t="shared" si="83"/>
        <v>0.75525000000000009</v>
      </c>
      <c r="BU54" s="100">
        <f t="shared" si="53"/>
        <v>0.79473000000000005</v>
      </c>
      <c r="BV54" s="99">
        <f t="shared" si="54"/>
        <v>0</v>
      </c>
      <c r="BW54" s="97">
        <f t="shared" si="84"/>
        <v>8.7499999999999994E-2</v>
      </c>
      <c r="BX54" s="100">
        <f t="shared" si="85"/>
        <v>1.155E-2</v>
      </c>
      <c r="BY54" s="99">
        <f t="shared" si="55"/>
        <v>1.4007245948602345</v>
      </c>
      <c r="BZ54" s="97">
        <f t="shared" si="56"/>
        <v>5.64</v>
      </c>
      <c r="CA54" s="100">
        <f t="shared" si="57"/>
        <v>80.105391483672435</v>
      </c>
      <c r="CB54" s="51">
        <f t="shared" si="58"/>
        <v>0.6036168448602347</v>
      </c>
      <c r="CC54" s="32">
        <f t="shared" si="86"/>
        <v>46.126589570108216</v>
      </c>
    </row>
    <row r="55" spans="17:81" x14ac:dyDescent="0.3">
      <c r="Q55" s="32">
        <v>48</v>
      </c>
      <c r="S55" s="99">
        <f t="shared" si="0"/>
        <v>60</v>
      </c>
      <c r="T55" s="97">
        <f t="shared" si="36"/>
        <v>9.6000000000000002E-2</v>
      </c>
      <c r="U55" s="97">
        <f t="shared" si="1"/>
        <v>15</v>
      </c>
      <c r="V55" s="100">
        <f t="shared" si="2"/>
        <v>0.48</v>
      </c>
      <c r="W55" s="99">
        <f t="shared" si="3"/>
        <v>2</v>
      </c>
      <c r="X55" s="97">
        <f t="shared" si="4"/>
        <v>0.75</v>
      </c>
      <c r="Y55" s="100">
        <f t="shared" si="62"/>
        <v>0.25</v>
      </c>
      <c r="Z55" s="99">
        <f t="shared" si="6"/>
        <v>0.45000000000000007</v>
      </c>
      <c r="AA55" s="97">
        <f t="shared" si="37"/>
        <v>0.70500000000000007</v>
      </c>
      <c r="AB55" s="97">
        <f t="shared" si="38"/>
        <v>0.49726753362752329</v>
      </c>
      <c r="AC55" s="97">
        <v>0</v>
      </c>
      <c r="AD55" s="97">
        <f t="shared" si="7"/>
        <v>2.4727500000000001E-3</v>
      </c>
      <c r="AE55" s="100">
        <f t="shared" si="39"/>
        <v>2.4727500000000001E-3</v>
      </c>
      <c r="AF55" s="99">
        <f t="shared" si="63"/>
        <v>0.36</v>
      </c>
      <c r="AG55" s="97">
        <f t="shared" si="64"/>
        <v>0.43064631659866781</v>
      </c>
      <c r="AH55" s="97">
        <f t="shared" si="10"/>
        <v>9.6109033650000047E-3</v>
      </c>
      <c r="AI55" s="97">
        <f t="shared" si="87"/>
        <v>0.504</v>
      </c>
      <c r="AJ55" s="100">
        <f t="shared" si="41"/>
        <v>0.51361090336500004</v>
      </c>
      <c r="AK55" s="99">
        <f t="shared" si="65"/>
        <v>0.12</v>
      </c>
      <c r="AL55" s="97">
        <f t="shared" si="66"/>
        <v>0.24863376681376168</v>
      </c>
      <c r="AM55" s="97">
        <f t="shared" si="67"/>
        <v>4.0320000000000002E-2</v>
      </c>
      <c r="AN55" s="97">
        <f t="shared" si="68"/>
        <v>0.75525000000000009</v>
      </c>
      <c r="AO55" s="100">
        <f t="shared" si="42"/>
        <v>0.79557000000000011</v>
      </c>
      <c r="AP55" s="99">
        <f t="shared" si="43"/>
        <v>0</v>
      </c>
      <c r="AQ55" s="97">
        <f t="shared" si="15"/>
        <v>8.7499999999999994E-2</v>
      </c>
      <c r="AR55" s="100">
        <f t="shared" si="69"/>
        <v>1.155E-2</v>
      </c>
      <c r="AS55" s="99">
        <f t="shared" si="70"/>
        <v>0.61266090336500001</v>
      </c>
      <c r="AT55" s="215">
        <f t="shared" si="71"/>
        <v>61.759654201899998</v>
      </c>
      <c r="AU55" s="216">
        <f t="shared" si="72"/>
        <v>6.2216995338874849E-2</v>
      </c>
      <c r="AV55" s="97">
        <f t="shared" si="73"/>
        <v>5.76</v>
      </c>
      <c r="AW55" s="100">
        <f t="shared" si="44"/>
        <v>90.386105385875908</v>
      </c>
      <c r="AX55" s="32"/>
      <c r="AY55" s="99">
        <f t="shared" si="21"/>
        <v>60</v>
      </c>
      <c r="AZ55" s="97">
        <f t="shared" si="74"/>
        <v>9.6000000000000002E-2</v>
      </c>
      <c r="BA55" s="97">
        <f t="shared" si="23"/>
        <v>15</v>
      </c>
      <c r="BB55" s="100">
        <f t="shared" si="75"/>
        <v>0.48</v>
      </c>
      <c r="BC55" s="99">
        <f t="shared" si="76"/>
        <v>2</v>
      </c>
      <c r="BD55" s="97">
        <f t="shared" si="77"/>
        <v>0.75</v>
      </c>
      <c r="BE55" s="100">
        <f t="shared" si="78"/>
        <v>0.25</v>
      </c>
      <c r="BF55" s="99">
        <f t="shared" si="79"/>
        <v>0.45000000000000007</v>
      </c>
      <c r="BG55" s="97">
        <f t="shared" si="60"/>
        <v>0.70500000000000007</v>
      </c>
      <c r="BH55" s="97">
        <f t="shared" si="61"/>
        <v>0.49726753362752329</v>
      </c>
      <c r="BI55" s="97">
        <v>0</v>
      </c>
      <c r="BJ55" s="97">
        <f t="shared" si="80"/>
        <v>2.4727500000000001E-3</v>
      </c>
      <c r="BK55" s="100">
        <f t="shared" si="47"/>
        <v>2.4727500000000001E-3</v>
      </c>
      <c r="BL55" s="99">
        <f t="shared" si="59"/>
        <v>0.36</v>
      </c>
      <c r="BM55" s="97">
        <f t="shared" si="48"/>
        <v>0.43064631659866781</v>
      </c>
      <c r="BN55" s="97">
        <f t="shared" si="49"/>
        <v>1.1538530641815212E-2</v>
      </c>
      <c r="BO55" s="97">
        <f t="shared" si="88"/>
        <v>0.504</v>
      </c>
      <c r="BP55" s="100">
        <f t="shared" si="51"/>
        <v>0.51553853064181521</v>
      </c>
      <c r="BQ55" s="99">
        <f t="shared" si="52"/>
        <v>0.12</v>
      </c>
      <c r="BR55" s="97">
        <f t="shared" si="81"/>
        <v>0.24863376681376168</v>
      </c>
      <c r="BS55" s="97">
        <f t="shared" si="82"/>
        <v>4.0320000000000002E-2</v>
      </c>
      <c r="BT55" s="97">
        <f t="shared" si="83"/>
        <v>0.75525000000000009</v>
      </c>
      <c r="BU55" s="100">
        <f t="shared" si="53"/>
        <v>0.79557000000000011</v>
      </c>
      <c r="BV55" s="99">
        <f t="shared" si="54"/>
        <v>0</v>
      </c>
      <c r="BW55" s="97">
        <f t="shared" si="84"/>
        <v>8.7499999999999994E-2</v>
      </c>
      <c r="BX55" s="100">
        <f t="shared" si="85"/>
        <v>1.155E-2</v>
      </c>
      <c r="BY55" s="99">
        <f t="shared" si="55"/>
        <v>1.4126312806418151</v>
      </c>
      <c r="BZ55" s="97">
        <f t="shared" si="56"/>
        <v>5.76</v>
      </c>
      <c r="CA55" s="100">
        <f t="shared" si="57"/>
        <v>80.305257228900643</v>
      </c>
      <c r="CB55" s="51">
        <f t="shared" si="58"/>
        <v>0.61458853064181518</v>
      </c>
      <c r="CC55" s="32">
        <f t="shared" si="86"/>
        <v>46.510598572463536</v>
      </c>
    </row>
    <row r="56" spans="17:81" x14ac:dyDescent="0.3">
      <c r="Q56" s="32">
        <v>49</v>
      </c>
      <c r="S56" s="99">
        <f t="shared" si="0"/>
        <v>60</v>
      </c>
      <c r="T56" s="97">
        <f t="shared" si="36"/>
        <v>9.8000000000000004E-2</v>
      </c>
      <c r="U56" s="97">
        <f t="shared" si="1"/>
        <v>15</v>
      </c>
      <c r="V56" s="100">
        <f t="shared" si="2"/>
        <v>0.49</v>
      </c>
      <c r="W56" s="99">
        <f t="shared" si="3"/>
        <v>2</v>
      </c>
      <c r="X56" s="97">
        <f t="shared" si="4"/>
        <v>0.75</v>
      </c>
      <c r="Y56" s="100">
        <f t="shared" si="62"/>
        <v>0.25</v>
      </c>
      <c r="Z56" s="99">
        <f t="shared" si="6"/>
        <v>0.45000000000000007</v>
      </c>
      <c r="AA56" s="97">
        <f t="shared" si="37"/>
        <v>0.71500000000000008</v>
      </c>
      <c r="AB56" s="97">
        <f t="shared" si="38"/>
        <v>0.50692701644319571</v>
      </c>
      <c r="AC56" s="97">
        <v>0</v>
      </c>
      <c r="AD56" s="97">
        <f t="shared" si="7"/>
        <v>2.56975E-3</v>
      </c>
      <c r="AE56" s="100">
        <f t="shared" si="39"/>
        <v>2.56975E-3</v>
      </c>
      <c r="AF56" s="99">
        <f t="shared" si="63"/>
        <v>0.36749999999999999</v>
      </c>
      <c r="AG56" s="97">
        <f t="shared" si="64"/>
        <v>0.4390116741044594</v>
      </c>
      <c r="AH56" s="97">
        <f t="shared" si="10"/>
        <v>9.9879158516666729E-3</v>
      </c>
      <c r="AI56" s="97">
        <f t="shared" si="87"/>
        <v>0.51449999999999996</v>
      </c>
      <c r="AJ56" s="100">
        <f t="shared" si="41"/>
        <v>0.52448791585166665</v>
      </c>
      <c r="AK56" s="99">
        <f t="shared" si="65"/>
        <v>0.1225</v>
      </c>
      <c r="AL56" s="97">
        <f t="shared" si="66"/>
        <v>0.25346350822159786</v>
      </c>
      <c r="AM56" s="97">
        <f t="shared" si="67"/>
        <v>4.1160000000000002E-2</v>
      </c>
      <c r="AN56" s="97">
        <f t="shared" si="68"/>
        <v>0.75525000000000009</v>
      </c>
      <c r="AO56" s="100">
        <f t="shared" si="42"/>
        <v>0.79641000000000006</v>
      </c>
      <c r="AP56" s="99">
        <f t="shared" si="43"/>
        <v>0</v>
      </c>
      <c r="AQ56" s="97">
        <f t="shared" si="15"/>
        <v>8.7499999999999994E-2</v>
      </c>
      <c r="AR56" s="100">
        <f t="shared" si="69"/>
        <v>1.155E-2</v>
      </c>
      <c r="AS56" s="99">
        <f t="shared" si="70"/>
        <v>0.62353791585166662</v>
      </c>
      <c r="AT56" s="215">
        <f t="shared" si="71"/>
        <v>62.412274951099995</v>
      </c>
      <c r="AU56" s="216">
        <f t="shared" si="72"/>
        <v>6.2376305574774228E-2</v>
      </c>
      <c r="AV56" s="97">
        <f t="shared" si="73"/>
        <v>5.88</v>
      </c>
      <c r="AW56" s="100">
        <f t="shared" si="44"/>
        <v>90.412327506665875</v>
      </c>
      <c r="AX56" s="32"/>
      <c r="AY56" s="99">
        <f t="shared" si="21"/>
        <v>60</v>
      </c>
      <c r="AZ56" s="97">
        <f t="shared" si="74"/>
        <v>9.8000000000000004E-2</v>
      </c>
      <c r="BA56" s="97">
        <f t="shared" si="23"/>
        <v>15</v>
      </c>
      <c r="BB56" s="100">
        <f t="shared" si="75"/>
        <v>0.49</v>
      </c>
      <c r="BC56" s="99">
        <f t="shared" si="76"/>
        <v>2</v>
      </c>
      <c r="BD56" s="97">
        <f t="shared" si="77"/>
        <v>0.75</v>
      </c>
      <c r="BE56" s="100">
        <f t="shared" si="78"/>
        <v>0.25</v>
      </c>
      <c r="BF56" s="99">
        <f t="shared" si="79"/>
        <v>0.45000000000000007</v>
      </c>
      <c r="BG56" s="97">
        <f t="shared" si="60"/>
        <v>0.71500000000000008</v>
      </c>
      <c r="BH56" s="97">
        <f t="shared" si="61"/>
        <v>0.50692701644319571</v>
      </c>
      <c r="BI56" s="97">
        <v>0</v>
      </c>
      <c r="BJ56" s="97">
        <f t="shared" si="80"/>
        <v>2.56975E-3</v>
      </c>
      <c r="BK56" s="100">
        <f t="shared" si="47"/>
        <v>2.56975E-3</v>
      </c>
      <c r="BL56" s="99">
        <f t="shared" si="59"/>
        <v>0.36749999999999999</v>
      </c>
      <c r="BM56" s="97">
        <f t="shared" si="48"/>
        <v>0.4390116741044594</v>
      </c>
      <c r="BN56" s="97">
        <f t="shared" si="49"/>
        <v>1.202186334380821E-2</v>
      </c>
      <c r="BO56" s="97">
        <f t="shared" si="88"/>
        <v>0.51449999999999996</v>
      </c>
      <c r="BP56" s="100">
        <f t="shared" si="51"/>
        <v>0.52652186334380813</v>
      </c>
      <c r="BQ56" s="99">
        <f t="shared" si="52"/>
        <v>0.1225</v>
      </c>
      <c r="BR56" s="97">
        <f t="shared" si="81"/>
        <v>0.25346350822159786</v>
      </c>
      <c r="BS56" s="97">
        <f t="shared" si="82"/>
        <v>4.1160000000000002E-2</v>
      </c>
      <c r="BT56" s="97">
        <f t="shared" si="83"/>
        <v>0.75525000000000009</v>
      </c>
      <c r="BU56" s="100">
        <f t="shared" si="53"/>
        <v>0.79641000000000006</v>
      </c>
      <c r="BV56" s="99">
        <f t="shared" si="54"/>
        <v>0</v>
      </c>
      <c r="BW56" s="97">
        <f t="shared" si="84"/>
        <v>8.7499999999999994E-2</v>
      </c>
      <c r="BX56" s="100">
        <f t="shared" si="85"/>
        <v>1.155E-2</v>
      </c>
      <c r="BY56" s="99">
        <f t="shared" si="55"/>
        <v>1.4245516133438079</v>
      </c>
      <c r="BZ56" s="97">
        <f t="shared" si="56"/>
        <v>5.88</v>
      </c>
      <c r="CA56" s="100">
        <f t="shared" si="57"/>
        <v>80.497754157264552</v>
      </c>
      <c r="CB56" s="51">
        <f t="shared" si="58"/>
        <v>0.6255718633438081</v>
      </c>
      <c r="CC56" s="32">
        <f t="shared" si="86"/>
        <v>46.895015217033283</v>
      </c>
    </row>
    <row r="57" spans="17:81" x14ac:dyDescent="0.3">
      <c r="Q57" s="32">
        <v>50</v>
      </c>
      <c r="S57" s="99">
        <f t="shared" si="0"/>
        <v>60</v>
      </c>
      <c r="T57" s="97">
        <f t="shared" si="36"/>
        <v>0.1</v>
      </c>
      <c r="U57" s="97">
        <f t="shared" si="1"/>
        <v>15</v>
      </c>
      <c r="V57" s="100">
        <f t="shared" si="2"/>
        <v>0.5</v>
      </c>
      <c r="W57" s="99">
        <f t="shared" si="3"/>
        <v>2</v>
      </c>
      <c r="X57" s="97">
        <f t="shared" si="4"/>
        <v>0.75</v>
      </c>
      <c r="Y57" s="100">
        <f t="shared" si="62"/>
        <v>0.25</v>
      </c>
      <c r="Z57" s="99">
        <f t="shared" si="6"/>
        <v>0.45000000000000007</v>
      </c>
      <c r="AA57" s="97">
        <f t="shared" si="37"/>
        <v>0.72500000000000009</v>
      </c>
      <c r="AB57" s="97">
        <f t="shared" si="38"/>
        <v>0.51659945799429563</v>
      </c>
      <c r="AC57" s="97">
        <v>0</v>
      </c>
      <c r="AD57" s="97">
        <f t="shared" si="7"/>
        <v>2.6687500000000005E-3</v>
      </c>
      <c r="AE57" s="100">
        <f t="shared" si="39"/>
        <v>2.6687500000000005E-3</v>
      </c>
      <c r="AF57" s="99">
        <f t="shared" si="63"/>
        <v>0.375</v>
      </c>
      <c r="AG57" s="97">
        <f t="shared" si="64"/>
        <v>0.44738825420433204</v>
      </c>
      <c r="AH57" s="97">
        <f t="shared" si="10"/>
        <v>1.0372701791666671E-2</v>
      </c>
      <c r="AI57" s="97">
        <f t="shared" si="87"/>
        <v>0.52500000000000002</v>
      </c>
      <c r="AJ57" s="100">
        <f t="shared" si="41"/>
        <v>0.53537270179166674</v>
      </c>
      <c r="AK57" s="99">
        <f t="shared" si="65"/>
        <v>0.125</v>
      </c>
      <c r="AL57" s="97">
        <f t="shared" si="66"/>
        <v>0.25829972899714781</v>
      </c>
      <c r="AM57" s="97">
        <f t="shared" si="67"/>
        <v>4.2000000000000003E-2</v>
      </c>
      <c r="AN57" s="97">
        <f t="shared" si="68"/>
        <v>0.75525000000000009</v>
      </c>
      <c r="AO57" s="100">
        <f t="shared" si="42"/>
        <v>0.79725000000000013</v>
      </c>
      <c r="AP57" s="99">
        <f t="shared" si="43"/>
        <v>0</v>
      </c>
      <c r="AQ57" s="97">
        <f t="shared" si="15"/>
        <v>8.7499999999999994E-2</v>
      </c>
      <c r="AR57" s="100">
        <f t="shared" si="69"/>
        <v>1.155E-2</v>
      </c>
      <c r="AS57" s="99">
        <f t="shared" si="70"/>
        <v>0.63442270179166671</v>
      </c>
      <c r="AT57" s="215">
        <f t="shared" si="71"/>
        <v>63.0653621075</v>
      </c>
      <c r="AU57" s="216">
        <f t="shared" si="72"/>
        <v>6.2535729664609685E-2</v>
      </c>
      <c r="AV57" s="97">
        <f t="shared" si="73"/>
        <v>6</v>
      </c>
      <c r="AW57" s="100">
        <f t="shared" si="44"/>
        <v>90.437409096343274</v>
      </c>
      <c r="AX57" s="32"/>
      <c r="AY57" s="99">
        <f t="shared" si="21"/>
        <v>60</v>
      </c>
      <c r="AZ57" s="97">
        <f t="shared" si="74"/>
        <v>0.1</v>
      </c>
      <c r="BA57" s="97">
        <f t="shared" si="23"/>
        <v>15</v>
      </c>
      <c r="BB57" s="100">
        <f t="shared" si="75"/>
        <v>0.5</v>
      </c>
      <c r="BC57" s="99">
        <f t="shared" si="76"/>
        <v>2</v>
      </c>
      <c r="BD57" s="97">
        <f t="shared" si="77"/>
        <v>0.75</v>
      </c>
      <c r="BE57" s="100">
        <f t="shared" si="78"/>
        <v>0.25</v>
      </c>
      <c r="BF57" s="99">
        <f t="shared" si="79"/>
        <v>0.45000000000000007</v>
      </c>
      <c r="BG57" s="97">
        <f t="shared" si="60"/>
        <v>0.72500000000000009</v>
      </c>
      <c r="BH57" s="97">
        <f t="shared" si="61"/>
        <v>0.51659945799429563</v>
      </c>
      <c r="BI57" s="97">
        <v>0</v>
      </c>
      <c r="BJ57" s="97">
        <f t="shared" si="80"/>
        <v>2.6687500000000005E-3</v>
      </c>
      <c r="BK57" s="100">
        <f t="shared" si="47"/>
        <v>2.6687500000000005E-3</v>
      </c>
      <c r="BL57" s="99">
        <f t="shared" si="59"/>
        <v>0.375</v>
      </c>
      <c r="BM57" s="97">
        <f t="shared" si="48"/>
        <v>0.44738825420433204</v>
      </c>
      <c r="BN57" s="97">
        <f t="shared" si="49"/>
        <v>1.2516917140682034E-2</v>
      </c>
      <c r="BO57" s="97">
        <f t="shared" si="88"/>
        <v>0.52500000000000002</v>
      </c>
      <c r="BP57" s="100">
        <f t="shared" si="51"/>
        <v>0.53751691714068206</v>
      </c>
      <c r="BQ57" s="99">
        <f t="shared" si="52"/>
        <v>0.125</v>
      </c>
      <c r="BR57" s="97">
        <f t="shared" si="81"/>
        <v>0.25829972899714781</v>
      </c>
      <c r="BS57" s="97">
        <f t="shared" si="82"/>
        <v>4.2000000000000003E-2</v>
      </c>
      <c r="BT57" s="97">
        <f t="shared" si="83"/>
        <v>0.75525000000000009</v>
      </c>
      <c r="BU57" s="100">
        <f t="shared" si="53"/>
        <v>0.79725000000000013</v>
      </c>
      <c r="BV57" s="99">
        <f t="shared" si="54"/>
        <v>0</v>
      </c>
      <c r="BW57" s="97">
        <f t="shared" si="84"/>
        <v>8.7499999999999994E-2</v>
      </c>
      <c r="BX57" s="100">
        <f t="shared" si="85"/>
        <v>1.155E-2</v>
      </c>
      <c r="BY57" s="99">
        <f t="shared" si="55"/>
        <v>1.436485667140682</v>
      </c>
      <c r="BZ57" s="97">
        <f t="shared" si="56"/>
        <v>6</v>
      </c>
      <c r="CA57" s="100">
        <f t="shared" si="57"/>
        <v>80.683272563974313</v>
      </c>
      <c r="CB57" s="51">
        <f t="shared" si="58"/>
        <v>0.63656691714068203</v>
      </c>
      <c r="CC57" s="32">
        <f t="shared" si="86"/>
        <v>47.279842099923869</v>
      </c>
    </row>
    <row r="58" spans="17:81" x14ac:dyDescent="0.3">
      <c r="Q58" s="32">
        <v>51</v>
      </c>
      <c r="S58" s="99">
        <f t="shared" si="0"/>
        <v>60</v>
      </c>
      <c r="T58" s="97">
        <f t="shared" si="36"/>
        <v>0.10200000000000001</v>
      </c>
      <c r="U58" s="97">
        <f t="shared" si="1"/>
        <v>15</v>
      </c>
      <c r="V58" s="100">
        <f t="shared" si="2"/>
        <v>0.51</v>
      </c>
      <c r="W58" s="99">
        <f t="shared" si="3"/>
        <v>2</v>
      </c>
      <c r="X58" s="97">
        <f t="shared" si="4"/>
        <v>0.75</v>
      </c>
      <c r="Y58" s="100">
        <f t="shared" si="62"/>
        <v>0.25</v>
      </c>
      <c r="Z58" s="99">
        <f t="shared" si="6"/>
        <v>0.45000000000000007</v>
      </c>
      <c r="AA58" s="97">
        <f t="shared" si="37"/>
        <v>0.7350000000000001</v>
      </c>
      <c r="AB58" s="97">
        <f t="shared" si="38"/>
        <v>0.52628414378546506</v>
      </c>
      <c r="AC58" s="97">
        <v>0</v>
      </c>
      <c r="AD58" s="97">
        <f t="shared" si="7"/>
        <v>2.7697500000000009E-3</v>
      </c>
      <c r="AE58" s="100">
        <f t="shared" si="39"/>
        <v>2.7697500000000009E-3</v>
      </c>
      <c r="AF58" s="99">
        <f t="shared" si="63"/>
        <v>0.38250000000000001</v>
      </c>
      <c r="AG58" s="97">
        <f t="shared" si="64"/>
        <v>0.45577543812715499</v>
      </c>
      <c r="AH58" s="97">
        <f t="shared" si="10"/>
        <v>1.0765261185000008E-2</v>
      </c>
      <c r="AI58" s="97">
        <f t="shared" si="87"/>
        <v>0.53549999999999998</v>
      </c>
      <c r="AJ58" s="100">
        <f t="shared" si="41"/>
        <v>0.54626526118499996</v>
      </c>
      <c r="AK58" s="99">
        <f t="shared" si="65"/>
        <v>0.1275</v>
      </c>
      <c r="AL58" s="97">
        <f t="shared" si="66"/>
        <v>0.26314207189273253</v>
      </c>
      <c r="AM58" s="97">
        <f t="shared" si="67"/>
        <v>4.2840000000000003E-2</v>
      </c>
      <c r="AN58" s="97">
        <f t="shared" si="68"/>
        <v>0.75525000000000009</v>
      </c>
      <c r="AO58" s="100">
        <f t="shared" si="42"/>
        <v>0.79809000000000008</v>
      </c>
      <c r="AP58" s="99">
        <f t="shared" si="43"/>
        <v>0</v>
      </c>
      <c r="AQ58" s="97">
        <f t="shared" si="15"/>
        <v>8.7499999999999994E-2</v>
      </c>
      <c r="AR58" s="100">
        <f t="shared" si="69"/>
        <v>1.155E-2</v>
      </c>
      <c r="AS58" s="99">
        <f t="shared" si="70"/>
        <v>0.64531526118499993</v>
      </c>
      <c r="AT58" s="215">
        <f t="shared" si="71"/>
        <v>63.718915671099992</v>
      </c>
      <c r="AU58" s="216">
        <f t="shared" si="72"/>
        <v>6.2695267608381192E-2</v>
      </c>
      <c r="AV58" s="97">
        <f t="shared" si="73"/>
        <v>6.12</v>
      </c>
      <c r="AW58" s="100">
        <f t="shared" si="44"/>
        <v>90.461416264111122</v>
      </c>
      <c r="AX58" s="32"/>
      <c r="AY58" s="99">
        <f t="shared" si="21"/>
        <v>60</v>
      </c>
      <c r="AZ58" s="97">
        <f t="shared" si="74"/>
        <v>0.10200000000000001</v>
      </c>
      <c r="BA58" s="97">
        <f t="shared" si="23"/>
        <v>15</v>
      </c>
      <c r="BB58" s="100">
        <f t="shared" si="75"/>
        <v>0.51</v>
      </c>
      <c r="BC58" s="99">
        <f t="shared" si="76"/>
        <v>2</v>
      </c>
      <c r="BD58" s="97">
        <f t="shared" si="77"/>
        <v>0.75</v>
      </c>
      <c r="BE58" s="100">
        <f t="shared" si="78"/>
        <v>0.25</v>
      </c>
      <c r="BF58" s="99">
        <f t="shared" si="79"/>
        <v>0.45000000000000007</v>
      </c>
      <c r="BG58" s="97">
        <f t="shared" si="60"/>
        <v>0.7350000000000001</v>
      </c>
      <c r="BH58" s="97">
        <f t="shared" si="61"/>
        <v>0.52628414378546506</v>
      </c>
      <c r="BI58" s="97">
        <v>0</v>
      </c>
      <c r="BJ58" s="97">
        <f t="shared" si="80"/>
        <v>2.7697500000000009E-3</v>
      </c>
      <c r="BK58" s="100">
        <f t="shared" si="47"/>
        <v>2.7697500000000009E-3</v>
      </c>
      <c r="BL58" s="99">
        <f t="shared" si="59"/>
        <v>0.38250000000000001</v>
      </c>
      <c r="BM58" s="97">
        <f t="shared" si="48"/>
        <v>0.45577543812715499</v>
      </c>
      <c r="BN58" s="97">
        <f t="shared" si="49"/>
        <v>1.3023766309373542E-2</v>
      </c>
      <c r="BO58" s="97">
        <f t="shared" si="88"/>
        <v>0.53549999999999998</v>
      </c>
      <c r="BP58" s="100">
        <f t="shared" si="51"/>
        <v>0.54852376630937349</v>
      </c>
      <c r="BQ58" s="99">
        <f t="shared" si="52"/>
        <v>0.1275</v>
      </c>
      <c r="BR58" s="97">
        <f t="shared" si="81"/>
        <v>0.26314207189273253</v>
      </c>
      <c r="BS58" s="97">
        <f t="shared" si="82"/>
        <v>4.2840000000000003E-2</v>
      </c>
      <c r="BT58" s="97">
        <f t="shared" si="83"/>
        <v>0.75525000000000009</v>
      </c>
      <c r="BU58" s="100">
        <f t="shared" si="53"/>
        <v>0.79809000000000008</v>
      </c>
      <c r="BV58" s="99">
        <f t="shared" si="54"/>
        <v>0</v>
      </c>
      <c r="BW58" s="97">
        <f t="shared" si="84"/>
        <v>8.7499999999999994E-2</v>
      </c>
      <c r="BX58" s="100">
        <f t="shared" si="85"/>
        <v>1.155E-2</v>
      </c>
      <c r="BY58" s="99">
        <f t="shared" si="55"/>
        <v>1.4484335163093733</v>
      </c>
      <c r="BZ58" s="97">
        <f t="shared" si="56"/>
        <v>6.12</v>
      </c>
      <c r="CA58" s="100">
        <f t="shared" si="57"/>
        <v>80.862175598317492</v>
      </c>
      <c r="CB58" s="51">
        <f t="shared" si="58"/>
        <v>0.64757376630937347</v>
      </c>
      <c r="CC58" s="32">
        <f t="shared" si="86"/>
        <v>47.665081820828071</v>
      </c>
    </row>
    <row r="59" spans="17:81" x14ac:dyDescent="0.3">
      <c r="Q59" s="32">
        <v>52</v>
      </c>
      <c r="S59" s="99">
        <f t="shared" si="0"/>
        <v>60</v>
      </c>
      <c r="T59" s="97">
        <f t="shared" si="36"/>
        <v>0.10400000000000001</v>
      </c>
      <c r="U59" s="97">
        <f t="shared" si="1"/>
        <v>15</v>
      </c>
      <c r="V59" s="100">
        <f t="shared" si="2"/>
        <v>0.52</v>
      </c>
      <c r="W59" s="99">
        <f t="shared" si="3"/>
        <v>2</v>
      </c>
      <c r="X59" s="97">
        <f t="shared" si="4"/>
        <v>0.75</v>
      </c>
      <c r="Y59" s="100">
        <f t="shared" si="62"/>
        <v>0.25</v>
      </c>
      <c r="Z59" s="99">
        <f t="shared" si="6"/>
        <v>0.45000000000000007</v>
      </c>
      <c r="AA59" s="97">
        <f t="shared" si="37"/>
        <v>0.74500000000000011</v>
      </c>
      <c r="AB59" s="97">
        <f t="shared" si="38"/>
        <v>0.53598041008977193</v>
      </c>
      <c r="AC59" s="97">
        <v>0</v>
      </c>
      <c r="AD59" s="97">
        <f t="shared" si="7"/>
        <v>2.8727500000000012E-3</v>
      </c>
      <c r="AE59" s="100">
        <f t="shared" si="39"/>
        <v>2.8727500000000012E-3</v>
      </c>
      <c r="AF59" s="99">
        <f t="shared" si="63"/>
        <v>0.39</v>
      </c>
      <c r="AG59" s="97">
        <f t="shared" si="64"/>
        <v>0.46417265106854377</v>
      </c>
      <c r="AH59" s="97">
        <f t="shared" si="10"/>
        <v>1.1165594031666675E-2</v>
      </c>
      <c r="AI59" s="97">
        <f t="shared" si="87"/>
        <v>0.54600000000000004</v>
      </c>
      <c r="AJ59" s="100">
        <f t="shared" si="41"/>
        <v>0.55716559403166677</v>
      </c>
      <c r="AK59" s="99">
        <f t="shared" si="65"/>
        <v>0.13</v>
      </c>
      <c r="AL59" s="97">
        <f t="shared" si="66"/>
        <v>0.26799020504488597</v>
      </c>
      <c r="AM59" s="97">
        <f t="shared" si="67"/>
        <v>4.3680000000000004E-2</v>
      </c>
      <c r="AN59" s="97">
        <f t="shared" si="68"/>
        <v>0.75525000000000009</v>
      </c>
      <c r="AO59" s="100">
        <f t="shared" si="42"/>
        <v>0.79893000000000014</v>
      </c>
      <c r="AP59" s="99">
        <f t="shared" si="43"/>
        <v>0</v>
      </c>
      <c r="AQ59" s="97">
        <f t="shared" si="15"/>
        <v>8.7499999999999994E-2</v>
      </c>
      <c r="AR59" s="100">
        <f t="shared" si="69"/>
        <v>1.155E-2</v>
      </c>
      <c r="AS59" s="99">
        <f t="shared" si="70"/>
        <v>0.65621559403166674</v>
      </c>
      <c r="AT59" s="215">
        <f t="shared" si="71"/>
        <v>64.3729356419</v>
      </c>
      <c r="AU59" s="216">
        <f t="shared" si="72"/>
        <v>6.2854919406088797E-2</v>
      </c>
      <c r="AV59" s="97">
        <f t="shared" si="73"/>
        <v>6.24</v>
      </c>
      <c r="AW59" s="100">
        <f t="shared" si="44"/>
        <v>90.484410107485786</v>
      </c>
      <c r="AX59" s="32"/>
      <c r="AY59" s="99">
        <f t="shared" si="21"/>
        <v>60</v>
      </c>
      <c r="AZ59" s="97">
        <f t="shared" si="74"/>
        <v>0.10400000000000001</v>
      </c>
      <c r="BA59" s="97">
        <f t="shared" si="23"/>
        <v>15</v>
      </c>
      <c r="BB59" s="100">
        <f t="shared" si="75"/>
        <v>0.52</v>
      </c>
      <c r="BC59" s="99">
        <f t="shared" si="76"/>
        <v>2</v>
      </c>
      <c r="BD59" s="97">
        <f t="shared" si="77"/>
        <v>0.75</v>
      </c>
      <c r="BE59" s="100">
        <f t="shared" si="78"/>
        <v>0.25</v>
      </c>
      <c r="BF59" s="99">
        <f t="shared" si="79"/>
        <v>0.45000000000000007</v>
      </c>
      <c r="BG59" s="97">
        <f t="shared" si="60"/>
        <v>0.74500000000000011</v>
      </c>
      <c r="BH59" s="97">
        <f t="shared" si="61"/>
        <v>0.53598041008977193</v>
      </c>
      <c r="BI59" s="97">
        <v>0</v>
      </c>
      <c r="BJ59" s="97">
        <f t="shared" si="80"/>
        <v>2.8727500000000012E-3</v>
      </c>
      <c r="BK59" s="100">
        <f t="shared" si="47"/>
        <v>2.8727500000000012E-3</v>
      </c>
      <c r="BL59" s="99">
        <f t="shared" si="59"/>
        <v>0.39</v>
      </c>
      <c r="BM59" s="97">
        <f t="shared" si="48"/>
        <v>0.46417265106854377</v>
      </c>
      <c r="BN59" s="97">
        <f t="shared" si="49"/>
        <v>1.3542485229288125E-2</v>
      </c>
      <c r="BO59" s="97">
        <f t="shared" si="88"/>
        <v>0.54600000000000004</v>
      </c>
      <c r="BP59" s="100">
        <f t="shared" si="51"/>
        <v>0.55954248522928818</v>
      </c>
      <c r="BQ59" s="99">
        <f t="shared" si="52"/>
        <v>0.13</v>
      </c>
      <c r="BR59" s="97">
        <f t="shared" si="81"/>
        <v>0.26799020504488597</v>
      </c>
      <c r="BS59" s="97">
        <f t="shared" si="82"/>
        <v>4.3680000000000004E-2</v>
      </c>
      <c r="BT59" s="97">
        <f t="shared" si="83"/>
        <v>0.75525000000000009</v>
      </c>
      <c r="BU59" s="100">
        <f t="shared" si="53"/>
        <v>0.79893000000000014</v>
      </c>
      <c r="BV59" s="99">
        <f t="shared" si="54"/>
        <v>0</v>
      </c>
      <c r="BW59" s="97">
        <f t="shared" si="84"/>
        <v>8.7499999999999994E-2</v>
      </c>
      <c r="BX59" s="100">
        <f t="shared" si="85"/>
        <v>1.155E-2</v>
      </c>
      <c r="BY59" s="99">
        <f t="shared" si="55"/>
        <v>1.4603952352292882</v>
      </c>
      <c r="BZ59" s="97">
        <f t="shared" si="56"/>
        <v>6.24</v>
      </c>
      <c r="CA59" s="100">
        <f t="shared" si="57"/>
        <v>81.034801583326725</v>
      </c>
      <c r="CB59" s="51">
        <f t="shared" si="58"/>
        <v>0.65859248522928815</v>
      </c>
      <c r="CC59" s="32">
        <f t="shared" si="86"/>
        <v>48.050736983025089</v>
      </c>
    </row>
    <row r="60" spans="17:81" x14ac:dyDescent="0.3">
      <c r="Q60" s="32">
        <v>53</v>
      </c>
      <c r="S60" s="99">
        <f t="shared" si="0"/>
        <v>60</v>
      </c>
      <c r="T60" s="97">
        <f t="shared" si="36"/>
        <v>0.106</v>
      </c>
      <c r="U60" s="97">
        <f t="shared" si="1"/>
        <v>15</v>
      </c>
      <c r="V60" s="100">
        <f t="shared" si="2"/>
        <v>0.52999999999999992</v>
      </c>
      <c r="W60" s="99">
        <f t="shared" si="3"/>
        <v>2</v>
      </c>
      <c r="X60" s="97">
        <f t="shared" si="4"/>
        <v>0.75</v>
      </c>
      <c r="Y60" s="100">
        <f t="shared" si="62"/>
        <v>0.25</v>
      </c>
      <c r="Z60" s="99">
        <f t="shared" si="6"/>
        <v>0.45000000000000007</v>
      </c>
      <c r="AA60" s="97">
        <f t="shared" si="37"/>
        <v>0.75499999999999989</v>
      </c>
      <c r="AB60" s="97">
        <f t="shared" si="38"/>
        <v>0.54568763958880351</v>
      </c>
      <c r="AC60" s="97">
        <v>0</v>
      </c>
      <c r="AD60" s="97">
        <f t="shared" si="7"/>
        <v>2.9777499999999991E-3</v>
      </c>
      <c r="AE60" s="100">
        <f t="shared" si="39"/>
        <v>2.9777499999999991E-3</v>
      </c>
      <c r="AF60" s="99">
        <f t="shared" si="63"/>
        <v>0.39749999999999996</v>
      </c>
      <c r="AG60" s="97">
        <f t="shared" si="64"/>
        <v>0.47257935841507076</v>
      </c>
      <c r="AH60" s="97">
        <f t="shared" si="10"/>
        <v>1.1573700331666664E-2</v>
      </c>
      <c r="AI60" s="97">
        <f t="shared" si="87"/>
        <v>0.55649999999999988</v>
      </c>
      <c r="AJ60" s="100">
        <f t="shared" si="41"/>
        <v>0.5680737003316666</v>
      </c>
      <c r="AK60" s="99">
        <f t="shared" si="65"/>
        <v>0.13249999999999998</v>
      </c>
      <c r="AL60" s="97">
        <f t="shared" si="66"/>
        <v>0.27284381979440175</v>
      </c>
      <c r="AM60" s="97">
        <f t="shared" si="67"/>
        <v>4.4519999999999997E-2</v>
      </c>
      <c r="AN60" s="97">
        <f t="shared" si="68"/>
        <v>0.75525000000000009</v>
      </c>
      <c r="AO60" s="100">
        <f t="shared" si="42"/>
        <v>0.79977000000000009</v>
      </c>
      <c r="AP60" s="99">
        <f t="shared" si="43"/>
        <v>0</v>
      </c>
      <c r="AQ60" s="97">
        <f t="shared" si="15"/>
        <v>8.7499999999999994E-2</v>
      </c>
      <c r="AR60" s="100">
        <f t="shared" si="69"/>
        <v>1.155E-2</v>
      </c>
      <c r="AS60" s="99">
        <f t="shared" si="70"/>
        <v>0.66712370033166657</v>
      </c>
      <c r="AT60" s="215">
        <f t="shared" si="71"/>
        <v>65.027422019900001</v>
      </c>
      <c r="AU60" s="216">
        <f t="shared" si="72"/>
        <v>6.3014685057732445E-2</v>
      </c>
      <c r="AV60" s="97">
        <f t="shared" si="73"/>
        <v>6.3599999999999994</v>
      </c>
      <c r="AW60" s="100">
        <f t="shared" si="44"/>
        <v>90.506447178378551</v>
      </c>
      <c r="AX60" s="32"/>
      <c r="AY60" s="99">
        <f t="shared" si="21"/>
        <v>60</v>
      </c>
      <c r="AZ60" s="97">
        <f t="shared" si="74"/>
        <v>0.106</v>
      </c>
      <c r="BA60" s="97">
        <f t="shared" si="23"/>
        <v>15</v>
      </c>
      <c r="BB60" s="100">
        <f t="shared" si="75"/>
        <v>0.52999999999999992</v>
      </c>
      <c r="BC60" s="99">
        <f t="shared" si="76"/>
        <v>2</v>
      </c>
      <c r="BD60" s="97">
        <f t="shared" si="77"/>
        <v>0.75</v>
      </c>
      <c r="BE60" s="100">
        <f t="shared" si="78"/>
        <v>0.25</v>
      </c>
      <c r="BF60" s="99">
        <f t="shared" si="79"/>
        <v>0.45000000000000007</v>
      </c>
      <c r="BG60" s="97">
        <f t="shared" si="60"/>
        <v>0.75499999999999989</v>
      </c>
      <c r="BH60" s="97">
        <f t="shared" si="61"/>
        <v>0.54568763958880351</v>
      </c>
      <c r="BI60" s="97">
        <v>0</v>
      </c>
      <c r="BJ60" s="97">
        <f t="shared" si="80"/>
        <v>2.9777499999999991E-3</v>
      </c>
      <c r="BK60" s="100">
        <f t="shared" si="47"/>
        <v>2.9777499999999991E-3</v>
      </c>
      <c r="BL60" s="99">
        <f t="shared" si="59"/>
        <v>0.39749999999999996</v>
      </c>
      <c r="BM60" s="97">
        <f t="shared" si="48"/>
        <v>0.47257935841507076</v>
      </c>
      <c r="BN60" s="97">
        <f t="shared" si="49"/>
        <v>1.4073148382299703E-2</v>
      </c>
      <c r="BO60" s="97">
        <f t="shared" si="88"/>
        <v>0.55649999999999988</v>
      </c>
      <c r="BP60" s="100">
        <f t="shared" si="51"/>
        <v>0.57057314838229956</v>
      </c>
      <c r="BQ60" s="99">
        <f t="shared" si="52"/>
        <v>0.13249999999999998</v>
      </c>
      <c r="BR60" s="97">
        <f t="shared" si="81"/>
        <v>0.27284381979440175</v>
      </c>
      <c r="BS60" s="97">
        <f t="shared" si="82"/>
        <v>4.4519999999999997E-2</v>
      </c>
      <c r="BT60" s="97">
        <f t="shared" si="83"/>
        <v>0.75525000000000009</v>
      </c>
      <c r="BU60" s="100">
        <f t="shared" si="53"/>
        <v>0.79977000000000009</v>
      </c>
      <c r="BV60" s="99">
        <f t="shared" si="54"/>
        <v>0</v>
      </c>
      <c r="BW60" s="97">
        <f t="shared" si="84"/>
        <v>8.7499999999999994E-2</v>
      </c>
      <c r="BX60" s="100">
        <f t="shared" si="85"/>
        <v>1.155E-2</v>
      </c>
      <c r="BY60" s="99">
        <f t="shared" si="55"/>
        <v>1.4723708983822994</v>
      </c>
      <c r="BZ60" s="97">
        <f t="shared" si="56"/>
        <v>6.3599999999999994</v>
      </c>
      <c r="CA60" s="100">
        <f t="shared" si="57"/>
        <v>81.201466101581019</v>
      </c>
      <c r="CB60" s="51">
        <f t="shared" si="58"/>
        <v>0.66962314838229953</v>
      </c>
      <c r="CC60" s="32">
        <f t="shared" si="86"/>
        <v>48.436810193380481</v>
      </c>
    </row>
    <row r="61" spans="17:81" x14ac:dyDescent="0.3">
      <c r="Q61" s="32">
        <v>54</v>
      </c>
      <c r="S61" s="99">
        <f t="shared" si="0"/>
        <v>60</v>
      </c>
      <c r="T61" s="97">
        <f t="shared" si="36"/>
        <v>0.108</v>
      </c>
      <c r="U61" s="97">
        <f t="shared" si="1"/>
        <v>15</v>
      </c>
      <c r="V61" s="100">
        <f t="shared" si="2"/>
        <v>0.53999999999999992</v>
      </c>
      <c r="W61" s="99">
        <f t="shared" si="3"/>
        <v>2</v>
      </c>
      <c r="X61" s="97">
        <f t="shared" si="4"/>
        <v>0.75</v>
      </c>
      <c r="Y61" s="100">
        <f t="shared" si="62"/>
        <v>0.25</v>
      </c>
      <c r="Z61" s="99">
        <f t="shared" si="6"/>
        <v>0.45000000000000007</v>
      </c>
      <c r="AA61" s="97">
        <f t="shared" si="37"/>
        <v>0.7649999999999999</v>
      </c>
      <c r="AB61" s="97">
        <f t="shared" si="38"/>
        <v>0.55540525744720848</v>
      </c>
      <c r="AC61" s="97">
        <v>0</v>
      </c>
      <c r="AD61" s="97">
        <f t="shared" si="7"/>
        <v>3.0847499999999994E-3</v>
      </c>
      <c r="AE61" s="100">
        <f t="shared" si="39"/>
        <v>3.0847499999999994E-3</v>
      </c>
      <c r="AF61" s="99">
        <f t="shared" si="63"/>
        <v>0.40499999999999992</v>
      </c>
      <c r="AG61" s="97">
        <f t="shared" si="64"/>
        <v>0.48099506234471878</v>
      </c>
      <c r="AH61" s="97">
        <f t="shared" si="10"/>
        <v>1.1989580084999998E-2</v>
      </c>
      <c r="AI61" s="97">
        <f t="shared" si="87"/>
        <v>0.56699999999999995</v>
      </c>
      <c r="AJ61" s="100">
        <f t="shared" si="41"/>
        <v>0.5789895800849999</v>
      </c>
      <c r="AK61" s="99">
        <f t="shared" si="65"/>
        <v>0.13499999999999998</v>
      </c>
      <c r="AL61" s="97">
        <f t="shared" si="66"/>
        <v>0.27770262872360424</v>
      </c>
      <c r="AM61" s="97">
        <f t="shared" si="67"/>
        <v>4.5359999999999998E-2</v>
      </c>
      <c r="AN61" s="97">
        <f t="shared" si="68"/>
        <v>0.75525000000000009</v>
      </c>
      <c r="AO61" s="100">
        <f t="shared" si="42"/>
        <v>0.80061000000000004</v>
      </c>
      <c r="AP61" s="99">
        <f t="shared" si="43"/>
        <v>0</v>
      </c>
      <c r="AQ61" s="97">
        <f t="shared" si="15"/>
        <v>8.7499999999999994E-2</v>
      </c>
      <c r="AR61" s="100">
        <f t="shared" si="69"/>
        <v>1.155E-2</v>
      </c>
      <c r="AS61" s="99">
        <f t="shared" si="70"/>
        <v>0.67803958008499987</v>
      </c>
      <c r="AT61" s="215">
        <f t="shared" si="71"/>
        <v>65.682374805099982</v>
      </c>
      <c r="AU61" s="216">
        <f t="shared" si="72"/>
        <v>6.3174564563312163E-2</v>
      </c>
      <c r="AV61" s="97">
        <f t="shared" si="73"/>
        <v>6.4799999999999995</v>
      </c>
      <c r="AW61" s="100">
        <f t="shared" si="44"/>
        <v>90.527579898113004</v>
      </c>
      <c r="AX61" s="32"/>
      <c r="AY61" s="99">
        <f t="shared" si="21"/>
        <v>60</v>
      </c>
      <c r="AZ61" s="97">
        <f t="shared" si="74"/>
        <v>0.108</v>
      </c>
      <c r="BA61" s="97">
        <f t="shared" si="23"/>
        <v>15</v>
      </c>
      <c r="BB61" s="100">
        <f t="shared" si="75"/>
        <v>0.53999999999999992</v>
      </c>
      <c r="BC61" s="99">
        <f t="shared" si="76"/>
        <v>2</v>
      </c>
      <c r="BD61" s="97">
        <f t="shared" si="77"/>
        <v>0.75</v>
      </c>
      <c r="BE61" s="100">
        <f t="shared" si="78"/>
        <v>0.25</v>
      </c>
      <c r="BF61" s="99">
        <f t="shared" si="79"/>
        <v>0.45000000000000007</v>
      </c>
      <c r="BG61" s="97">
        <f t="shared" si="60"/>
        <v>0.7649999999999999</v>
      </c>
      <c r="BH61" s="97">
        <f t="shared" si="61"/>
        <v>0.55540525744720848</v>
      </c>
      <c r="BI61" s="97">
        <v>0</v>
      </c>
      <c r="BJ61" s="97">
        <f t="shared" si="80"/>
        <v>3.0847499999999994E-3</v>
      </c>
      <c r="BK61" s="100">
        <f t="shared" si="47"/>
        <v>3.0847499999999994E-3</v>
      </c>
      <c r="BL61" s="99">
        <f t="shared" si="59"/>
        <v>0.40499999999999992</v>
      </c>
      <c r="BM61" s="97">
        <f t="shared" si="48"/>
        <v>0.48099506234471878</v>
      </c>
      <c r="BN61" s="97">
        <f t="shared" si="49"/>
        <v>1.4615830352750783E-2</v>
      </c>
      <c r="BO61" s="97">
        <f t="shared" si="88"/>
        <v>0.56699999999999995</v>
      </c>
      <c r="BP61" s="100">
        <f t="shared" si="51"/>
        <v>0.58161583035275077</v>
      </c>
      <c r="BQ61" s="99">
        <f t="shared" si="52"/>
        <v>0.13499999999999998</v>
      </c>
      <c r="BR61" s="97">
        <f t="shared" si="81"/>
        <v>0.27770262872360424</v>
      </c>
      <c r="BS61" s="97">
        <f t="shared" si="82"/>
        <v>4.5359999999999998E-2</v>
      </c>
      <c r="BT61" s="97">
        <f t="shared" si="83"/>
        <v>0.75525000000000009</v>
      </c>
      <c r="BU61" s="100">
        <f t="shared" si="53"/>
        <v>0.80061000000000004</v>
      </c>
      <c r="BV61" s="99">
        <f t="shared" si="54"/>
        <v>0</v>
      </c>
      <c r="BW61" s="97">
        <f t="shared" si="84"/>
        <v>8.7499999999999994E-2</v>
      </c>
      <c r="BX61" s="100">
        <f t="shared" si="85"/>
        <v>1.155E-2</v>
      </c>
      <c r="BY61" s="99">
        <f t="shared" si="55"/>
        <v>1.4843605803527506</v>
      </c>
      <c r="BZ61" s="97">
        <f t="shared" si="56"/>
        <v>6.4799999999999995</v>
      </c>
      <c r="CA61" s="100">
        <f t="shared" si="57"/>
        <v>81.36246387419331</v>
      </c>
      <c r="CB61" s="51">
        <f t="shared" si="58"/>
        <v>0.68066583035275074</v>
      </c>
      <c r="CC61" s="32">
        <f t="shared" si="86"/>
        <v>48.823304062346281</v>
      </c>
    </row>
    <row r="62" spans="17:81" x14ac:dyDescent="0.3">
      <c r="Q62" s="32">
        <v>55</v>
      </c>
      <c r="S62" s="99">
        <f t="shared" si="0"/>
        <v>60</v>
      </c>
      <c r="T62" s="97">
        <f t="shared" si="36"/>
        <v>0.11</v>
      </c>
      <c r="U62" s="97">
        <f t="shared" si="1"/>
        <v>15</v>
      </c>
      <c r="V62" s="100">
        <f t="shared" si="2"/>
        <v>0.54999999999999993</v>
      </c>
      <c r="W62" s="99">
        <f t="shared" si="3"/>
        <v>2</v>
      </c>
      <c r="X62" s="97">
        <f t="shared" si="4"/>
        <v>0.75</v>
      </c>
      <c r="Y62" s="100">
        <f t="shared" si="62"/>
        <v>0.25</v>
      </c>
      <c r="Z62" s="99">
        <f t="shared" si="6"/>
        <v>0.45000000000000007</v>
      </c>
      <c r="AA62" s="97">
        <f t="shared" si="37"/>
        <v>0.77499999999999991</v>
      </c>
      <c r="AB62" s="97">
        <f t="shared" si="38"/>
        <v>0.56513272777286572</v>
      </c>
      <c r="AC62" s="97">
        <v>0</v>
      </c>
      <c r="AD62" s="97">
        <f t="shared" si="7"/>
        <v>3.1937499999999995E-3</v>
      </c>
      <c r="AE62" s="100">
        <f t="shared" si="39"/>
        <v>3.1937499999999995E-3</v>
      </c>
      <c r="AF62" s="99">
        <f t="shared" si="63"/>
        <v>0.41249999999999998</v>
      </c>
      <c r="AG62" s="97">
        <f t="shared" si="64"/>
        <v>0.48941929876129719</v>
      </c>
      <c r="AH62" s="97">
        <f t="shared" si="10"/>
        <v>1.2413233291666664E-2</v>
      </c>
      <c r="AI62" s="97">
        <f t="shared" si="87"/>
        <v>0.5774999999999999</v>
      </c>
      <c r="AJ62" s="100">
        <f t="shared" si="41"/>
        <v>0.58991323329166656</v>
      </c>
      <c r="AK62" s="99">
        <f t="shared" si="65"/>
        <v>0.13749999999999998</v>
      </c>
      <c r="AL62" s="97">
        <f t="shared" si="66"/>
        <v>0.2825663638864328</v>
      </c>
      <c r="AM62" s="97">
        <f t="shared" si="67"/>
        <v>4.6199999999999998E-2</v>
      </c>
      <c r="AN62" s="97">
        <f t="shared" si="68"/>
        <v>0.75525000000000009</v>
      </c>
      <c r="AO62" s="100">
        <f t="shared" si="42"/>
        <v>0.80145000000000011</v>
      </c>
      <c r="AP62" s="99">
        <f t="shared" si="43"/>
        <v>0</v>
      </c>
      <c r="AQ62" s="97">
        <f t="shared" si="15"/>
        <v>8.7499999999999994E-2</v>
      </c>
      <c r="AR62" s="100">
        <f t="shared" si="69"/>
        <v>1.155E-2</v>
      </c>
      <c r="AS62" s="99">
        <f t="shared" si="70"/>
        <v>0.68896323329166653</v>
      </c>
      <c r="AT62" s="215">
        <f t="shared" si="71"/>
        <v>66.3377939975</v>
      </c>
      <c r="AU62" s="216">
        <f t="shared" si="72"/>
        <v>6.333455792282798E-2</v>
      </c>
      <c r="AV62" s="97">
        <f t="shared" si="73"/>
        <v>6.6</v>
      </c>
      <c r="AW62" s="100">
        <f t="shared" si="44"/>
        <v>90.54785692778789</v>
      </c>
      <c r="AX62" s="32"/>
      <c r="AY62" s="99">
        <f t="shared" si="21"/>
        <v>60</v>
      </c>
      <c r="AZ62" s="97">
        <f t="shared" si="74"/>
        <v>0.11</v>
      </c>
      <c r="BA62" s="97">
        <f t="shared" si="23"/>
        <v>15</v>
      </c>
      <c r="BB62" s="100">
        <f t="shared" si="75"/>
        <v>0.54999999999999993</v>
      </c>
      <c r="BC62" s="99">
        <f t="shared" si="76"/>
        <v>2</v>
      </c>
      <c r="BD62" s="97">
        <f t="shared" si="77"/>
        <v>0.75</v>
      </c>
      <c r="BE62" s="100">
        <f t="shared" si="78"/>
        <v>0.25</v>
      </c>
      <c r="BF62" s="99">
        <f t="shared" si="79"/>
        <v>0.45000000000000007</v>
      </c>
      <c r="BG62" s="97">
        <f t="shared" si="60"/>
        <v>0.77499999999999991</v>
      </c>
      <c r="BH62" s="97">
        <f t="shared" si="61"/>
        <v>0.56513272777286572</v>
      </c>
      <c r="BI62" s="97">
        <v>0</v>
      </c>
      <c r="BJ62" s="97">
        <f t="shared" si="80"/>
        <v>3.1937499999999995E-3</v>
      </c>
      <c r="BK62" s="100">
        <f t="shared" si="47"/>
        <v>3.1937499999999995E-3</v>
      </c>
      <c r="BL62" s="99">
        <f t="shared" si="59"/>
        <v>0.41249999999999998</v>
      </c>
      <c r="BM62" s="97">
        <f t="shared" si="48"/>
        <v>0.48941929876129719</v>
      </c>
      <c r="BN62" s="97">
        <f t="shared" si="49"/>
        <v>1.5170605827452383E-2</v>
      </c>
      <c r="BO62" s="97">
        <f t="shared" si="88"/>
        <v>0.5774999999999999</v>
      </c>
      <c r="BP62" s="100">
        <f t="shared" si="51"/>
        <v>0.59267060582745223</v>
      </c>
      <c r="BQ62" s="99">
        <f t="shared" si="52"/>
        <v>0.13749999999999998</v>
      </c>
      <c r="BR62" s="97">
        <f t="shared" si="81"/>
        <v>0.2825663638864328</v>
      </c>
      <c r="BS62" s="97">
        <f t="shared" si="82"/>
        <v>4.6199999999999998E-2</v>
      </c>
      <c r="BT62" s="97">
        <f t="shared" si="83"/>
        <v>0.75525000000000009</v>
      </c>
      <c r="BU62" s="100">
        <f t="shared" si="53"/>
        <v>0.80145000000000011</v>
      </c>
      <c r="BV62" s="99">
        <f t="shared" si="54"/>
        <v>0</v>
      </c>
      <c r="BW62" s="97">
        <f t="shared" si="84"/>
        <v>8.7499999999999994E-2</v>
      </c>
      <c r="BX62" s="100">
        <f t="shared" si="85"/>
        <v>1.155E-2</v>
      </c>
      <c r="BY62" s="99">
        <f t="shared" si="55"/>
        <v>1.4963643558274522</v>
      </c>
      <c r="BZ62" s="97">
        <f t="shared" si="56"/>
        <v>6.6</v>
      </c>
      <c r="CA62" s="100">
        <f t="shared" si="57"/>
        <v>81.518070456520064</v>
      </c>
      <c r="CB62" s="51">
        <f t="shared" si="58"/>
        <v>0.69172060582745221</v>
      </c>
      <c r="CC62" s="32">
        <f t="shared" si="86"/>
        <v>49.210221203960828</v>
      </c>
    </row>
    <row r="63" spans="17:81" x14ac:dyDescent="0.3">
      <c r="Q63" s="32">
        <v>56</v>
      </c>
      <c r="S63" s="99">
        <f t="shared" si="0"/>
        <v>60</v>
      </c>
      <c r="T63" s="97">
        <f t="shared" si="36"/>
        <v>0.112</v>
      </c>
      <c r="U63" s="97">
        <f t="shared" si="1"/>
        <v>15</v>
      </c>
      <c r="V63" s="100">
        <f t="shared" si="2"/>
        <v>0.55999999999999994</v>
      </c>
      <c r="W63" s="99">
        <f t="shared" si="3"/>
        <v>2</v>
      </c>
      <c r="X63" s="97">
        <f t="shared" si="4"/>
        <v>0.75</v>
      </c>
      <c r="Y63" s="100">
        <f t="shared" si="62"/>
        <v>0.25</v>
      </c>
      <c r="Z63" s="99">
        <f t="shared" si="6"/>
        <v>0.45000000000000007</v>
      </c>
      <c r="AA63" s="97">
        <f t="shared" si="37"/>
        <v>0.78499999999999992</v>
      </c>
      <c r="AB63" s="97">
        <f t="shared" si="38"/>
        <v>0.57486955041991916</v>
      </c>
      <c r="AC63" s="97">
        <v>0</v>
      </c>
      <c r="AD63" s="97">
        <f t="shared" si="7"/>
        <v>3.3047499999999995E-3</v>
      </c>
      <c r="AE63" s="100">
        <f t="shared" si="39"/>
        <v>3.3047499999999995E-3</v>
      </c>
      <c r="AF63" s="99">
        <f t="shared" si="63"/>
        <v>0.41999999999999993</v>
      </c>
      <c r="AG63" s="97">
        <f t="shared" si="64"/>
        <v>0.49785163452578918</v>
      </c>
      <c r="AH63" s="97">
        <f t="shared" si="10"/>
        <v>1.2844659951666667E-2</v>
      </c>
      <c r="AI63" s="97">
        <f t="shared" si="87"/>
        <v>0.58799999999999986</v>
      </c>
      <c r="AJ63" s="100">
        <f t="shared" si="41"/>
        <v>0.60084465995166647</v>
      </c>
      <c r="AK63" s="99">
        <f t="shared" si="65"/>
        <v>0.13999999999999999</v>
      </c>
      <c r="AL63" s="97">
        <f t="shared" si="66"/>
        <v>0.28743477520995953</v>
      </c>
      <c r="AM63" s="97">
        <f t="shared" si="67"/>
        <v>4.7039999999999998E-2</v>
      </c>
      <c r="AN63" s="97">
        <f t="shared" si="68"/>
        <v>0.75525000000000009</v>
      </c>
      <c r="AO63" s="100">
        <f t="shared" si="42"/>
        <v>0.80229000000000006</v>
      </c>
      <c r="AP63" s="99">
        <f t="shared" si="43"/>
        <v>0</v>
      </c>
      <c r="AQ63" s="97">
        <f t="shared" si="15"/>
        <v>8.7499999999999994E-2</v>
      </c>
      <c r="AR63" s="100">
        <f t="shared" si="69"/>
        <v>1.155E-2</v>
      </c>
      <c r="AS63" s="99">
        <f t="shared" si="70"/>
        <v>0.69989465995166644</v>
      </c>
      <c r="AT63" s="215">
        <f t="shared" si="71"/>
        <v>66.993679597099984</v>
      </c>
      <c r="AU63" s="216">
        <f t="shared" si="72"/>
        <v>6.349466513627984E-2</v>
      </c>
      <c r="AV63" s="97">
        <f t="shared" si="73"/>
        <v>6.72</v>
      </c>
      <c r="AW63" s="100">
        <f t="shared" si="44"/>
        <v>90.567323499492574</v>
      </c>
      <c r="AX63" s="32"/>
      <c r="AY63" s="99">
        <f t="shared" si="21"/>
        <v>60</v>
      </c>
      <c r="AZ63" s="97">
        <f t="shared" si="74"/>
        <v>0.112</v>
      </c>
      <c r="BA63" s="97">
        <f t="shared" si="23"/>
        <v>15</v>
      </c>
      <c r="BB63" s="100">
        <f t="shared" si="75"/>
        <v>0.55999999999999994</v>
      </c>
      <c r="BC63" s="99">
        <f t="shared" si="76"/>
        <v>2</v>
      </c>
      <c r="BD63" s="97">
        <f t="shared" si="77"/>
        <v>0.75</v>
      </c>
      <c r="BE63" s="100">
        <f t="shared" si="78"/>
        <v>0.25</v>
      </c>
      <c r="BF63" s="99">
        <f t="shared" si="79"/>
        <v>0.45000000000000007</v>
      </c>
      <c r="BG63" s="97">
        <f t="shared" si="60"/>
        <v>0.78499999999999992</v>
      </c>
      <c r="BH63" s="97">
        <f t="shared" si="61"/>
        <v>0.57486955041991916</v>
      </c>
      <c r="BI63" s="97">
        <v>0</v>
      </c>
      <c r="BJ63" s="97">
        <f t="shared" si="80"/>
        <v>3.3047499999999995E-3</v>
      </c>
      <c r="BK63" s="100">
        <f t="shared" si="47"/>
        <v>3.3047499999999995E-3</v>
      </c>
      <c r="BL63" s="99">
        <f t="shared" si="59"/>
        <v>0.41999999999999993</v>
      </c>
      <c r="BM63" s="97">
        <f t="shared" si="48"/>
        <v>0.49785163452578918</v>
      </c>
      <c r="BN63" s="97">
        <f t="shared" si="49"/>
        <v>1.5737549595684058E-2</v>
      </c>
      <c r="BO63" s="97">
        <f t="shared" si="88"/>
        <v>0.58799999999999986</v>
      </c>
      <c r="BP63" s="100">
        <f t="shared" si="51"/>
        <v>0.60373754959568393</v>
      </c>
      <c r="BQ63" s="99">
        <f t="shared" si="52"/>
        <v>0.13999999999999999</v>
      </c>
      <c r="BR63" s="97">
        <f t="shared" si="81"/>
        <v>0.28743477520995953</v>
      </c>
      <c r="BS63" s="97">
        <f t="shared" si="82"/>
        <v>4.7039999999999998E-2</v>
      </c>
      <c r="BT63" s="97">
        <f t="shared" si="83"/>
        <v>0.75525000000000009</v>
      </c>
      <c r="BU63" s="100">
        <f t="shared" si="53"/>
        <v>0.80229000000000006</v>
      </c>
      <c r="BV63" s="99">
        <f t="shared" si="54"/>
        <v>0</v>
      </c>
      <c r="BW63" s="97">
        <f t="shared" si="84"/>
        <v>8.7499999999999994E-2</v>
      </c>
      <c r="BX63" s="100">
        <f t="shared" si="85"/>
        <v>1.155E-2</v>
      </c>
      <c r="BY63" s="99">
        <f t="shared" si="55"/>
        <v>1.5083822995956839</v>
      </c>
      <c r="BZ63" s="97">
        <f t="shared" si="56"/>
        <v>6.72</v>
      </c>
      <c r="CA63" s="100">
        <f t="shared" si="57"/>
        <v>81.668543771115239</v>
      </c>
      <c r="CB63" s="51">
        <f t="shared" si="58"/>
        <v>0.7027875495956839</v>
      </c>
      <c r="CC63" s="32">
        <f t="shared" si="86"/>
        <v>49.597564235848935</v>
      </c>
    </row>
    <row r="64" spans="17:81" x14ac:dyDescent="0.3">
      <c r="Q64" s="32">
        <v>57</v>
      </c>
      <c r="S64" s="99">
        <f t="shared" si="0"/>
        <v>60</v>
      </c>
      <c r="T64" s="97">
        <f t="shared" si="36"/>
        <v>0.114</v>
      </c>
      <c r="U64" s="97">
        <f t="shared" si="1"/>
        <v>15</v>
      </c>
      <c r="V64" s="100">
        <f t="shared" si="2"/>
        <v>0.56999999999999995</v>
      </c>
      <c r="W64" s="99">
        <f t="shared" si="3"/>
        <v>2</v>
      </c>
      <c r="X64" s="97">
        <f t="shared" si="4"/>
        <v>0.75</v>
      </c>
      <c r="Y64" s="100">
        <f t="shared" si="62"/>
        <v>0.25</v>
      </c>
      <c r="Z64" s="99">
        <f t="shared" si="6"/>
        <v>0.45000000000000007</v>
      </c>
      <c r="AA64" s="97">
        <f t="shared" si="37"/>
        <v>0.79499999999999993</v>
      </c>
      <c r="AB64" s="97">
        <f t="shared" si="38"/>
        <v>0.58461525809715231</v>
      </c>
      <c r="AC64" s="97">
        <v>0</v>
      </c>
      <c r="AD64" s="97">
        <f t="shared" si="7"/>
        <v>3.4177500000000002E-3</v>
      </c>
      <c r="AE64" s="100">
        <f t="shared" si="39"/>
        <v>3.4177500000000002E-3</v>
      </c>
      <c r="AF64" s="99">
        <f t="shared" si="63"/>
        <v>0.42749999999999999</v>
      </c>
      <c r="AG64" s="97">
        <f t="shared" si="64"/>
        <v>0.50629166495213007</v>
      </c>
      <c r="AH64" s="97">
        <f t="shared" si="10"/>
        <v>1.3283860065000002E-2</v>
      </c>
      <c r="AI64" s="97">
        <f t="shared" si="87"/>
        <v>0.59849999999999992</v>
      </c>
      <c r="AJ64" s="100">
        <f t="shared" si="41"/>
        <v>0.61178386006499996</v>
      </c>
      <c r="AK64" s="99">
        <f t="shared" si="65"/>
        <v>0.14249999999999999</v>
      </c>
      <c r="AL64" s="97">
        <f t="shared" si="66"/>
        <v>0.2923076290485761</v>
      </c>
      <c r="AM64" s="97">
        <f t="shared" si="67"/>
        <v>4.7879999999999999E-2</v>
      </c>
      <c r="AN64" s="97">
        <f t="shared" si="68"/>
        <v>0.75525000000000009</v>
      </c>
      <c r="AO64" s="100">
        <f t="shared" si="42"/>
        <v>0.80313000000000012</v>
      </c>
      <c r="AP64" s="99">
        <f t="shared" si="43"/>
        <v>0</v>
      </c>
      <c r="AQ64" s="97">
        <f t="shared" si="15"/>
        <v>8.7499999999999994E-2</v>
      </c>
      <c r="AR64" s="100">
        <f t="shared" si="69"/>
        <v>1.155E-2</v>
      </c>
      <c r="AS64" s="99">
        <f t="shared" si="70"/>
        <v>0.71083386006499993</v>
      </c>
      <c r="AT64" s="215">
        <f t="shared" si="71"/>
        <v>67.650031603900004</v>
      </c>
      <c r="AU64" s="216">
        <f t="shared" si="72"/>
        <v>6.3654886203667785E-2</v>
      </c>
      <c r="AV64" s="97">
        <f t="shared" si="73"/>
        <v>6.84</v>
      </c>
      <c r="AW64" s="100">
        <f t="shared" si="44"/>
        <v>90.586021713118697</v>
      </c>
      <c r="AX64" s="32"/>
      <c r="AY64" s="99">
        <f t="shared" si="21"/>
        <v>60</v>
      </c>
      <c r="AZ64" s="97">
        <f t="shared" si="74"/>
        <v>0.114</v>
      </c>
      <c r="BA64" s="97">
        <f t="shared" si="23"/>
        <v>15</v>
      </c>
      <c r="BB64" s="100">
        <f t="shared" si="75"/>
        <v>0.56999999999999995</v>
      </c>
      <c r="BC64" s="99">
        <f t="shared" si="76"/>
        <v>2</v>
      </c>
      <c r="BD64" s="97">
        <f t="shared" si="77"/>
        <v>0.75</v>
      </c>
      <c r="BE64" s="100">
        <f t="shared" si="78"/>
        <v>0.25</v>
      </c>
      <c r="BF64" s="99">
        <f t="shared" si="79"/>
        <v>0.45000000000000007</v>
      </c>
      <c r="BG64" s="97">
        <f t="shared" si="60"/>
        <v>0.79499999999999993</v>
      </c>
      <c r="BH64" s="97">
        <f t="shared" si="61"/>
        <v>0.58461525809715231</v>
      </c>
      <c r="BI64" s="97">
        <v>0</v>
      </c>
      <c r="BJ64" s="97">
        <f t="shared" si="80"/>
        <v>3.4177500000000002E-3</v>
      </c>
      <c r="BK64" s="100">
        <f t="shared" si="47"/>
        <v>3.4177500000000002E-3</v>
      </c>
      <c r="BL64" s="99">
        <f t="shared" si="59"/>
        <v>0.42749999999999999</v>
      </c>
      <c r="BM64" s="97">
        <f t="shared" si="48"/>
        <v>0.50629166495213007</v>
      </c>
      <c r="BN64" s="97">
        <f t="shared" si="49"/>
        <v>1.6316736549193914E-2</v>
      </c>
      <c r="BO64" s="97">
        <f t="shared" si="88"/>
        <v>0.59849999999999992</v>
      </c>
      <c r="BP64" s="100">
        <f t="shared" si="51"/>
        <v>0.61481673654919389</v>
      </c>
      <c r="BQ64" s="99">
        <f t="shared" si="52"/>
        <v>0.14249999999999999</v>
      </c>
      <c r="BR64" s="97">
        <f t="shared" si="81"/>
        <v>0.2923076290485761</v>
      </c>
      <c r="BS64" s="97">
        <f t="shared" si="82"/>
        <v>4.7879999999999999E-2</v>
      </c>
      <c r="BT64" s="97">
        <f t="shared" si="83"/>
        <v>0.75525000000000009</v>
      </c>
      <c r="BU64" s="100">
        <f t="shared" si="53"/>
        <v>0.80313000000000012</v>
      </c>
      <c r="BV64" s="99">
        <f t="shared" si="54"/>
        <v>0</v>
      </c>
      <c r="BW64" s="97">
        <f t="shared" si="84"/>
        <v>8.7499999999999994E-2</v>
      </c>
      <c r="BX64" s="100">
        <f t="shared" si="85"/>
        <v>1.155E-2</v>
      </c>
      <c r="BY64" s="99">
        <f t="shared" si="55"/>
        <v>1.520414486549194</v>
      </c>
      <c r="BZ64" s="97">
        <f t="shared" si="56"/>
        <v>6.84</v>
      </c>
      <c r="CA64" s="100">
        <f t="shared" si="57"/>
        <v>81.814125495866975</v>
      </c>
      <c r="CB64" s="51">
        <f t="shared" si="58"/>
        <v>0.71386673654919386</v>
      </c>
      <c r="CC64" s="32">
        <f t="shared" si="86"/>
        <v>49.985335779221785</v>
      </c>
    </row>
    <row r="65" spans="17:81" x14ac:dyDescent="0.3">
      <c r="Q65" s="32">
        <v>58</v>
      </c>
      <c r="S65" s="99">
        <f t="shared" si="0"/>
        <v>60</v>
      </c>
      <c r="T65" s="97">
        <f t="shared" si="36"/>
        <v>0.11600000000000001</v>
      </c>
      <c r="U65" s="97">
        <f t="shared" si="1"/>
        <v>15</v>
      </c>
      <c r="V65" s="100">
        <f t="shared" si="2"/>
        <v>0.57999999999999996</v>
      </c>
      <c r="W65" s="99">
        <f t="shared" si="3"/>
        <v>2</v>
      </c>
      <c r="X65" s="97">
        <f t="shared" si="4"/>
        <v>0.75</v>
      </c>
      <c r="Y65" s="100">
        <f t="shared" si="62"/>
        <v>0.25</v>
      </c>
      <c r="Z65" s="99">
        <f t="shared" si="6"/>
        <v>0.45000000000000007</v>
      </c>
      <c r="AA65" s="97">
        <f t="shared" si="37"/>
        <v>0.80499999999999994</v>
      </c>
      <c r="AB65" s="97">
        <f t="shared" si="38"/>
        <v>0.59436941374872243</v>
      </c>
      <c r="AC65" s="97">
        <v>0</v>
      </c>
      <c r="AD65" s="97">
        <f t="shared" si="7"/>
        <v>3.5327500000000003E-3</v>
      </c>
      <c r="AE65" s="100">
        <f t="shared" si="39"/>
        <v>3.5327500000000003E-3</v>
      </c>
      <c r="AF65" s="99">
        <f t="shared" si="63"/>
        <v>0.43499999999999994</v>
      </c>
      <c r="AG65" s="97">
        <f t="shared" si="64"/>
        <v>0.51473901153885737</v>
      </c>
      <c r="AH65" s="97">
        <f t="shared" si="10"/>
        <v>1.3730833631666668E-2</v>
      </c>
      <c r="AI65" s="97">
        <f t="shared" si="87"/>
        <v>0.60899999999999999</v>
      </c>
      <c r="AJ65" s="100">
        <f t="shared" si="41"/>
        <v>0.6227308336316667</v>
      </c>
      <c r="AK65" s="99">
        <f t="shared" si="65"/>
        <v>0.14499999999999999</v>
      </c>
      <c r="AL65" s="97">
        <f t="shared" si="66"/>
        <v>0.29718470687436116</v>
      </c>
      <c r="AM65" s="97">
        <f t="shared" si="67"/>
        <v>4.8719999999999999E-2</v>
      </c>
      <c r="AN65" s="97">
        <f t="shared" si="68"/>
        <v>0.75525000000000009</v>
      </c>
      <c r="AO65" s="100">
        <f t="shared" si="42"/>
        <v>0.80397000000000007</v>
      </c>
      <c r="AP65" s="99">
        <f t="shared" si="43"/>
        <v>0</v>
      </c>
      <c r="AQ65" s="97">
        <f t="shared" si="15"/>
        <v>8.7499999999999994E-2</v>
      </c>
      <c r="AR65" s="100">
        <f t="shared" si="69"/>
        <v>1.155E-2</v>
      </c>
      <c r="AS65" s="99">
        <f t="shared" si="70"/>
        <v>0.72178083363166667</v>
      </c>
      <c r="AT65" s="215">
        <f t="shared" si="71"/>
        <v>68.306850017900004</v>
      </c>
      <c r="AU65" s="216">
        <f t="shared" si="72"/>
        <v>6.3815221124991786E-2</v>
      </c>
      <c r="AV65" s="97">
        <f t="shared" si="73"/>
        <v>6.96</v>
      </c>
      <c r="AW65" s="100">
        <f t="shared" si="44"/>
        <v>90.603990802866548</v>
      </c>
      <c r="AX65" s="32"/>
      <c r="AY65" s="99">
        <f t="shared" si="21"/>
        <v>60</v>
      </c>
      <c r="AZ65" s="97">
        <f t="shared" si="74"/>
        <v>0.11600000000000001</v>
      </c>
      <c r="BA65" s="97">
        <f t="shared" si="23"/>
        <v>15</v>
      </c>
      <c r="BB65" s="100">
        <f t="shared" si="75"/>
        <v>0.57999999999999996</v>
      </c>
      <c r="BC65" s="99">
        <f t="shared" si="76"/>
        <v>2</v>
      </c>
      <c r="BD65" s="97">
        <f t="shared" si="77"/>
        <v>0.75</v>
      </c>
      <c r="BE65" s="100">
        <f t="shared" si="78"/>
        <v>0.25</v>
      </c>
      <c r="BF65" s="99">
        <f t="shared" si="79"/>
        <v>0.45000000000000007</v>
      </c>
      <c r="BG65" s="97">
        <f t="shared" si="60"/>
        <v>0.80499999999999994</v>
      </c>
      <c r="BH65" s="97">
        <f t="shared" si="61"/>
        <v>0.59436941374872243</v>
      </c>
      <c r="BI65" s="97">
        <v>0</v>
      </c>
      <c r="BJ65" s="97">
        <f t="shared" si="80"/>
        <v>3.5327500000000003E-3</v>
      </c>
      <c r="BK65" s="100">
        <f t="shared" si="47"/>
        <v>3.5327500000000003E-3</v>
      </c>
      <c r="BL65" s="99">
        <f t="shared" si="59"/>
        <v>0.43499999999999994</v>
      </c>
      <c r="BM65" s="97">
        <f t="shared" si="48"/>
        <v>0.51473901153885737</v>
      </c>
      <c r="BN65" s="97">
        <f t="shared" si="49"/>
        <v>1.6908241682198601E-2</v>
      </c>
      <c r="BO65" s="97">
        <f t="shared" si="88"/>
        <v>0.60899999999999999</v>
      </c>
      <c r="BP65" s="100">
        <f t="shared" si="51"/>
        <v>0.62590824168219861</v>
      </c>
      <c r="BQ65" s="99">
        <f t="shared" si="52"/>
        <v>0.14499999999999999</v>
      </c>
      <c r="BR65" s="97">
        <f t="shared" si="81"/>
        <v>0.29718470687436116</v>
      </c>
      <c r="BS65" s="97">
        <f t="shared" si="82"/>
        <v>4.8719999999999999E-2</v>
      </c>
      <c r="BT65" s="97">
        <f t="shared" si="83"/>
        <v>0.75525000000000009</v>
      </c>
      <c r="BU65" s="100">
        <f t="shared" si="53"/>
        <v>0.80397000000000007</v>
      </c>
      <c r="BV65" s="99">
        <f t="shared" si="54"/>
        <v>0</v>
      </c>
      <c r="BW65" s="97">
        <f t="shared" si="84"/>
        <v>8.7499999999999994E-2</v>
      </c>
      <c r="BX65" s="100">
        <f t="shared" si="85"/>
        <v>1.155E-2</v>
      </c>
      <c r="BY65" s="99">
        <f t="shared" si="55"/>
        <v>1.5324609916821985</v>
      </c>
      <c r="BZ65" s="97">
        <f t="shared" si="56"/>
        <v>6.96</v>
      </c>
      <c r="CA65" s="100">
        <f t="shared" si="57"/>
        <v>81.955042323030483</v>
      </c>
      <c r="CB65" s="51">
        <f t="shared" si="58"/>
        <v>0.72495824168219858</v>
      </c>
      <c r="CC65" s="32">
        <f t="shared" si="86"/>
        <v>50.373538458876951</v>
      </c>
    </row>
    <row r="66" spans="17:81" x14ac:dyDescent="0.3">
      <c r="Q66" s="32">
        <v>59</v>
      </c>
      <c r="S66" s="99">
        <f t="shared" si="0"/>
        <v>60</v>
      </c>
      <c r="T66" s="97">
        <f t="shared" si="36"/>
        <v>0.11800000000000001</v>
      </c>
      <c r="U66" s="97">
        <f t="shared" si="1"/>
        <v>15</v>
      </c>
      <c r="V66" s="100">
        <f t="shared" si="2"/>
        <v>0.59</v>
      </c>
      <c r="W66" s="99">
        <f t="shared" si="3"/>
        <v>2</v>
      </c>
      <c r="X66" s="97">
        <f t="shared" si="4"/>
        <v>0.75</v>
      </c>
      <c r="Y66" s="100">
        <f t="shared" si="62"/>
        <v>0.25</v>
      </c>
      <c r="Z66" s="99">
        <f t="shared" si="6"/>
        <v>0.45000000000000007</v>
      </c>
      <c r="AA66" s="97">
        <f t="shared" si="37"/>
        <v>0.81499999999999995</v>
      </c>
      <c r="AB66" s="97">
        <f t="shared" si="38"/>
        <v>0.60413160817821809</v>
      </c>
      <c r="AC66" s="97">
        <v>0</v>
      </c>
      <c r="AD66" s="97">
        <f t="shared" si="7"/>
        <v>3.6497500000000006E-3</v>
      </c>
      <c r="AE66" s="100">
        <f t="shared" si="39"/>
        <v>3.6497500000000006E-3</v>
      </c>
      <c r="AF66" s="99">
        <f t="shared" si="63"/>
        <v>0.4425</v>
      </c>
      <c r="AG66" s="97">
        <f t="shared" si="64"/>
        <v>0.52319331991148355</v>
      </c>
      <c r="AH66" s="97">
        <f t="shared" si="10"/>
        <v>1.418558065166667E-2</v>
      </c>
      <c r="AI66" s="97">
        <f t="shared" si="87"/>
        <v>0.61949999999999994</v>
      </c>
      <c r="AJ66" s="100">
        <f t="shared" si="41"/>
        <v>0.63368558065166658</v>
      </c>
      <c r="AK66" s="99">
        <f t="shared" si="65"/>
        <v>0.14749999999999999</v>
      </c>
      <c r="AL66" s="97">
        <f t="shared" si="66"/>
        <v>0.30206580408910899</v>
      </c>
      <c r="AM66" s="97">
        <f t="shared" si="67"/>
        <v>4.956E-2</v>
      </c>
      <c r="AN66" s="97">
        <f t="shared" si="68"/>
        <v>0.75525000000000009</v>
      </c>
      <c r="AO66" s="100">
        <f t="shared" si="42"/>
        <v>0.80481000000000014</v>
      </c>
      <c r="AP66" s="99">
        <f t="shared" si="43"/>
        <v>0</v>
      </c>
      <c r="AQ66" s="97">
        <f t="shared" si="15"/>
        <v>8.7499999999999994E-2</v>
      </c>
      <c r="AR66" s="100">
        <f t="shared" si="69"/>
        <v>1.155E-2</v>
      </c>
      <c r="AS66" s="99">
        <f t="shared" si="70"/>
        <v>0.73273558065166655</v>
      </c>
      <c r="AT66" s="215">
        <f t="shared" si="71"/>
        <v>68.964134839099984</v>
      </c>
      <c r="AU66" s="216">
        <f t="shared" si="72"/>
        <v>6.3975669900251858E-2</v>
      </c>
      <c r="AV66" s="97">
        <f t="shared" si="73"/>
        <v>7.08</v>
      </c>
      <c r="AW66" s="100">
        <f t="shared" si="44"/>
        <v>90.621267376995391</v>
      </c>
      <c r="AX66" s="32"/>
      <c r="AY66" s="99">
        <f t="shared" si="21"/>
        <v>60</v>
      </c>
      <c r="AZ66" s="97">
        <f t="shared" si="74"/>
        <v>0.11800000000000001</v>
      </c>
      <c r="BA66" s="97">
        <f t="shared" si="23"/>
        <v>15</v>
      </c>
      <c r="BB66" s="100">
        <f t="shared" si="75"/>
        <v>0.59</v>
      </c>
      <c r="BC66" s="99">
        <f t="shared" si="76"/>
        <v>2</v>
      </c>
      <c r="BD66" s="97">
        <f t="shared" si="77"/>
        <v>0.75</v>
      </c>
      <c r="BE66" s="100">
        <f t="shared" si="78"/>
        <v>0.25</v>
      </c>
      <c r="BF66" s="99">
        <f t="shared" si="79"/>
        <v>0.45000000000000007</v>
      </c>
      <c r="BG66" s="97">
        <f t="shared" si="60"/>
        <v>0.81499999999999995</v>
      </c>
      <c r="BH66" s="97">
        <f t="shared" si="61"/>
        <v>0.60413160817821809</v>
      </c>
      <c r="BI66" s="97">
        <v>0</v>
      </c>
      <c r="BJ66" s="97">
        <f t="shared" si="80"/>
        <v>3.6497500000000006E-3</v>
      </c>
      <c r="BK66" s="100">
        <f t="shared" si="47"/>
        <v>3.6497500000000006E-3</v>
      </c>
      <c r="BL66" s="99">
        <f t="shared" si="59"/>
        <v>0.4425</v>
      </c>
      <c r="BM66" s="97">
        <f t="shared" si="48"/>
        <v>0.52319331991148355</v>
      </c>
      <c r="BN66" s="97">
        <f t="shared" si="49"/>
        <v>1.7512140091383317E-2</v>
      </c>
      <c r="BO66" s="97">
        <f t="shared" si="88"/>
        <v>0.61949999999999994</v>
      </c>
      <c r="BP66" s="100">
        <f t="shared" si="51"/>
        <v>0.63701214009138329</v>
      </c>
      <c r="BQ66" s="99">
        <f t="shared" si="52"/>
        <v>0.14749999999999999</v>
      </c>
      <c r="BR66" s="97">
        <f t="shared" si="81"/>
        <v>0.30206580408910899</v>
      </c>
      <c r="BS66" s="97">
        <f t="shared" si="82"/>
        <v>4.956E-2</v>
      </c>
      <c r="BT66" s="97">
        <f t="shared" si="83"/>
        <v>0.75525000000000009</v>
      </c>
      <c r="BU66" s="100">
        <f t="shared" si="53"/>
        <v>0.80481000000000014</v>
      </c>
      <c r="BV66" s="99">
        <f t="shared" si="54"/>
        <v>0</v>
      </c>
      <c r="BW66" s="97">
        <f t="shared" si="84"/>
        <v>8.7499999999999994E-2</v>
      </c>
      <c r="BX66" s="100">
        <f t="shared" si="85"/>
        <v>1.155E-2</v>
      </c>
      <c r="BY66" s="99">
        <f t="shared" si="55"/>
        <v>1.5445218900913833</v>
      </c>
      <c r="BZ66" s="97">
        <f t="shared" si="56"/>
        <v>7.08</v>
      </c>
      <c r="CA66" s="100">
        <f t="shared" si="57"/>
        <v>82.091507102951795</v>
      </c>
      <c r="CB66" s="51">
        <f t="shared" si="58"/>
        <v>0.73606214009138327</v>
      </c>
      <c r="CC66" s="32">
        <f t="shared" si="86"/>
        <v>50.762174903198414</v>
      </c>
    </row>
    <row r="67" spans="17:81" x14ac:dyDescent="0.3">
      <c r="Q67" s="32">
        <v>60</v>
      </c>
      <c r="S67" s="99">
        <f t="shared" si="0"/>
        <v>60</v>
      </c>
      <c r="T67" s="97">
        <f t="shared" si="36"/>
        <v>0.12</v>
      </c>
      <c r="U67" s="97">
        <f t="shared" si="1"/>
        <v>15</v>
      </c>
      <c r="V67" s="100">
        <f t="shared" si="2"/>
        <v>0.6</v>
      </c>
      <c r="W67" s="99">
        <f t="shared" si="3"/>
        <v>2</v>
      </c>
      <c r="X67" s="97">
        <f t="shared" si="4"/>
        <v>0.75</v>
      </c>
      <c r="Y67" s="100">
        <f t="shared" si="62"/>
        <v>0.25</v>
      </c>
      <c r="Z67" s="99">
        <f t="shared" si="6"/>
        <v>0.45000000000000007</v>
      </c>
      <c r="AA67" s="97">
        <f t="shared" si="37"/>
        <v>0.82499999999999996</v>
      </c>
      <c r="AB67" s="97">
        <f t="shared" si="38"/>
        <v>0.61390145789043371</v>
      </c>
      <c r="AC67" s="97">
        <v>0</v>
      </c>
      <c r="AD67" s="97">
        <f t="shared" si="7"/>
        <v>3.7687499999999995E-3</v>
      </c>
      <c r="AE67" s="100">
        <f t="shared" si="39"/>
        <v>3.7687499999999995E-3</v>
      </c>
      <c r="AF67" s="99">
        <f t="shared" si="63"/>
        <v>0.44999999999999996</v>
      </c>
      <c r="AG67" s="97">
        <f t="shared" si="64"/>
        <v>0.53165425795341836</v>
      </c>
      <c r="AH67" s="97">
        <f t="shared" si="10"/>
        <v>1.4648101124999998E-2</v>
      </c>
      <c r="AI67" s="97">
        <f t="shared" si="87"/>
        <v>0.63</v>
      </c>
      <c r="AJ67" s="100">
        <f t="shared" si="41"/>
        <v>0.64464810112500004</v>
      </c>
      <c r="AK67" s="99">
        <f t="shared" si="65"/>
        <v>0.15</v>
      </c>
      <c r="AL67" s="97">
        <f t="shared" si="66"/>
        <v>0.30695072894521686</v>
      </c>
      <c r="AM67" s="97">
        <f t="shared" si="67"/>
        <v>5.0399999999999993E-2</v>
      </c>
      <c r="AN67" s="97">
        <f t="shared" si="68"/>
        <v>0.75525000000000009</v>
      </c>
      <c r="AO67" s="100">
        <f t="shared" si="42"/>
        <v>0.80565000000000009</v>
      </c>
      <c r="AP67" s="99">
        <f t="shared" si="43"/>
        <v>0</v>
      </c>
      <c r="AQ67" s="97">
        <f t="shared" si="15"/>
        <v>8.7499999999999994E-2</v>
      </c>
      <c r="AR67" s="100">
        <f t="shared" si="69"/>
        <v>1.155E-2</v>
      </c>
      <c r="AS67" s="99">
        <f t="shared" si="70"/>
        <v>0.74369810112500001</v>
      </c>
      <c r="AT67" s="215">
        <f t="shared" si="71"/>
        <v>69.6218860675</v>
      </c>
      <c r="AU67" s="216">
        <f t="shared" si="72"/>
        <v>6.4136232529448015E-2</v>
      </c>
      <c r="AV67" s="97">
        <f t="shared" si="73"/>
        <v>7.1999999999999993</v>
      </c>
      <c r="AW67" s="100">
        <f t="shared" si="44"/>
        <v>90.637885633900467</v>
      </c>
      <c r="AX67" s="32"/>
      <c r="AY67" s="99">
        <f t="shared" si="21"/>
        <v>60</v>
      </c>
      <c r="AZ67" s="97">
        <f t="shared" si="74"/>
        <v>0.12</v>
      </c>
      <c r="BA67" s="97">
        <f t="shared" si="23"/>
        <v>15</v>
      </c>
      <c r="BB67" s="100">
        <f t="shared" si="75"/>
        <v>0.6</v>
      </c>
      <c r="BC67" s="99">
        <f t="shared" si="76"/>
        <v>2</v>
      </c>
      <c r="BD67" s="97">
        <f t="shared" si="77"/>
        <v>0.75</v>
      </c>
      <c r="BE67" s="100">
        <f t="shared" si="78"/>
        <v>0.25</v>
      </c>
      <c r="BF67" s="99">
        <f t="shared" si="79"/>
        <v>0.45000000000000007</v>
      </c>
      <c r="BG67" s="97">
        <f t="shared" si="60"/>
        <v>0.82499999999999996</v>
      </c>
      <c r="BH67" s="97">
        <f t="shared" si="61"/>
        <v>0.61390145789043371</v>
      </c>
      <c r="BI67" s="97">
        <v>0</v>
      </c>
      <c r="BJ67" s="97">
        <f t="shared" si="80"/>
        <v>3.7687499999999995E-3</v>
      </c>
      <c r="BK67" s="100">
        <f t="shared" si="47"/>
        <v>3.7687499999999995E-3</v>
      </c>
      <c r="BL67" s="99">
        <f t="shared" si="59"/>
        <v>0.44999999999999996</v>
      </c>
      <c r="BM67" s="97">
        <f t="shared" si="48"/>
        <v>0.53165425795341836</v>
      </c>
      <c r="BN67" s="97">
        <f t="shared" si="49"/>
        <v>1.8128506975901782E-2</v>
      </c>
      <c r="BO67" s="97">
        <f t="shared" si="88"/>
        <v>0.63</v>
      </c>
      <c r="BP67" s="100">
        <f t="shared" si="51"/>
        <v>0.64812850697590174</v>
      </c>
      <c r="BQ67" s="99">
        <f t="shared" si="52"/>
        <v>0.15</v>
      </c>
      <c r="BR67" s="97">
        <f t="shared" si="81"/>
        <v>0.30695072894521686</v>
      </c>
      <c r="BS67" s="97">
        <f t="shared" si="82"/>
        <v>5.0399999999999993E-2</v>
      </c>
      <c r="BT67" s="97">
        <f t="shared" si="83"/>
        <v>0.75525000000000009</v>
      </c>
      <c r="BU67" s="100">
        <f t="shared" si="53"/>
        <v>0.80565000000000009</v>
      </c>
      <c r="BV67" s="99">
        <f t="shared" si="54"/>
        <v>0</v>
      </c>
      <c r="BW67" s="97">
        <f t="shared" si="84"/>
        <v>8.7499999999999994E-2</v>
      </c>
      <c r="BX67" s="100">
        <f t="shared" si="85"/>
        <v>1.155E-2</v>
      </c>
      <c r="BY67" s="99">
        <f t="shared" si="55"/>
        <v>1.5565972569759019</v>
      </c>
      <c r="BZ67" s="97">
        <f t="shared" si="56"/>
        <v>7.1999999999999993</v>
      </c>
      <c r="CA67" s="100">
        <f t="shared" si="57"/>
        <v>82.223719884617893</v>
      </c>
      <c r="CB67" s="51">
        <f t="shared" si="58"/>
        <v>0.74717850697590171</v>
      </c>
      <c r="CC67" s="32">
        <f t="shared" si="86"/>
        <v>51.151247744156564</v>
      </c>
    </row>
    <row r="68" spans="17:81" x14ac:dyDescent="0.3">
      <c r="Q68" s="32">
        <v>61</v>
      </c>
      <c r="S68" s="99">
        <f t="shared" si="0"/>
        <v>60</v>
      </c>
      <c r="T68" s="97">
        <f t="shared" si="36"/>
        <v>0.122</v>
      </c>
      <c r="U68" s="97">
        <f t="shared" si="1"/>
        <v>15</v>
      </c>
      <c r="V68" s="100">
        <f t="shared" si="2"/>
        <v>0.61</v>
      </c>
      <c r="W68" s="99">
        <f t="shared" si="3"/>
        <v>2</v>
      </c>
      <c r="X68" s="97">
        <f t="shared" si="4"/>
        <v>0.75</v>
      </c>
      <c r="Y68" s="100">
        <f t="shared" si="62"/>
        <v>0.25</v>
      </c>
      <c r="Z68" s="99">
        <f t="shared" si="6"/>
        <v>0.45000000000000007</v>
      </c>
      <c r="AA68" s="97">
        <f t="shared" si="37"/>
        <v>0.83499999999999996</v>
      </c>
      <c r="AB68" s="97">
        <f t="shared" si="38"/>
        <v>0.62367860312824586</v>
      </c>
      <c r="AC68" s="97">
        <v>0</v>
      </c>
      <c r="AD68" s="97">
        <f t="shared" si="7"/>
        <v>3.8897500000000004E-3</v>
      </c>
      <c r="AE68" s="100">
        <f t="shared" si="39"/>
        <v>3.8897500000000004E-3</v>
      </c>
      <c r="AF68" s="99">
        <f t="shared" si="63"/>
        <v>0.45750000000000002</v>
      </c>
      <c r="AG68" s="97">
        <f t="shared" si="64"/>
        <v>0.54012151410585374</v>
      </c>
      <c r="AH68" s="97">
        <f t="shared" si="10"/>
        <v>1.5118395051666667E-2</v>
      </c>
      <c r="AI68" s="97">
        <f t="shared" si="87"/>
        <v>0.64049999999999996</v>
      </c>
      <c r="AJ68" s="100">
        <f t="shared" si="41"/>
        <v>0.65561839505166664</v>
      </c>
      <c r="AK68" s="99">
        <f t="shared" si="65"/>
        <v>0.1525</v>
      </c>
      <c r="AL68" s="97">
        <f t="shared" si="66"/>
        <v>0.31183930156412293</v>
      </c>
      <c r="AM68" s="97">
        <f t="shared" si="67"/>
        <v>5.1239999999999994E-2</v>
      </c>
      <c r="AN68" s="97">
        <f t="shared" si="68"/>
        <v>0.75525000000000009</v>
      </c>
      <c r="AO68" s="100">
        <f t="shared" si="42"/>
        <v>0.80649000000000004</v>
      </c>
      <c r="AP68" s="99">
        <f t="shared" si="43"/>
        <v>0</v>
      </c>
      <c r="AQ68" s="97">
        <f t="shared" si="15"/>
        <v>8.7499999999999994E-2</v>
      </c>
      <c r="AR68" s="100">
        <f t="shared" si="69"/>
        <v>1.155E-2</v>
      </c>
      <c r="AS68" s="99">
        <f t="shared" si="70"/>
        <v>0.75466839505166661</v>
      </c>
      <c r="AT68" s="215">
        <f t="shared" si="71"/>
        <v>70.280103703099996</v>
      </c>
      <c r="AU68" s="216">
        <f t="shared" si="72"/>
        <v>6.4296909012580228E-2</v>
      </c>
      <c r="AV68" s="97">
        <f t="shared" si="73"/>
        <v>7.32</v>
      </c>
      <c r="AW68" s="100">
        <f t="shared" si="44"/>
        <v>90.653877557199209</v>
      </c>
      <c r="AX68" s="32"/>
      <c r="AY68" s="99">
        <f t="shared" si="21"/>
        <v>60</v>
      </c>
      <c r="AZ68" s="97">
        <f t="shared" si="74"/>
        <v>0.122</v>
      </c>
      <c r="BA68" s="97">
        <f t="shared" si="23"/>
        <v>15</v>
      </c>
      <c r="BB68" s="100">
        <f t="shared" si="75"/>
        <v>0.61</v>
      </c>
      <c r="BC68" s="99">
        <f t="shared" si="76"/>
        <v>2</v>
      </c>
      <c r="BD68" s="97">
        <f t="shared" si="77"/>
        <v>0.75</v>
      </c>
      <c r="BE68" s="100">
        <f t="shared" si="78"/>
        <v>0.25</v>
      </c>
      <c r="BF68" s="99">
        <f t="shared" si="79"/>
        <v>0.45000000000000007</v>
      </c>
      <c r="BG68" s="97">
        <f t="shared" si="60"/>
        <v>0.83499999999999996</v>
      </c>
      <c r="BH68" s="97">
        <f t="shared" si="61"/>
        <v>0.62367860312824586</v>
      </c>
      <c r="BI68" s="97">
        <v>0</v>
      </c>
      <c r="BJ68" s="97">
        <f t="shared" si="80"/>
        <v>3.8897500000000004E-3</v>
      </c>
      <c r="BK68" s="100">
        <f t="shared" si="47"/>
        <v>3.8897500000000004E-3</v>
      </c>
      <c r="BL68" s="99">
        <f t="shared" si="59"/>
        <v>0.45750000000000002</v>
      </c>
      <c r="BM68" s="97">
        <f t="shared" si="48"/>
        <v>0.54012151410585374</v>
      </c>
      <c r="BN68" s="97">
        <f t="shared" si="49"/>
        <v>1.8757417637376293E-2</v>
      </c>
      <c r="BO68" s="97">
        <f t="shared" si="88"/>
        <v>0.64049999999999996</v>
      </c>
      <c r="BP68" s="100">
        <f t="shared" si="51"/>
        <v>0.65925741763737622</v>
      </c>
      <c r="BQ68" s="99">
        <f t="shared" si="52"/>
        <v>0.1525</v>
      </c>
      <c r="BR68" s="97">
        <f t="shared" si="81"/>
        <v>0.31183930156412293</v>
      </c>
      <c r="BS68" s="97">
        <f t="shared" si="82"/>
        <v>5.1239999999999994E-2</v>
      </c>
      <c r="BT68" s="97">
        <f t="shared" si="83"/>
        <v>0.75525000000000009</v>
      </c>
      <c r="BU68" s="100">
        <f t="shared" si="53"/>
        <v>0.80649000000000004</v>
      </c>
      <c r="BV68" s="99">
        <f t="shared" si="54"/>
        <v>0</v>
      </c>
      <c r="BW68" s="97">
        <f t="shared" si="84"/>
        <v>8.7499999999999994E-2</v>
      </c>
      <c r="BX68" s="100">
        <f t="shared" si="85"/>
        <v>1.155E-2</v>
      </c>
      <c r="BY68" s="99">
        <f t="shared" si="55"/>
        <v>1.5686871676373759</v>
      </c>
      <c r="BZ68" s="97">
        <f t="shared" si="56"/>
        <v>7.32</v>
      </c>
      <c r="CA68" s="100">
        <f t="shared" si="57"/>
        <v>82.3518688637308</v>
      </c>
      <c r="CB68" s="51">
        <f t="shared" si="58"/>
        <v>0.75830741763737619</v>
      </c>
      <c r="CC68" s="32">
        <f t="shared" si="86"/>
        <v>51.540759617308169</v>
      </c>
    </row>
    <row r="69" spans="17:81" x14ac:dyDescent="0.3">
      <c r="Q69" s="32">
        <v>62</v>
      </c>
      <c r="S69" s="99">
        <f t="shared" si="0"/>
        <v>60</v>
      </c>
      <c r="T69" s="97">
        <f t="shared" si="36"/>
        <v>0.124</v>
      </c>
      <c r="U69" s="97">
        <f t="shared" si="1"/>
        <v>15</v>
      </c>
      <c r="V69" s="100">
        <f t="shared" si="2"/>
        <v>0.62</v>
      </c>
      <c r="W69" s="99">
        <f t="shared" si="3"/>
        <v>2</v>
      </c>
      <c r="X69" s="97">
        <f t="shared" si="4"/>
        <v>0.75</v>
      </c>
      <c r="Y69" s="100">
        <f t="shared" si="62"/>
        <v>0.25</v>
      </c>
      <c r="Z69" s="99">
        <f t="shared" si="6"/>
        <v>0.45000000000000007</v>
      </c>
      <c r="AA69" s="97">
        <f t="shared" si="37"/>
        <v>0.84499999999999997</v>
      </c>
      <c r="AB69" s="97">
        <f t="shared" si="38"/>
        <v>0.63346270608458088</v>
      </c>
      <c r="AC69" s="97">
        <v>0</v>
      </c>
      <c r="AD69" s="97">
        <f t="shared" si="7"/>
        <v>4.0127500000000007E-3</v>
      </c>
      <c r="AE69" s="100">
        <f t="shared" si="39"/>
        <v>4.0127500000000007E-3</v>
      </c>
      <c r="AF69" s="99">
        <f t="shared" si="63"/>
        <v>0.46499999999999997</v>
      </c>
      <c r="AG69" s="97">
        <f t="shared" si="64"/>
        <v>0.54859479581928217</v>
      </c>
      <c r="AH69" s="97">
        <f t="shared" si="10"/>
        <v>1.5596462431666664E-2</v>
      </c>
      <c r="AI69" s="97">
        <f t="shared" si="87"/>
        <v>0.65100000000000002</v>
      </c>
      <c r="AJ69" s="100">
        <f t="shared" si="41"/>
        <v>0.6665964624316667</v>
      </c>
      <c r="AK69" s="99">
        <f t="shared" si="65"/>
        <v>0.155</v>
      </c>
      <c r="AL69" s="97">
        <f t="shared" si="66"/>
        <v>0.31673135304229033</v>
      </c>
      <c r="AM69" s="97">
        <f t="shared" si="67"/>
        <v>5.2079999999999994E-2</v>
      </c>
      <c r="AN69" s="97">
        <f t="shared" si="68"/>
        <v>0.75525000000000009</v>
      </c>
      <c r="AO69" s="100">
        <f t="shared" si="42"/>
        <v>0.8073300000000001</v>
      </c>
      <c r="AP69" s="99">
        <f t="shared" si="43"/>
        <v>0</v>
      </c>
      <c r="AQ69" s="97">
        <f t="shared" si="15"/>
        <v>8.7499999999999994E-2</v>
      </c>
      <c r="AR69" s="100">
        <f t="shared" si="69"/>
        <v>1.155E-2</v>
      </c>
      <c r="AS69" s="99">
        <f t="shared" si="70"/>
        <v>0.76564646243166667</v>
      </c>
      <c r="AT69" s="215">
        <f t="shared" si="71"/>
        <v>70.938787745900001</v>
      </c>
      <c r="AU69" s="216">
        <f t="shared" si="72"/>
        <v>6.4457699349648512E-2</v>
      </c>
      <c r="AV69" s="97">
        <f t="shared" si="73"/>
        <v>7.4399999999999995</v>
      </c>
      <c r="AW69" s="100">
        <f t="shared" si="44"/>
        <v>90.669273092168112</v>
      </c>
      <c r="AX69" s="32"/>
      <c r="AY69" s="99">
        <f t="shared" si="21"/>
        <v>60</v>
      </c>
      <c r="AZ69" s="97">
        <f t="shared" si="74"/>
        <v>0.124</v>
      </c>
      <c r="BA69" s="97">
        <f t="shared" si="23"/>
        <v>15</v>
      </c>
      <c r="BB69" s="100">
        <f t="shared" si="75"/>
        <v>0.62</v>
      </c>
      <c r="BC69" s="99">
        <f t="shared" si="76"/>
        <v>2</v>
      </c>
      <c r="BD69" s="97">
        <f t="shared" si="77"/>
        <v>0.75</v>
      </c>
      <c r="BE69" s="100">
        <f t="shared" si="78"/>
        <v>0.25</v>
      </c>
      <c r="BF69" s="99">
        <f t="shared" si="79"/>
        <v>0.45000000000000007</v>
      </c>
      <c r="BG69" s="97">
        <f t="shared" si="60"/>
        <v>0.84499999999999997</v>
      </c>
      <c r="BH69" s="97">
        <f t="shared" si="61"/>
        <v>0.63346270608458088</v>
      </c>
      <c r="BI69" s="97">
        <v>0</v>
      </c>
      <c r="BJ69" s="97">
        <f t="shared" si="80"/>
        <v>4.0127500000000007E-3</v>
      </c>
      <c r="BK69" s="100">
        <f t="shared" si="47"/>
        <v>4.0127500000000007E-3</v>
      </c>
      <c r="BL69" s="99">
        <f t="shared" si="59"/>
        <v>0.46499999999999997</v>
      </c>
      <c r="BM69" s="97">
        <f t="shared" si="48"/>
        <v>0.54859479581928217</v>
      </c>
      <c r="BN69" s="97">
        <f t="shared" si="49"/>
        <v>1.9398947479897646E-2</v>
      </c>
      <c r="BO69" s="97">
        <f t="shared" si="88"/>
        <v>0.65100000000000002</v>
      </c>
      <c r="BP69" s="100">
        <f t="shared" si="51"/>
        <v>0.6703989474798977</v>
      </c>
      <c r="BQ69" s="99">
        <f t="shared" si="52"/>
        <v>0.155</v>
      </c>
      <c r="BR69" s="97">
        <f t="shared" si="81"/>
        <v>0.31673135304229033</v>
      </c>
      <c r="BS69" s="97">
        <f t="shared" si="82"/>
        <v>5.2079999999999994E-2</v>
      </c>
      <c r="BT69" s="97">
        <f t="shared" si="83"/>
        <v>0.75525000000000009</v>
      </c>
      <c r="BU69" s="100">
        <f t="shared" si="53"/>
        <v>0.8073300000000001</v>
      </c>
      <c r="BV69" s="99">
        <f t="shared" si="54"/>
        <v>0</v>
      </c>
      <c r="BW69" s="97">
        <f t="shared" si="84"/>
        <v>8.7499999999999994E-2</v>
      </c>
      <c r="BX69" s="100">
        <f t="shared" si="85"/>
        <v>1.155E-2</v>
      </c>
      <c r="BY69" s="99">
        <f t="shared" si="55"/>
        <v>1.5807916974798977</v>
      </c>
      <c r="BZ69" s="97">
        <f t="shared" si="56"/>
        <v>7.4399999999999995</v>
      </c>
      <c r="CA69" s="100">
        <f t="shared" si="57"/>
        <v>82.476131247753813</v>
      </c>
      <c r="CB69" s="51">
        <f t="shared" si="58"/>
        <v>0.76944894747989767</v>
      </c>
      <c r="CC69" s="32">
        <f t="shared" si="86"/>
        <v>51.930713161796419</v>
      </c>
    </row>
    <row r="70" spans="17:81" x14ac:dyDescent="0.3">
      <c r="Q70" s="32">
        <v>63</v>
      </c>
      <c r="S70" s="99">
        <f t="shared" si="0"/>
        <v>60</v>
      </c>
      <c r="T70" s="97">
        <f t="shared" si="36"/>
        <v>0.126</v>
      </c>
      <c r="U70" s="97">
        <f t="shared" si="1"/>
        <v>15</v>
      </c>
      <c r="V70" s="100">
        <f t="shared" si="2"/>
        <v>0.63</v>
      </c>
      <c r="W70" s="99">
        <f t="shared" si="3"/>
        <v>2</v>
      </c>
      <c r="X70" s="97">
        <f t="shared" si="4"/>
        <v>0.75</v>
      </c>
      <c r="Y70" s="100">
        <f t="shared" si="62"/>
        <v>0.25</v>
      </c>
      <c r="Z70" s="99">
        <f t="shared" si="6"/>
        <v>0.45000000000000007</v>
      </c>
      <c r="AA70" s="97">
        <f t="shared" si="37"/>
        <v>0.85499999999999998</v>
      </c>
      <c r="AB70" s="97">
        <f t="shared" si="38"/>
        <v>0.6432534492717471</v>
      </c>
      <c r="AC70" s="97">
        <v>0</v>
      </c>
      <c r="AD70" s="97">
        <f t="shared" si="7"/>
        <v>4.1377500000000008E-3</v>
      </c>
      <c r="AE70" s="100">
        <f t="shared" si="39"/>
        <v>4.1377500000000008E-3</v>
      </c>
      <c r="AF70" s="99">
        <f t="shared" si="63"/>
        <v>0.47250000000000003</v>
      </c>
      <c r="AG70" s="97">
        <f t="shared" si="64"/>
        <v>0.55707382814129758</v>
      </c>
      <c r="AH70" s="97">
        <f t="shared" si="10"/>
        <v>1.6082303265E-2</v>
      </c>
      <c r="AI70" s="97">
        <f t="shared" si="87"/>
        <v>0.66149999999999998</v>
      </c>
      <c r="AJ70" s="100">
        <f t="shared" si="41"/>
        <v>0.67758230326500002</v>
      </c>
      <c r="AK70" s="99">
        <f t="shared" si="65"/>
        <v>0.1575</v>
      </c>
      <c r="AL70" s="97">
        <f t="shared" si="66"/>
        <v>0.32162672463587344</v>
      </c>
      <c r="AM70" s="97">
        <f t="shared" si="67"/>
        <v>5.2920000000000002E-2</v>
      </c>
      <c r="AN70" s="97">
        <f t="shared" si="68"/>
        <v>0.75525000000000009</v>
      </c>
      <c r="AO70" s="100">
        <f t="shared" si="42"/>
        <v>0.80817000000000005</v>
      </c>
      <c r="AP70" s="99">
        <f t="shared" si="43"/>
        <v>0</v>
      </c>
      <c r="AQ70" s="97">
        <f t="shared" si="15"/>
        <v>8.7499999999999994E-2</v>
      </c>
      <c r="AR70" s="100">
        <f t="shared" si="69"/>
        <v>1.155E-2</v>
      </c>
      <c r="AS70" s="99">
        <f t="shared" si="70"/>
        <v>0.77663230326499999</v>
      </c>
      <c r="AT70" s="215">
        <f t="shared" si="71"/>
        <v>71.597938195899999</v>
      </c>
      <c r="AU70" s="216">
        <f t="shared" si="72"/>
        <v>6.4618603540652866E-2</v>
      </c>
      <c r="AV70" s="97">
        <f t="shared" si="73"/>
        <v>7.5600000000000005</v>
      </c>
      <c r="AW70" s="100">
        <f t="shared" si="44"/>
        <v>90.684100305577402</v>
      </c>
      <c r="AX70" s="32"/>
      <c r="AY70" s="99">
        <f t="shared" si="21"/>
        <v>60</v>
      </c>
      <c r="AZ70" s="97">
        <f t="shared" si="74"/>
        <v>0.126</v>
      </c>
      <c r="BA70" s="97">
        <f t="shared" si="23"/>
        <v>15</v>
      </c>
      <c r="BB70" s="100">
        <f t="shared" si="75"/>
        <v>0.63</v>
      </c>
      <c r="BC70" s="99">
        <f t="shared" si="76"/>
        <v>2</v>
      </c>
      <c r="BD70" s="97">
        <f t="shared" si="77"/>
        <v>0.75</v>
      </c>
      <c r="BE70" s="100">
        <f t="shared" si="78"/>
        <v>0.25</v>
      </c>
      <c r="BF70" s="99">
        <f t="shared" si="79"/>
        <v>0.45000000000000007</v>
      </c>
      <c r="BG70" s="97">
        <f t="shared" si="60"/>
        <v>0.85499999999999998</v>
      </c>
      <c r="BH70" s="97">
        <f t="shared" si="61"/>
        <v>0.6432534492717471</v>
      </c>
      <c r="BI70" s="97">
        <v>0</v>
      </c>
      <c r="BJ70" s="97">
        <f t="shared" si="80"/>
        <v>4.1377500000000008E-3</v>
      </c>
      <c r="BK70" s="100">
        <f t="shared" si="47"/>
        <v>4.1377500000000008E-3</v>
      </c>
      <c r="BL70" s="99">
        <f t="shared" si="59"/>
        <v>0.47250000000000003</v>
      </c>
      <c r="BM70" s="97">
        <f t="shared" si="48"/>
        <v>0.55707382814129758</v>
      </c>
      <c r="BN70" s="97">
        <f t="shared" si="49"/>
        <v>2.0053172010025225E-2</v>
      </c>
      <c r="BO70" s="97">
        <f t="shared" si="88"/>
        <v>0.66149999999999998</v>
      </c>
      <c r="BP70" s="100">
        <f t="shared" si="51"/>
        <v>0.68155317201002519</v>
      </c>
      <c r="BQ70" s="99">
        <f t="shared" si="52"/>
        <v>0.1575</v>
      </c>
      <c r="BR70" s="97">
        <f t="shared" si="81"/>
        <v>0.32162672463587344</v>
      </c>
      <c r="BS70" s="97">
        <f t="shared" si="82"/>
        <v>5.2920000000000002E-2</v>
      </c>
      <c r="BT70" s="97">
        <f t="shared" si="83"/>
        <v>0.75525000000000009</v>
      </c>
      <c r="BU70" s="100">
        <f t="shared" si="53"/>
        <v>0.80817000000000005</v>
      </c>
      <c r="BV70" s="99">
        <f t="shared" si="54"/>
        <v>0</v>
      </c>
      <c r="BW70" s="97">
        <f t="shared" si="84"/>
        <v>8.7499999999999994E-2</v>
      </c>
      <c r="BX70" s="100">
        <f t="shared" si="85"/>
        <v>1.155E-2</v>
      </c>
      <c r="BY70" s="99">
        <f t="shared" si="55"/>
        <v>1.592910922010025</v>
      </c>
      <c r="BZ70" s="97">
        <f t="shared" si="56"/>
        <v>7.5600000000000005</v>
      </c>
      <c r="CA70" s="100">
        <f t="shared" si="57"/>
        <v>82.596674046291113</v>
      </c>
      <c r="CB70" s="51">
        <f t="shared" si="58"/>
        <v>0.78060317201002516</v>
      </c>
      <c r="CC70" s="32">
        <f t="shared" si="86"/>
        <v>52.321111020350884</v>
      </c>
    </row>
    <row r="71" spans="17:81" x14ac:dyDescent="0.3">
      <c r="Q71" s="32">
        <v>64</v>
      </c>
      <c r="S71" s="99">
        <f t="shared" ref="S71:S134" si="89">VOUT</f>
        <v>60</v>
      </c>
      <c r="T71" s="97">
        <f t="shared" si="36"/>
        <v>0.128</v>
      </c>
      <c r="U71" s="97">
        <f t="shared" ref="U71:U134" si="90">VIN_var</f>
        <v>15</v>
      </c>
      <c r="V71" s="100">
        <f t="shared" ref="V71:V134" si="91">(S71*T71)/(U71*EFF_est)</f>
        <v>0.64</v>
      </c>
      <c r="W71" s="99">
        <f t="shared" ref="W71:W134" si="92">IF((T71*S71/U71)&lt;((U71*(1-(U71/S71)))/(2*Lm*Fsw)),1,2)</f>
        <v>2</v>
      </c>
      <c r="X71" s="97">
        <f t="shared" ref="X71:X134" si="93">CHOOSE(W71,SQRT((2*T71*Lm*Fsw*(S71-U71))/((U71)^2)),1-(U71/S71))</f>
        <v>0.75</v>
      </c>
      <c r="Y71" s="100">
        <f t="shared" ref="Y71:Y102" si="94">CHOOSE(W71,(Lm*AA71*Fsw)/(S71-U71),1-X71)</f>
        <v>0.25</v>
      </c>
      <c r="Z71" s="99">
        <f t="shared" ref="Z71:Z134" si="95">(U71*X71)/(Lm*Fsw)</f>
        <v>0.45000000000000007</v>
      </c>
      <c r="AA71" s="97">
        <f t="shared" si="37"/>
        <v>0.86499999999999999</v>
      </c>
      <c r="AB71" s="97">
        <f t="shared" si="38"/>
        <v>0.65305053403239788</v>
      </c>
      <c r="AC71" s="97">
        <v>0</v>
      </c>
      <c r="AD71" s="97">
        <f t="shared" ref="AD71:AD134" si="96">(AB71^2)*Rdcr</f>
        <v>4.2647500000000003E-3</v>
      </c>
      <c r="AE71" s="100">
        <f t="shared" si="39"/>
        <v>4.2647500000000003E-3</v>
      </c>
      <c r="AF71" s="99">
        <f t="shared" ref="AF71:AF102" si="97">V71*X71</f>
        <v>0.48</v>
      </c>
      <c r="AG71" s="97">
        <f t="shared" ref="AG71:AG102" si="98">CHOOSE(W71,AA71*SQRT(X71/3),SQRT(X71*((AA71^2)+((Z71^2)/3)-(AA71*Z71))))</f>
        <v>0.56555835242705066</v>
      </c>
      <c r="AH71" s="97">
        <f t="shared" ref="AH71:AH134" si="99">(AG71^2)*RDS_on</f>
        <v>1.6575917551666673E-2</v>
      </c>
      <c r="AI71" s="97">
        <f t="shared" si="87"/>
        <v>0.67199999999999993</v>
      </c>
      <c r="AJ71" s="100">
        <f t="shared" si="41"/>
        <v>0.68857591755166658</v>
      </c>
      <c r="AK71" s="99">
        <f t="shared" ref="AK71:AK102" si="100">Y71*V71</f>
        <v>0.16</v>
      </c>
      <c r="AL71" s="97">
        <f t="shared" ref="AL71:AL102" si="101">CHOOSE(W71,AA71*SQRT(Y71/3),SQRT(Y71*((AA71^2)+((Z71^2)/3)-(Z71*AA71))))</f>
        <v>0.32652526701619894</v>
      </c>
      <c r="AM71" s="97">
        <f t="shared" ref="AM71:AM102" si="102">T71*Vd_rect</f>
        <v>5.3760000000000002E-2</v>
      </c>
      <c r="AN71" s="97">
        <f t="shared" ref="AN71:AN102" si="103">CHOOSE(W71,(S71+Vd_rect)*Qrr*Fsw,(S71+Vd_rect)*Qrr*Fsw)</f>
        <v>0.75525000000000009</v>
      </c>
      <c r="AO71" s="100">
        <f t="shared" si="42"/>
        <v>0.80901000000000012</v>
      </c>
      <c r="AP71" s="99">
        <f t="shared" si="43"/>
        <v>0</v>
      </c>
      <c r="AQ71" s="97">
        <f t="shared" ref="AQ71:AQ134" si="104">Qg_tot*Vcc*Fsw</f>
        <v>8.7499999999999994E-2</v>
      </c>
      <c r="AR71" s="100">
        <f t="shared" ref="AR71:AR102" si="105">IQ*U71</f>
        <v>1.155E-2</v>
      </c>
      <c r="AS71" s="99">
        <f t="shared" si="70"/>
        <v>0.78762591755166655</v>
      </c>
      <c r="AT71" s="215">
        <f t="shared" ref="AT71:AT102" si="106">Ta+Tk*AS71</f>
        <v>72.257555053099992</v>
      </c>
      <c r="AU71" s="216">
        <f t="shared" ref="AU71:AU102" si="107">RDS_on/51.8*(47.12+AT71*0.244)</f>
        <v>6.4779621585593292E-2</v>
      </c>
      <c r="AV71" s="97">
        <f t="shared" ref="AV71:AV102" si="108">S71*T71</f>
        <v>7.68</v>
      </c>
      <c r="AW71" s="100">
        <f t="shared" si="44"/>
        <v>90.6983855307179</v>
      </c>
      <c r="AX71" s="32"/>
      <c r="AY71" s="99">
        <f t="shared" ref="AY71:AY134" si="109">VOUT</f>
        <v>60</v>
      </c>
      <c r="AZ71" s="97">
        <f t="shared" ref="AZ71:AZ102" si="110">Q71*$O$12</f>
        <v>0.128</v>
      </c>
      <c r="BA71" s="97">
        <f t="shared" ref="BA71:BA134" si="111">VIN_var</f>
        <v>15</v>
      </c>
      <c r="BB71" s="100">
        <f t="shared" ref="BB71:BB102" si="112">(AY71*AZ71)/(BA71*EFF_est)</f>
        <v>0.64</v>
      </c>
      <c r="BC71" s="99">
        <f t="shared" ref="BC71:BC102" si="113">IF((AZ71*AY71/BA71)&lt;((BA71*(1-(BA71/AY71)))/(2*Lm*Fsw)),1,2)</f>
        <v>2</v>
      </c>
      <c r="BD71" s="97">
        <f t="shared" ref="BD71:BD102" si="114">CHOOSE(BC71,SQRT((2*AZ71*Lm*Fsw*(AY71-BA71))/((BA71)^2)),1-(BA71/AY71))</f>
        <v>0.75</v>
      </c>
      <c r="BE71" s="100">
        <f t="shared" ref="BE71:BE102" si="115">CHOOSE(BC71,(Lm*BG71*Fsw)/(AY71-BA71),1-BD71)</f>
        <v>0.25</v>
      </c>
      <c r="BF71" s="99">
        <f t="shared" ref="BF71:BF102" si="116">(BA71*BD71)/(Lm*Fsw)</f>
        <v>0.45000000000000007</v>
      </c>
      <c r="BG71" s="97">
        <f t="shared" si="60"/>
        <v>0.86499999999999999</v>
      </c>
      <c r="BH71" s="97">
        <f t="shared" si="61"/>
        <v>0.65305053403239788</v>
      </c>
      <c r="BI71" s="97">
        <v>0</v>
      </c>
      <c r="BJ71" s="97">
        <f t="shared" ref="BJ71:BJ102" si="117">(BH71^2)*Rdcr</f>
        <v>4.2647500000000003E-3</v>
      </c>
      <c r="BK71" s="100">
        <f t="shared" si="47"/>
        <v>4.2647500000000003E-3</v>
      </c>
      <c r="BL71" s="99">
        <f t="shared" si="59"/>
        <v>0.48</v>
      </c>
      <c r="BM71" s="97">
        <f t="shared" si="48"/>
        <v>0.56555835242705066</v>
      </c>
      <c r="BN71" s="97">
        <f t="shared" si="49"/>
        <v>2.072016683678693E-2</v>
      </c>
      <c r="BO71" s="97">
        <f t="shared" si="88"/>
        <v>0.67199999999999993</v>
      </c>
      <c r="BP71" s="100">
        <f t="shared" si="51"/>
        <v>0.69272016683678683</v>
      </c>
      <c r="BQ71" s="99">
        <f t="shared" si="52"/>
        <v>0.16</v>
      </c>
      <c r="BR71" s="97">
        <f t="shared" ref="BR71:BR102" si="118">CHOOSE(BC71,BG71*SQRT(BE71/3),SQRT(BE71*((BG71^2)+((BF71^2)/3)-(BF71*BG71))))</f>
        <v>0.32652526701619894</v>
      </c>
      <c r="BS71" s="97">
        <f t="shared" ref="BS71:BS102" si="119">AZ71*Vd_rect</f>
        <v>5.3760000000000002E-2</v>
      </c>
      <c r="BT71" s="97">
        <f t="shared" ref="BT71:BT102" si="120">CHOOSE(BC71,(AY71+Vd_rect)*Qrr*Fsw,(AY71+Vd_rect)*Qrr*Fsw)</f>
        <v>0.75525000000000009</v>
      </c>
      <c r="BU71" s="100">
        <f t="shared" si="53"/>
        <v>0.80901000000000012</v>
      </c>
      <c r="BV71" s="99">
        <f t="shared" si="54"/>
        <v>0</v>
      </c>
      <c r="BW71" s="97">
        <f t="shared" ref="BW71:BW102" si="121">Qg_tot*Vcc*Fsw</f>
        <v>8.7499999999999994E-2</v>
      </c>
      <c r="BX71" s="100">
        <f t="shared" ref="BX71:BX102" si="122">IQ*BA71</f>
        <v>1.155E-2</v>
      </c>
      <c r="BY71" s="99">
        <f t="shared" si="55"/>
        <v>1.6050449168367866</v>
      </c>
      <c r="BZ71" s="97">
        <f t="shared" si="56"/>
        <v>7.68</v>
      </c>
      <c r="CA71" s="100">
        <f t="shared" si="57"/>
        <v>82.713654794212971</v>
      </c>
      <c r="CB71" s="51">
        <f t="shared" si="58"/>
        <v>0.7917701668367868</v>
      </c>
      <c r="CC71" s="32">
        <f t="shared" ref="CC71:CC102" si="123">Ta+Tk_f*CB71</f>
        <v>52.71195583928754</v>
      </c>
    </row>
    <row r="72" spans="17:81" x14ac:dyDescent="0.3">
      <c r="Q72" s="32">
        <v>65</v>
      </c>
      <c r="S72" s="99">
        <f t="shared" si="89"/>
        <v>60</v>
      </c>
      <c r="T72" s="97">
        <f t="shared" ref="T72:T135" si="124">Q72*$O$12</f>
        <v>0.13</v>
      </c>
      <c r="U72" s="97">
        <f t="shared" si="90"/>
        <v>15</v>
      </c>
      <c r="V72" s="100">
        <f t="shared" si="91"/>
        <v>0.65</v>
      </c>
      <c r="W72" s="99">
        <f t="shared" si="92"/>
        <v>2</v>
      </c>
      <c r="X72" s="97">
        <f t="shared" si="93"/>
        <v>0.75</v>
      </c>
      <c r="Y72" s="100">
        <f t="shared" si="94"/>
        <v>0.25</v>
      </c>
      <c r="Z72" s="99">
        <f t="shared" si="95"/>
        <v>0.45000000000000007</v>
      </c>
      <c r="AA72" s="97">
        <f t="shared" ref="AA72:AA135" si="125">CHOOSE(W72,Z72,V72+(0.5*Z72))</f>
        <v>0.875</v>
      </c>
      <c r="AB72" s="97">
        <f t="shared" ref="AB72:AB135" si="126">CHOOSE(W72,AA72*SQRT((X72+Y72)/3),SQRT((V72^2)+((Z72^2)/12)))</f>
        <v>0.66285367917814264</v>
      </c>
      <c r="AC72" s="97">
        <v>0</v>
      </c>
      <c r="AD72" s="97">
        <f t="shared" si="96"/>
        <v>4.393750000000001E-3</v>
      </c>
      <c r="AE72" s="100">
        <f t="shared" ref="AE72:AE135" si="127">AC72+AD72</f>
        <v>4.393750000000001E-3</v>
      </c>
      <c r="AF72" s="99">
        <f t="shared" si="97"/>
        <v>0.48750000000000004</v>
      </c>
      <c r="AG72" s="97">
        <f t="shared" si="98"/>
        <v>0.57404812516025161</v>
      </c>
      <c r="AH72" s="97">
        <f t="shared" si="99"/>
        <v>1.7077305291666664E-2</v>
      </c>
      <c r="AI72" s="97">
        <f t="shared" ref="AI72:AI103" si="128">((S72*V72)/2)*Fsw*(tr_sw_fix+tf_sw_fix)</f>
        <v>0.6825</v>
      </c>
      <c r="AJ72" s="100">
        <f t="shared" ref="AJ72:AJ135" si="129">AH72+AI72</f>
        <v>0.69957730529166662</v>
      </c>
      <c r="AK72" s="99">
        <f t="shared" si="100"/>
        <v>0.16250000000000001</v>
      </c>
      <c r="AL72" s="97">
        <f t="shared" si="101"/>
        <v>0.33142683958907126</v>
      </c>
      <c r="AM72" s="97">
        <f t="shared" si="102"/>
        <v>5.4600000000000003E-2</v>
      </c>
      <c r="AN72" s="97">
        <f t="shared" si="103"/>
        <v>0.75525000000000009</v>
      </c>
      <c r="AO72" s="100">
        <f t="shared" ref="AO72:AO135" si="130">AM72+AN72</f>
        <v>0.80985000000000007</v>
      </c>
      <c r="AP72" s="99">
        <f t="shared" ref="AP72:AP135" si="131">(AG72^2)*0</f>
        <v>0</v>
      </c>
      <c r="AQ72" s="97">
        <f t="shared" si="104"/>
        <v>8.7499999999999994E-2</v>
      </c>
      <c r="AR72" s="100">
        <f t="shared" si="105"/>
        <v>1.155E-2</v>
      </c>
      <c r="AS72" s="99">
        <f t="shared" si="70"/>
        <v>0.79862730529166659</v>
      </c>
      <c r="AT72" s="215">
        <f t="shared" si="106"/>
        <v>72.917638317499993</v>
      </c>
      <c r="AU72" s="216">
        <f t="shared" si="107"/>
        <v>6.4940753484469788E-2</v>
      </c>
      <c r="AV72" s="97">
        <f t="shared" si="108"/>
        <v>7.8000000000000007</v>
      </c>
      <c r="AW72" s="100">
        <f t="shared" ref="AW72:AW135" si="132">(AV72/(AV72+AS72))*100</f>
        <v>90.712153499196489</v>
      </c>
      <c r="AX72" s="32"/>
      <c r="AY72" s="99">
        <f t="shared" si="109"/>
        <v>60</v>
      </c>
      <c r="AZ72" s="97">
        <f t="shared" si="110"/>
        <v>0.13</v>
      </c>
      <c r="BA72" s="97">
        <f t="shared" si="111"/>
        <v>15</v>
      </c>
      <c r="BB72" s="100">
        <f t="shared" si="112"/>
        <v>0.65</v>
      </c>
      <c r="BC72" s="99">
        <f t="shared" si="113"/>
        <v>2</v>
      </c>
      <c r="BD72" s="97">
        <f t="shared" si="114"/>
        <v>0.75</v>
      </c>
      <c r="BE72" s="100">
        <f t="shared" si="115"/>
        <v>0.25</v>
      </c>
      <c r="BF72" s="99">
        <f t="shared" si="116"/>
        <v>0.45000000000000007</v>
      </c>
      <c r="BG72" s="97">
        <f t="shared" si="60"/>
        <v>0.875</v>
      </c>
      <c r="BH72" s="97">
        <f t="shared" si="61"/>
        <v>0.66285367917814264</v>
      </c>
      <c r="BI72" s="97">
        <v>0</v>
      </c>
      <c r="BJ72" s="97">
        <f t="shared" si="117"/>
        <v>4.393750000000001E-3</v>
      </c>
      <c r="BK72" s="100">
        <f t="shared" ref="BK72:BK135" si="133">BI72+BJ72</f>
        <v>4.393750000000001E-3</v>
      </c>
      <c r="BL72" s="99">
        <f t="shared" si="59"/>
        <v>0.48750000000000004</v>
      </c>
      <c r="BM72" s="97">
        <f t="shared" ref="BM72:BM135" si="134">CHOOSE(BC72,BG72*SQRT(BD72/3),SQRT(BD72*((BG72^2)+((BF72^2)/3)-(BG72*BF72))))</f>
        <v>0.57404812516025161</v>
      </c>
      <c r="BN72" s="97">
        <f t="shared" ref="BN72:BN135" si="135">(BM72^2)*AU72</f>
        <v>2.1400007671679176E-2</v>
      </c>
      <c r="BO72" s="97">
        <f t="shared" ref="BO72:BO103" si="136">((AY72*BB72)/2)*Fsw*(tr_sw_fix+tf_sw_fix)</f>
        <v>0.6825</v>
      </c>
      <c r="BP72" s="100">
        <f t="shared" ref="BP72:BP135" si="137">BN72+BO72</f>
        <v>0.70390000767167915</v>
      </c>
      <c r="BQ72" s="99">
        <f t="shared" ref="BQ72:BQ135" si="138">BE72*BB72</f>
        <v>0.16250000000000001</v>
      </c>
      <c r="BR72" s="97">
        <f t="shared" si="118"/>
        <v>0.33142683958907126</v>
      </c>
      <c r="BS72" s="97">
        <f t="shared" si="119"/>
        <v>5.4600000000000003E-2</v>
      </c>
      <c r="BT72" s="97">
        <f t="shared" si="120"/>
        <v>0.75525000000000009</v>
      </c>
      <c r="BU72" s="100">
        <f t="shared" ref="BU72:BU135" si="139">BS72+BT72</f>
        <v>0.80985000000000007</v>
      </c>
      <c r="BV72" s="99">
        <f t="shared" ref="BV72:BV135" si="140">(BM72^2)*0</f>
        <v>0</v>
      </c>
      <c r="BW72" s="97">
        <f t="shared" si="121"/>
        <v>8.7499999999999994E-2</v>
      </c>
      <c r="BX72" s="100">
        <f t="shared" si="122"/>
        <v>1.155E-2</v>
      </c>
      <c r="BY72" s="99">
        <f t="shared" ref="BY72:BY135" si="141">BV72+BU72+BP72+BK72+BW72+BX72</f>
        <v>1.6171937576716791</v>
      </c>
      <c r="BZ72" s="97">
        <f t="shared" ref="BZ72:BZ135" si="142">AY72*AZ72</f>
        <v>7.8000000000000007</v>
      </c>
      <c r="CA72" s="100">
        <f t="shared" ref="CA72:CA135" si="143">(BZ72/(BZ72+BY72))*100</f>
        <v>82.827222214109824</v>
      </c>
      <c r="CB72" s="51">
        <f t="shared" ref="CB72:CB135" si="144">BP72+BW72+BX72+BV72</f>
        <v>0.80295000767167912</v>
      </c>
      <c r="CC72" s="32">
        <f t="shared" si="123"/>
        <v>53.103250268508774</v>
      </c>
    </row>
    <row r="73" spans="17:81" x14ac:dyDescent="0.3">
      <c r="Q73" s="32">
        <v>66</v>
      </c>
      <c r="S73" s="99">
        <f t="shared" si="89"/>
        <v>60</v>
      </c>
      <c r="T73" s="97">
        <f t="shared" si="124"/>
        <v>0.13200000000000001</v>
      </c>
      <c r="U73" s="97">
        <f t="shared" si="90"/>
        <v>15</v>
      </c>
      <c r="V73" s="100">
        <f t="shared" si="91"/>
        <v>0.66</v>
      </c>
      <c r="W73" s="99">
        <f t="shared" si="92"/>
        <v>2</v>
      </c>
      <c r="X73" s="97">
        <f t="shared" si="93"/>
        <v>0.75</v>
      </c>
      <c r="Y73" s="100">
        <f t="shared" si="94"/>
        <v>0.25</v>
      </c>
      <c r="Z73" s="99">
        <f t="shared" si="95"/>
        <v>0.45000000000000007</v>
      </c>
      <c r="AA73" s="97">
        <f t="shared" si="125"/>
        <v>0.88500000000000001</v>
      </c>
      <c r="AB73" s="97">
        <f t="shared" si="126"/>
        <v>0.67266261974335995</v>
      </c>
      <c r="AC73" s="97">
        <v>0</v>
      </c>
      <c r="AD73" s="97">
        <f t="shared" si="96"/>
        <v>4.524750000000001E-3</v>
      </c>
      <c r="AE73" s="100">
        <f t="shared" si="127"/>
        <v>4.524750000000001E-3</v>
      </c>
      <c r="AF73" s="99">
        <f t="shared" si="97"/>
        <v>0.495</v>
      </c>
      <c r="AG73" s="97">
        <f t="shared" si="98"/>
        <v>0.58254291687394155</v>
      </c>
      <c r="AH73" s="97">
        <f t="shared" si="99"/>
        <v>1.7586466485000004E-2</v>
      </c>
      <c r="AI73" s="97">
        <f t="shared" si="128"/>
        <v>0.69299999999999995</v>
      </c>
      <c r="AJ73" s="100">
        <f t="shared" si="129"/>
        <v>0.7105864664849999</v>
      </c>
      <c r="AK73" s="99">
        <f t="shared" si="100"/>
        <v>0.16500000000000001</v>
      </c>
      <c r="AL73" s="97">
        <f t="shared" si="101"/>
        <v>0.33633130987167997</v>
      </c>
      <c r="AM73" s="97">
        <f t="shared" si="102"/>
        <v>5.5440000000000003E-2</v>
      </c>
      <c r="AN73" s="97">
        <f t="shared" si="103"/>
        <v>0.75525000000000009</v>
      </c>
      <c r="AO73" s="100">
        <f t="shared" si="130"/>
        <v>0.81069000000000013</v>
      </c>
      <c r="AP73" s="99">
        <f t="shared" si="131"/>
        <v>0</v>
      </c>
      <c r="AQ73" s="97">
        <f t="shared" si="104"/>
        <v>8.7499999999999994E-2</v>
      </c>
      <c r="AR73" s="100">
        <f t="shared" si="105"/>
        <v>1.155E-2</v>
      </c>
      <c r="AS73" s="99">
        <f t="shared" si="70"/>
        <v>0.80963646648499987</v>
      </c>
      <c r="AT73" s="215">
        <f t="shared" si="106"/>
        <v>73.578187989100002</v>
      </c>
      <c r="AU73" s="216">
        <f t="shared" si="107"/>
        <v>6.5101999237282354E-2</v>
      </c>
      <c r="AV73" s="97">
        <f t="shared" si="108"/>
        <v>7.92</v>
      </c>
      <c r="AW73" s="100">
        <f t="shared" si="132"/>
        <v>90.725427460887147</v>
      </c>
      <c r="AX73" s="32"/>
      <c r="AY73" s="99">
        <f t="shared" si="109"/>
        <v>60</v>
      </c>
      <c r="AZ73" s="97">
        <f t="shared" si="110"/>
        <v>0.13200000000000001</v>
      </c>
      <c r="BA73" s="97">
        <f t="shared" si="111"/>
        <v>15</v>
      </c>
      <c r="BB73" s="100">
        <f t="shared" si="112"/>
        <v>0.66</v>
      </c>
      <c r="BC73" s="99">
        <f t="shared" si="113"/>
        <v>2</v>
      </c>
      <c r="BD73" s="97">
        <f t="shared" si="114"/>
        <v>0.75</v>
      </c>
      <c r="BE73" s="100">
        <f t="shared" si="115"/>
        <v>0.25</v>
      </c>
      <c r="BF73" s="99">
        <f t="shared" si="116"/>
        <v>0.45000000000000007</v>
      </c>
      <c r="BG73" s="97">
        <f t="shared" si="60"/>
        <v>0.88500000000000001</v>
      </c>
      <c r="BH73" s="97">
        <f t="shared" si="61"/>
        <v>0.67266261974335995</v>
      </c>
      <c r="BI73" s="97">
        <v>0</v>
      </c>
      <c r="BJ73" s="97">
        <f t="shared" si="117"/>
        <v>4.524750000000001E-3</v>
      </c>
      <c r="BK73" s="100">
        <f t="shared" si="133"/>
        <v>4.524750000000001E-3</v>
      </c>
      <c r="BL73" s="99">
        <f t="shared" ref="BL73:BL136" si="145">BB73*BD73</f>
        <v>0.495</v>
      </c>
      <c r="BM73" s="97">
        <f t="shared" si="134"/>
        <v>0.58254291687394155</v>
      </c>
      <c r="BN73" s="97">
        <f t="shared" si="135"/>
        <v>2.2092770328666998E-2</v>
      </c>
      <c r="BO73" s="97">
        <f t="shared" si="136"/>
        <v>0.69299999999999995</v>
      </c>
      <c r="BP73" s="100">
        <f t="shared" si="137"/>
        <v>0.71509277032866692</v>
      </c>
      <c r="BQ73" s="99">
        <f t="shared" si="138"/>
        <v>0.16500000000000001</v>
      </c>
      <c r="BR73" s="97">
        <f t="shared" si="118"/>
        <v>0.33633130987167997</v>
      </c>
      <c r="BS73" s="97">
        <f t="shared" si="119"/>
        <v>5.5440000000000003E-2</v>
      </c>
      <c r="BT73" s="97">
        <f t="shared" si="120"/>
        <v>0.75525000000000009</v>
      </c>
      <c r="BU73" s="100">
        <f t="shared" si="139"/>
        <v>0.81069000000000013</v>
      </c>
      <c r="BV73" s="99">
        <f t="shared" si="140"/>
        <v>0</v>
      </c>
      <c r="BW73" s="97">
        <f t="shared" si="121"/>
        <v>8.7499999999999994E-2</v>
      </c>
      <c r="BX73" s="100">
        <f t="shared" si="122"/>
        <v>1.155E-2</v>
      </c>
      <c r="BY73" s="99">
        <f t="shared" si="141"/>
        <v>1.629357520328667</v>
      </c>
      <c r="BZ73" s="97">
        <f t="shared" si="142"/>
        <v>7.92</v>
      </c>
      <c r="CA73" s="100">
        <f t="shared" si="143"/>
        <v>82.937516823931972</v>
      </c>
      <c r="CB73" s="51">
        <f t="shared" si="144"/>
        <v>0.81414277032866689</v>
      </c>
      <c r="CC73" s="32">
        <f t="shared" si="123"/>
        <v>53.49499696150334</v>
      </c>
    </row>
    <row r="74" spans="17:81" x14ac:dyDescent="0.3">
      <c r="Q74" s="32">
        <v>67</v>
      </c>
      <c r="S74" s="99">
        <f t="shared" si="89"/>
        <v>60</v>
      </c>
      <c r="T74" s="97">
        <f t="shared" si="124"/>
        <v>0.13400000000000001</v>
      </c>
      <c r="U74" s="97">
        <f t="shared" si="90"/>
        <v>15</v>
      </c>
      <c r="V74" s="100">
        <f t="shared" si="91"/>
        <v>0.67</v>
      </c>
      <c r="W74" s="99">
        <f t="shared" si="92"/>
        <v>2</v>
      </c>
      <c r="X74" s="97">
        <f t="shared" si="93"/>
        <v>0.75</v>
      </c>
      <c r="Y74" s="100">
        <f t="shared" si="94"/>
        <v>0.25</v>
      </c>
      <c r="Z74" s="99">
        <f t="shared" si="95"/>
        <v>0.45000000000000007</v>
      </c>
      <c r="AA74" s="97">
        <f t="shared" si="125"/>
        <v>0.89500000000000002</v>
      </c>
      <c r="AB74" s="97">
        <f t="shared" si="126"/>
        <v>0.68247710584311916</v>
      </c>
      <c r="AC74" s="97">
        <v>0</v>
      </c>
      <c r="AD74" s="97">
        <f t="shared" si="96"/>
        <v>4.6577500000000004E-3</v>
      </c>
      <c r="AE74" s="100">
        <f t="shared" si="127"/>
        <v>4.6577500000000004E-3</v>
      </c>
      <c r="AF74" s="99">
        <f t="shared" si="97"/>
        <v>0.50250000000000006</v>
      </c>
      <c r="AG74" s="97">
        <f t="shared" si="98"/>
        <v>0.59104251116142226</v>
      </c>
      <c r="AH74" s="97">
        <f t="shared" si="99"/>
        <v>1.8103401131666669E-2</v>
      </c>
      <c r="AI74" s="97">
        <f t="shared" si="128"/>
        <v>0.70350000000000001</v>
      </c>
      <c r="AJ74" s="100">
        <f t="shared" si="129"/>
        <v>0.72160340113166666</v>
      </c>
      <c r="AK74" s="99">
        <f t="shared" si="100"/>
        <v>0.16750000000000001</v>
      </c>
      <c r="AL74" s="97">
        <f t="shared" si="101"/>
        <v>0.34123855292155952</v>
      </c>
      <c r="AM74" s="97">
        <f t="shared" si="102"/>
        <v>5.6280000000000004E-2</v>
      </c>
      <c r="AN74" s="97">
        <f t="shared" si="103"/>
        <v>0.75525000000000009</v>
      </c>
      <c r="AO74" s="100">
        <f t="shared" si="130"/>
        <v>0.81153000000000008</v>
      </c>
      <c r="AP74" s="99">
        <f t="shared" si="131"/>
        <v>0</v>
      </c>
      <c r="AQ74" s="97">
        <f t="shared" si="104"/>
        <v>8.7499999999999994E-2</v>
      </c>
      <c r="AR74" s="100">
        <f t="shared" si="105"/>
        <v>1.155E-2</v>
      </c>
      <c r="AS74" s="99">
        <f t="shared" si="70"/>
        <v>0.82065340113166663</v>
      </c>
      <c r="AT74" s="215">
        <f t="shared" si="106"/>
        <v>74.239204067900005</v>
      </c>
      <c r="AU74" s="216">
        <f t="shared" si="107"/>
        <v>6.5263358844030991E-2</v>
      </c>
      <c r="AV74" s="97">
        <f t="shared" si="108"/>
        <v>8.0400000000000009</v>
      </c>
      <c r="AW74" s="100">
        <f t="shared" si="132"/>
        <v>90.738229293261213</v>
      </c>
      <c r="AX74" s="32"/>
      <c r="AY74" s="99">
        <f t="shared" si="109"/>
        <v>60</v>
      </c>
      <c r="AZ74" s="97">
        <f t="shared" si="110"/>
        <v>0.13400000000000001</v>
      </c>
      <c r="BA74" s="97">
        <f t="shared" si="111"/>
        <v>15</v>
      </c>
      <c r="BB74" s="100">
        <f t="shared" si="112"/>
        <v>0.67</v>
      </c>
      <c r="BC74" s="99">
        <f t="shared" si="113"/>
        <v>2</v>
      </c>
      <c r="BD74" s="97">
        <f t="shared" si="114"/>
        <v>0.75</v>
      </c>
      <c r="BE74" s="100">
        <f t="shared" si="115"/>
        <v>0.25</v>
      </c>
      <c r="BF74" s="99">
        <f t="shared" si="116"/>
        <v>0.45000000000000007</v>
      </c>
      <c r="BG74" s="97">
        <f t="shared" si="60"/>
        <v>0.89500000000000002</v>
      </c>
      <c r="BH74" s="97">
        <f t="shared" si="61"/>
        <v>0.68247710584311916</v>
      </c>
      <c r="BI74" s="97">
        <v>0</v>
      </c>
      <c r="BJ74" s="97">
        <f t="shared" si="117"/>
        <v>4.6577500000000004E-3</v>
      </c>
      <c r="BK74" s="100">
        <f t="shared" si="133"/>
        <v>4.6577500000000004E-3</v>
      </c>
      <c r="BL74" s="99">
        <f t="shared" si="145"/>
        <v>0.50250000000000006</v>
      </c>
      <c r="BM74" s="97">
        <f t="shared" si="134"/>
        <v>0.59104251116142226</v>
      </c>
      <c r="BN74" s="97">
        <f t="shared" si="135"/>
        <v>2.2798530724183898E-2</v>
      </c>
      <c r="BO74" s="97">
        <f t="shared" si="136"/>
        <v>0.70350000000000001</v>
      </c>
      <c r="BP74" s="100">
        <f t="shared" si="137"/>
        <v>0.72629853072418393</v>
      </c>
      <c r="BQ74" s="99">
        <f t="shared" si="138"/>
        <v>0.16750000000000001</v>
      </c>
      <c r="BR74" s="97">
        <f t="shared" si="118"/>
        <v>0.34123855292155952</v>
      </c>
      <c r="BS74" s="97">
        <f t="shared" si="119"/>
        <v>5.6280000000000004E-2</v>
      </c>
      <c r="BT74" s="97">
        <f t="shared" si="120"/>
        <v>0.75525000000000009</v>
      </c>
      <c r="BU74" s="100">
        <f t="shared" si="139"/>
        <v>0.81153000000000008</v>
      </c>
      <c r="BV74" s="99">
        <f t="shared" si="140"/>
        <v>0</v>
      </c>
      <c r="BW74" s="97">
        <f t="shared" si="121"/>
        <v>8.7499999999999994E-2</v>
      </c>
      <c r="BX74" s="100">
        <f t="shared" si="122"/>
        <v>1.155E-2</v>
      </c>
      <c r="BY74" s="99">
        <f t="shared" si="141"/>
        <v>1.6415362807241838</v>
      </c>
      <c r="BZ74" s="97">
        <f t="shared" si="142"/>
        <v>8.0400000000000009</v>
      </c>
      <c r="CA74" s="100">
        <f t="shared" si="143"/>
        <v>83.04467149503472</v>
      </c>
      <c r="CB74" s="51">
        <f t="shared" si="144"/>
        <v>0.8253485307241839</v>
      </c>
      <c r="CC74" s="32">
        <f t="shared" si="123"/>
        <v>53.887198575346432</v>
      </c>
    </row>
    <row r="75" spans="17:81" x14ac:dyDescent="0.3">
      <c r="Q75" s="32">
        <v>68</v>
      </c>
      <c r="S75" s="99">
        <f t="shared" si="89"/>
        <v>60</v>
      </c>
      <c r="T75" s="97">
        <f t="shared" si="124"/>
        <v>0.13600000000000001</v>
      </c>
      <c r="U75" s="97">
        <f t="shared" si="90"/>
        <v>15</v>
      </c>
      <c r="V75" s="100">
        <f t="shared" si="91"/>
        <v>0.68</v>
      </c>
      <c r="W75" s="99">
        <f t="shared" si="92"/>
        <v>2</v>
      </c>
      <c r="X75" s="97">
        <f t="shared" si="93"/>
        <v>0.75</v>
      </c>
      <c r="Y75" s="100">
        <f t="shared" si="94"/>
        <v>0.25</v>
      </c>
      <c r="Z75" s="99">
        <f t="shared" si="95"/>
        <v>0.45000000000000007</v>
      </c>
      <c r="AA75" s="97">
        <f t="shared" si="125"/>
        <v>0.90500000000000003</v>
      </c>
      <c r="AB75" s="97">
        <f t="shared" si="126"/>
        <v>0.6922969016253071</v>
      </c>
      <c r="AC75" s="97">
        <v>0</v>
      </c>
      <c r="AD75" s="97">
        <f t="shared" si="96"/>
        <v>4.792750000000001E-3</v>
      </c>
      <c r="AE75" s="100">
        <f t="shared" si="127"/>
        <v>4.792750000000001E-3</v>
      </c>
      <c r="AF75" s="99">
        <f t="shared" si="97"/>
        <v>0.51</v>
      </c>
      <c r="AG75" s="97">
        <f t="shared" si="98"/>
        <v>0.59954670376877228</v>
      </c>
      <c r="AH75" s="97">
        <f t="shared" si="99"/>
        <v>1.8628109231666672E-2</v>
      </c>
      <c r="AI75" s="97">
        <f t="shared" si="128"/>
        <v>0.71400000000000008</v>
      </c>
      <c r="AJ75" s="100">
        <f t="shared" si="129"/>
        <v>0.73262810923166677</v>
      </c>
      <c r="AK75" s="99">
        <f t="shared" si="100"/>
        <v>0.17</v>
      </c>
      <c r="AL75" s="97">
        <f t="shared" si="101"/>
        <v>0.3461484508126535</v>
      </c>
      <c r="AM75" s="97">
        <f t="shared" si="102"/>
        <v>5.7120000000000004E-2</v>
      </c>
      <c r="AN75" s="97">
        <f t="shared" si="103"/>
        <v>0.75525000000000009</v>
      </c>
      <c r="AO75" s="100">
        <f t="shared" si="130"/>
        <v>0.81237000000000004</v>
      </c>
      <c r="AP75" s="99">
        <f t="shared" si="131"/>
        <v>0</v>
      </c>
      <c r="AQ75" s="97">
        <f t="shared" si="104"/>
        <v>8.7499999999999994E-2</v>
      </c>
      <c r="AR75" s="100">
        <f t="shared" si="105"/>
        <v>1.155E-2</v>
      </c>
      <c r="AS75" s="99">
        <f t="shared" si="70"/>
        <v>0.83167810923166674</v>
      </c>
      <c r="AT75" s="215">
        <f t="shared" si="106"/>
        <v>74.900686553900002</v>
      </c>
      <c r="AU75" s="216">
        <f t="shared" si="107"/>
        <v>6.5424832304715699E-2</v>
      </c>
      <c r="AV75" s="97">
        <f t="shared" si="108"/>
        <v>8.16</v>
      </c>
      <c r="AW75" s="100">
        <f t="shared" si="132"/>
        <v>90.750579601178202</v>
      </c>
      <c r="AX75" s="32"/>
      <c r="AY75" s="99">
        <f t="shared" si="109"/>
        <v>60</v>
      </c>
      <c r="AZ75" s="97">
        <f t="shared" si="110"/>
        <v>0.13600000000000001</v>
      </c>
      <c r="BA75" s="97">
        <f t="shared" si="111"/>
        <v>15</v>
      </c>
      <c r="BB75" s="100">
        <f t="shared" si="112"/>
        <v>0.68</v>
      </c>
      <c r="BC75" s="99">
        <f t="shared" si="113"/>
        <v>2</v>
      </c>
      <c r="BD75" s="97">
        <f t="shared" si="114"/>
        <v>0.75</v>
      </c>
      <c r="BE75" s="100">
        <f t="shared" si="115"/>
        <v>0.25</v>
      </c>
      <c r="BF75" s="99">
        <f t="shared" si="116"/>
        <v>0.45000000000000007</v>
      </c>
      <c r="BG75" s="97">
        <f t="shared" si="60"/>
        <v>0.90500000000000003</v>
      </c>
      <c r="BH75" s="97">
        <f t="shared" si="61"/>
        <v>0.6922969016253071</v>
      </c>
      <c r="BI75" s="97">
        <v>0</v>
      </c>
      <c r="BJ75" s="97">
        <f t="shared" si="117"/>
        <v>4.792750000000001E-3</v>
      </c>
      <c r="BK75" s="100">
        <f t="shared" si="133"/>
        <v>4.792750000000001E-3</v>
      </c>
      <c r="BL75" s="99">
        <f t="shared" si="145"/>
        <v>0.51</v>
      </c>
      <c r="BM75" s="97">
        <f t="shared" si="134"/>
        <v>0.59954670376877228</v>
      </c>
      <c r="BN75" s="97">
        <f t="shared" si="135"/>
        <v>2.351736487713196E-2</v>
      </c>
      <c r="BO75" s="97">
        <f t="shared" si="136"/>
        <v>0.71400000000000008</v>
      </c>
      <c r="BP75" s="100">
        <f t="shared" si="137"/>
        <v>0.73751736487713204</v>
      </c>
      <c r="BQ75" s="99">
        <f t="shared" si="138"/>
        <v>0.17</v>
      </c>
      <c r="BR75" s="97">
        <f t="shared" si="118"/>
        <v>0.3461484508126535</v>
      </c>
      <c r="BS75" s="97">
        <f t="shared" si="119"/>
        <v>5.7120000000000004E-2</v>
      </c>
      <c r="BT75" s="97">
        <f t="shared" si="120"/>
        <v>0.75525000000000009</v>
      </c>
      <c r="BU75" s="100">
        <f t="shared" si="139"/>
        <v>0.81237000000000004</v>
      </c>
      <c r="BV75" s="99">
        <f t="shared" si="140"/>
        <v>0</v>
      </c>
      <c r="BW75" s="97">
        <f t="shared" si="121"/>
        <v>8.7499999999999994E-2</v>
      </c>
      <c r="BX75" s="100">
        <f t="shared" si="122"/>
        <v>1.155E-2</v>
      </c>
      <c r="BY75" s="99">
        <f t="shared" si="141"/>
        <v>1.653730114877132</v>
      </c>
      <c r="BZ75" s="97">
        <f t="shared" si="142"/>
        <v>8.16</v>
      </c>
      <c r="CA75" s="100">
        <f t="shared" si="143"/>
        <v>83.14881196528772</v>
      </c>
      <c r="CB75" s="51">
        <f t="shared" si="144"/>
        <v>0.83656736487713201</v>
      </c>
      <c r="CC75" s="32">
        <f t="shared" si="123"/>
        <v>54.279857770699621</v>
      </c>
    </row>
    <row r="76" spans="17:81" x14ac:dyDescent="0.3">
      <c r="Q76" s="32">
        <v>69</v>
      </c>
      <c r="S76" s="99">
        <f t="shared" si="89"/>
        <v>60</v>
      </c>
      <c r="T76" s="97">
        <f t="shared" si="124"/>
        <v>0.13800000000000001</v>
      </c>
      <c r="U76" s="97">
        <f t="shared" si="90"/>
        <v>15</v>
      </c>
      <c r="V76" s="100">
        <f t="shared" si="91"/>
        <v>0.69000000000000006</v>
      </c>
      <c r="W76" s="99">
        <f t="shared" si="92"/>
        <v>2</v>
      </c>
      <c r="X76" s="97">
        <f t="shared" si="93"/>
        <v>0.75</v>
      </c>
      <c r="Y76" s="100">
        <f t="shared" si="94"/>
        <v>0.25</v>
      </c>
      <c r="Z76" s="99">
        <f t="shared" si="95"/>
        <v>0.45000000000000007</v>
      </c>
      <c r="AA76" s="97">
        <f t="shared" si="125"/>
        <v>0.91500000000000004</v>
      </c>
      <c r="AB76" s="97">
        <f t="shared" si="126"/>
        <v>0.70212178430810712</v>
      </c>
      <c r="AC76" s="97">
        <v>0</v>
      </c>
      <c r="AD76" s="97">
        <f t="shared" si="96"/>
        <v>4.929750000000001E-3</v>
      </c>
      <c r="AE76" s="100">
        <f t="shared" si="127"/>
        <v>4.929750000000001E-3</v>
      </c>
      <c r="AF76" s="99">
        <f t="shared" si="97"/>
        <v>0.51750000000000007</v>
      </c>
      <c r="AG76" s="97">
        <f t="shared" si="98"/>
        <v>0.60805530176127898</v>
      </c>
      <c r="AH76" s="97">
        <f t="shared" si="99"/>
        <v>1.9160590785000008E-2</v>
      </c>
      <c r="AI76" s="97">
        <f t="shared" si="128"/>
        <v>0.72450000000000003</v>
      </c>
      <c r="AJ76" s="100">
        <f t="shared" si="129"/>
        <v>0.74366059078500002</v>
      </c>
      <c r="AK76" s="99">
        <f t="shared" si="100"/>
        <v>0.17250000000000001</v>
      </c>
      <c r="AL76" s="97">
        <f t="shared" si="101"/>
        <v>0.35106089215405356</v>
      </c>
      <c r="AM76" s="97">
        <f t="shared" si="102"/>
        <v>5.7960000000000005E-2</v>
      </c>
      <c r="AN76" s="97">
        <f t="shared" si="103"/>
        <v>0.75525000000000009</v>
      </c>
      <c r="AO76" s="100">
        <f t="shared" si="130"/>
        <v>0.8132100000000001</v>
      </c>
      <c r="AP76" s="99">
        <f t="shared" si="131"/>
        <v>0</v>
      </c>
      <c r="AQ76" s="97">
        <f t="shared" si="104"/>
        <v>8.7499999999999994E-2</v>
      </c>
      <c r="AR76" s="100">
        <f t="shared" si="105"/>
        <v>1.155E-2</v>
      </c>
      <c r="AS76" s="99">
        <f t="shared" si="70"/>
        <v>0.84271059078499999</v>
      </c>
      <c r="AT76" s="215">
        <f t="shared" si="106"/>
        <v>75.562635447100007</v>
      </c>
      <c r="AU76" s="216">
        <f t="shared" si="107"/>
        <v>6.5586419619336478E-2</v>
      </c>
      <c r="AV76" s="97">
        <f t="shared" si="108"/>
        <v>8.2800000000000011</v>
      </c>
      <c r="AW76" s="100">
        <f t="shared" si="132"/>
        <v>90.762497808094054</v>
      </c>
      <c r="AX76" s="32"/>
      <c r="AY76" s="99">
        <f t="shared" si="109"/>
        <v>60</v>
      </c>
      <c r="AZ76" s="97">
        <f t="shared" si="110"/>
        <v>0.13800000000000001</v>
      </c>
      <c r="BA76" s="97">
        <f t="shared" si="111"/>
        <v>15</v>
      </c>
      <c r="BB76" s="100">
        <f t="shared" si="112"/>
        <v>0.69000000000000006</v>
      </c>
      <c r="BC76" s="99">
        <f t="shared" si="113"/>
        <v>2</v>
      </c>
      <c r="BD76" s="97">
        <f t="shared" si="114"/>
        <v>0.75</v>
      </c>
      <c r="BE76" s="100">
        <f t="shared" si="115"/>
        <v>0.25</v>
      </c>
      <c r="BF76" s="99">
        <f t="shared" si="116"/>
        <v>0.45000000000000007</v>
      </c>
      <c r="BG76" s="97">
        <f t="shared" si="60"/>
        <v>0.91500000000000004</v>
      </c>
      <c r="BH76" s="97">
        <f t="shared" si="61"/>
        <v>0.70212178430810712</v>
      </c>
      <c r="BI76" s="97">
        <v>0</v>
      </c>
      <c r="BJ76" s="97">
        <f t="shared" si="117"/>
        <v>4.929750000000001E-3</v>
      </c>
      <c r="BK76" s="100">
        <f t="shared" si="133"/>
        <v>4.929750000000001E-3</v>
      </c>
      <c r="BL76" s="99">
        <f t="shared" si="145"/>
        <v>0.51750000000000007</v>
      </c>
      <c r="BM76" s="97">
        <f t="shared" si="134"/>
        <v>0.60805530176127898</v>
      </c>
      <c r="BN76" s="97">
        <f t="shared" si="135"/>
        <v>2.42493489088818E-2</v>
      </c>
      <c r="BO76" s="97">
        <f t="shared" si="136"/>
        <v>0.72450000000000003</v>
      </c>
      <c r="BP76" s="100">
        <f t="shared" si="137"/>
        <v>0.74874934890888178</v>
      </c>
      <c r="BQ76" s="99">
        <f t="shared" si="138"/>
        <v>0.17250000000000001</v>
      </c>
      <c r="BR76" s="97">
        <f t="shared" si="118"/>
        <v>0.35106089215405356</v>
      </c>
      <c r="BS76" s="97">
        <f t="shared" si="119"/>
        <v>5.7960000000000005E-2</v>
      </c>
      <c r="BT76" s="97">
        <f t="shared" si="120"/>
        <v>0.75525000000000009</v>
      </c>
      <c r="BU76" s="100">
        <f t="shared" si="139"/>
        <v>0.8132100000000001</v>
      </c>
      <c r="BV76" s="99">
        <f t="shared" si="140"/>
        <v>0</v>
      </c>
      <c r="BW76" s="97">
        <f t="shared" si="121"/>
        <v>8.7499999999999994E-2</v>
      </c>
      <c r="BX76" s="100">
        <f t="shared" si="122"/>
        <v>1.155E-2</v>
      </c>
      <c r="BY76" s="99">
        <f t="shared" si="141"/>
        <v>1.6659390989088818</v>
      </c>
      <c r="BZ76" s="97">
        <f t="shared" si="142"/>
        <v>8.2800000000000011</v>
      </c>
      <c r="CA76" s="100">
        <f t="shared" si="143"/>
        <v>83.250057311414224</v>
      </c>
      <c r="CB76" s="51">
        <f t="shared" si="144"/>
        <v>0.84779934890888176</v>
      </c>
      <c r="CC76" s="32">
        <f t="shared" si="123"/>
        <v>54.67297721181086</v>
      </c>
    </row>
    <row r="77" spans="17:81" x14ac:dyDescent="0.3">
      <c r="Q77" s="32">
        <v>70</v>
      </c>
      <c r="S77" s="99">
        <f t="shared" si="89"/>
        <v>60</v>
      </c>
      <c r="T77" s="97">
        <f t="shared" si="124"/>
        <v>0.14000000000000001</v>
      </c>
      <c r="U77" s="97">
        <f t="shared" si="90"/>
        <v>15</v>
      </c>
      <c r="V77" s="100">
        <f t="shared" si="91"/>
        <v>0.70000000000000007</v>
      </c>
      <c r="W77" s="99">
        <f t="shared" si="92"/>
        <v>2</v>
      </c>
      <c r="X77" s="97">
        <f t="shared" si="93"/>
        <v>0.75</v>
      </c>
      <c r="Y77" s="100">
        <f t="shared" si="94"/>
        <v>0.25</v>
      </c>
      <c r="Z77" s="99">
        <f t="shared" si="95"/>
        <v>0.45000000000000007</v>
      </c>
      <c r="AA77" s="97">
        <f t="shared" si="125"/>
        <v>0.92500000000000004</v>
      </c>
      <c r="AB77" s="97">
        <f t="shared" si="126"/>
        <v>0.71195154329490717</v>
      </c>
      <c r="AC77" s="97">
        <v>0</v>
      </c>
      <c r="AD77" s="97">
        <f t="shared" si="96"/>
        <v>5.0687500000000012E-3</v>
      </c>
      <c r="AE77" s="100">
        <f t="shared" si="127"/>
        <v>5.0687500000000012E-3</v>
      </c>
      <c r="AF77" s="99">
        <f t="shared" si="97"/>
        <v>0.52500000000000002</v>
      </c>
      <c r="AG77" s="97">
        <f t="shared" si="98"/>
        <v>0.61656812275692618</v>
      </c>
      <c r="AH77" s="97">
        <f t="shared" si="99"/>
        <v>1.9700845791666671E-2</v>
      </c>
      <c r="AI77" s="97">
        <f t="shared" si="128"/>
        <v>0.7350000000000001</v>
      </c>
      <c r="AJ77" s="100">
        <f t="shared" si="129"/>
        <v>0.75470084579166674</v>
      </c>
      <c r="AK77" s="99">
        <f t="shared" si="100"/>
        <v>0.17500000000000002</v>
      </c>
      <c r="AL77" s="97">
        <f t="shared" si="101"/>
        <v>0.35597577164745353</v>
      </c>
      <c r="AM77" s="97">
        <f t="shared" si="102"/>
        <v>5.8800000000000005E-2</v>
      </c>
      <c r="AN77" s="97">
        <f t="shared" si="103"/>
        <v>0.75525000000000009</v>
      </c>
      <c r="AO77" s="100">
        <f t="shared" si="130"/>
        <v>0.81405000000000005</v>
      </c>
      <c r="AP77" s="99">
        <f t="shared" si="131"/>
        <v>0</v>
      </c>
      <c r="AQ77" s="97">
        <f t="shared" si="104"/>
        <v>8.7499999999999994E-2</v>
      </c>
      <c r="AR77" s="100">
        <f t="shared" si="105"/>
        <v>1.155E-2</v>
      </c>
      <c r="AS77" s="99">
        <f t="shared" si="70"/>
        <v>0.85375084579166671</v>
      </c>
      <c r="AT77" s="215">
        <f t="shared" si="106"/>
        <v>76.225050747500006</v>
      </c>
      <c r="AU77" s="216">
        <f t="shared" si="107"/>
        <v>6.5748120787893313E-2</v>
      </c>
      <c r="AV77" s="97">
        <f t="shared" si="108"/>
        <v>8.4</v>
      </c>
      <c r="AW77" s="100">
        <f t="shared" si="132"/>
        <v>90.774002239535889</v>
      </c>
      <c r="AX77" s="32"/>
      <c r="AY77" s="99">
        <f t="shared" si="109"/>
        <v>60</v>
      </c>
      <c r="AZ77" s="97">
        <f t="shared" si="110"/>
        <v>0.14000000000000001</v>
      </c>
      <c r="BA77" s="97">
        <f t="shared" si="111"/>
        <v>15</v>
      </c>
      <c r="BB77" s="100">
        <f t="shared" si="112"/>
        <v>0.70000000000000007</v>
      </c>
      <c r="BC77" s="99">
        <f t="shared" si="113"/>
        <v>2</v>
      </c>
      <c r="BD77" s="97">
        <f t="shared" si="114"/>
        <v>0.75</v>
      </c>
      <c r="BE77" s="100">
        <f t="shared" si="115"/>
        <v>0.25</v>
      </c>
      <c r="BF77" s="99">
        <f t="shared" si="116"/>
        <v>0.45000000000000007</v>
      </c>
      <c r="BG77" s="97">
        <f t="shared" si="60"/>
        <v>0.92500000000000004</v>
      </c>
      <c r="BH77" s="97">
        <f t="shared" si="61"/>
        <v>0.71195154329490717</v>
      </c>
      <c r="BI77" s="97">
        <v>0</v>
      </c>
      <c r="BJ77" s="97">
        <f t="shared" si="117"/>
        <v>5.0687500000000012E-3</v>
      </c>
      <c r="BK77" s="100">
        <f t="shared" si="133"/>
        <v>5.0687500000000012E-3</v>
      </c>
      <c r="BL77" s="99">
        <f t="shared" si="145"/>
        <v>0.52500000000000002</v>
      </c>
      <c r="BM77" s="97">
        <f t="shared" si="134"/>
        <v>0.61656812275692618</v>
      </c>
      <c r="BN77" s="97">
        <f t="shared" si="135"/>
        <v>2.4994559043272566E-2</v>
      </c>
      <c r="BO77" s="97">
        <f t="shared" si="136"/>
        <v>0.7350000000000001</v>
      </c>
      <c r="BP77" s="100">
        <f t="shared" si="137"/>
        <v>0.75999455904327262</v>
      </c>
      <c r="BQ77" s="99">
        <f t="shared" si="138"/>
        <v>0.17500000000000002</v>
      </c>
      <c r="BR77" s="97">
        <f t="shared" si="118"/>
        <v>0.35597577164745353</v>
      </c>
      <c r="BS77" s="97">
        <f t="shared" si="119"/>
        <v>5.8800000000000005E-2</v>
      </c>
      <c r="BT77" s="97">
        <f t="shared" si="120"/>
        <v>0.75525000000000009</v>
      </c>
      <c r="BU77" s="100">
        <f t="shared" si="139"/>
        <v>0.81405000000000005</v>
      </c>
      <c r="BV77" s="99">
        <f t="shared" si="140"/>
        <v>0</v>
      </c>
      <c r="BW77" s="97">
        <f t="shared" si="121"/>
        <v>8.7499999999999994E-2</v>
      </c>
      <c r="BX77" s="100">
        <f t="shared" si="122"/>
        <v>1.155E-2</v>
      </c>
      <c r="BY77" s="99">
        <f t="shared" si="141"/>
        <v>1.6781633090432726</v>
      </c>
      <c r="BZ77" s="97">
        <f t="shared" si="142"/>
        <v>8.4</v>
      </c>
      <c r="CA77" s="100">
        <f t="shared" si="143"/>
        <v>83.348520384290325</v>
      </c>
      <c r="CB77" s="51">
        <f t="shared" si="144"/>
        <v>0.85904455904327259</v>
      </c>
      <c r="CC77" s="32">
        <f t="shared" si="123"/>
        <v>55.066559566514542</v>
      </c>
    </row>
    <row r="78" spans="17:81" x14ac:dyDescent="0.3">
      <c r="Q78" s="32">
        <v>71</v>
      </c>
      <c r="S78" s="99">
        <f t="shared" si="89"/>
        <v>60</v>
      </c>
      <c r="T78" s="97">
        <f t="shared" si="124"/>
        <v>0.14200000000000002</v>
      </c>
      <c r="U78" s="97">
        <f t="shared" si="90"/>
        <v>15</v>
      </c>
      <c r="V78" s="100">
        <f t="shared" si="91"/>
        <v>0.71000000000000008</v>
      </c>
      <c r="W78" s="99">
        <f t="shared" si="92"/>
        <v>2</v>
      </c>
      <c r="X78" s="97">
        <f t="shared" si="93"/>
        <v>0.75</v>
      </c>
      <c r="Y78" s="100">
        <f t="shared" si="94"/>
        <v>0.25</v>
      </c>
      <c r="Z78" s="99">
        <f t="shared" si="95"/>
        <v>0.45000000000000007</v>
      </c>
      <c r="AA78" s="97">
        <f t="shared" si="125"/>
        <v>0.93500000000000005</v>
      </c>
      <c r="AB78" s="97">
        <f t="shared" si="126"/>
        <v>0.72178597935953293</v>
      </c>
      <c r="AC78" s="97">
        <v>0</v>
      </c>
      <c r="AD78" s="97">
        <f t="shared" si="96"/>
        <v>5.2097500000000008E-3</v>
      </c>
      <c r="AE78" s="100">
        <f t="shared" si="127"/>
        <v>5.2097500000000008E-3</v>
      </c>
      <c r="AF78" s="99">
        <f t="shared" si="97"/>
        <v>0.53250000000000008</v>
      </c>
      <c r="AG78" s="97">
        <f t="shared" si="98"/>
        <v>0.62508499422078601</v>
      </c>
      <c r="AH78" s="97">
        <f t="shared" si="99"/>
        <v>2.0248874251666677E-2</v>
      </c>
      <c r="AI78" s="97">
        <f t="shared" si="128"/>
        <v>0.74549999999999994</v>
      </c>
      <c r="AJ78" s="100">
        <f t="shared" si="129"/>
        <v>0.7657488742516666</v>
      </c>
      <c r="AK78" s="99">
        <f t="shared" si="100"/>
        <v>0.17750000000000002</v>
      </c>
      <c r="AL78" s="97">
        <f t="shared" si="101"/>
        <v>0.36089298967976646</v>
      </c>
      <c r="AM78" s="97">
        <f t="shared" si="102"/>
        <v>5.9640000000000006E-2</v>
      </c>
      <c r="AN78" s="97">
        <f t="shared" si="103"/>
        <v>0.75525000000000009</v>
      </c>
      <c r="AO78" s="100">
        <f t="shared" si="130"/>
        <v>0.81489000000000011</v>
      </c>
      <c r="AP78" s="99">
        <f t="shared" si="131"/>
        <v>0</v>
      </c>
      <c r="AQ78" s="97">
        <f t="shared" si="104"/>
        <v>8.7499999999999994E-2</v>
      </c>
      <c r="AR78" s="100">
        <f t="shared" si="105"/>
        <v>1.155E-2</v>
      </c>
      <c r="AS78" s="99">
        <f t="shared" si="70"/>
        <v>0.86479887425166657</v>
      </c>
      <c r="AT78" s="215">
        <f t="shared" si="106"/>
        <v>76.887932455099985</v>
      </c>
      <c r="AU78" s="216">
        <f t="shared" si="107"/>
        <v>6.5909935810386219E-2</v>
      </c>
      <c r="AV78" s="97">
        <f t="shared" si="108"/>
        <v>8.5200000000000014</v>
      </c>
      <c r="AW78" s="100">
        <f t="shared" si="132"/>
        <v>90.785110199597909</v>
      </c>
      <c r="AX78" s="32"/>
      <c r="AY78" s="99">
        <f t="shared" si="109"/>
        <v>60</v>
      </c>
      <c r="AZ78" s="97">
        <f t="shared" si="110"/>
        <v>0.14200000000000002</v>
      </c>
      <c r="BA78" s="97">
        <f t="shared" si="111"/>
        <v>15</v>
      </c>
      <c r="BB78" s="100">
        <f t="shared" si="112"/>
        <v>0.71000000000000008</v>
      </c>
      <c r="BC78" s="99">
        <f t="shared" si="113"/>
        <v>2</v>
      </c>
      <c r="BD78" s="97">
        <f t="shared" si="114"/>
        <v>0.75</v>
      </c>
      <c r="BE78" s="100">
        <f t="shared" si="115"/>
        <v>0.25</v>
      </c>
      <c r="BF78" s="99">
        <f t="shared" si="116"/>
        <v>0.45000000000000007</v>
      </c>
      <c r="BG78" s="97">
        <f t="shared" si="60"/>
        <v>0.93500000000000005</v>
      </c>
      <c r="BH78" s="97">
        <f t="shared" si="61"/>
        <v>0.72178597935953293</v>
      </c>
      <c r="BI78" s="97">
        <v>0</v>
      </c>
      <c r="BJ78" s="97">
        <f t="shared" si="117"/>
        <v>5.2097500000000008E-3</v>
      </c>
      <c r="BK78" s="100">
        <f t="shared" si="133"/>
        <v>5.2097500000000008E-3</v>
      </c>
      <c r="BL78" s="99">
        <f t="shared" si="145"/>
        <v>0.53250000000000008</v>
      </c>
      <c r="BM78" s="97">
        <f t="shared" si="134"/>
        <v>0.62508499422078601</v>
      </c>
      <c r="BN78" s="97">
        <f t="shared" si="135"/>
        <v>2.5753071606611975E-2</v>
      </c>
      <c r="BO78" s="97">
        <f t="shared" si="136"/>
        <v>0.74549999999999994</v>
      </c>
      <c r="BP78" s="100">
        <f t="shared" si="137"/>
        <v>0.77125307160661194</v>
      </c>
      <c r="BQ78" s="99">
        <f t="shared" si="138"/>
        <v>0.17750000000000002</v>
      </c>
      <c r="BR78" s="97">
        <f t="shared" si="118"/>
        <v>0.36089298967976646</v>
      </c>
      <c r="BS78" s="97">
        <f t="shared" si="119"/>
        <v>5.9640000000000006E-2</v>
      </c>
      <c r="BT78" s="97">
        <f t="shared" si="120"/>
        <v>0.75525000000000009</v>
      </c>
      <c r="BU78" s="100">
        <f t="shared" si="139"/>
        <v>0.81489000000000011</v>
      </c>
      <c r="BV78" s="99">
        <f t="shared" si="140"/>
        <v>0</v>
      </c>
      <c r="BW78" s="97">
        <f t="shared" si="121"/>
        <v>8.7499999999999994E-2</v>
      </c>
      <c r="BX78" s="100">
        <f t="shared" si="122"/>
        <v>1.155E-2</v>
      </c>
      <c r="BY78" s="99">
        <f t="shared" si="141"/>
        <v>1.6904028216066118</v>
      </c>
      <c r="BZ78" s="97">
        <f t="shared" si="142"/>
        <v>8.5200000000000014</v>
      </c>
      <c r="CA78" s="100">
        <f t="shared" si="143"/>
        <v>83.444308210548868</v>
      </c>
      <c r="CB78" s="51">
        <f t="shared" si="144"/>
        <v>0.87030307160661191</v>
      </c>
      <c r="CC78" s="32">
        <f t="shared" si="123"/>
        <v>55.460607506231412</v>
      </c>
    </row>
    <row r="79" spans="17:81" x14ac:dyDescent="0.3">
      <c r="Q79" s="32">
        <v>72</v>
      </c>
      <c r="S79" s="99">
        <f t="shared" si="89"/>
        <v>60</v>
      </c>
      <c r="T79" s="97">
        <f t="shared" si="124"/>
        <v>0.14400000000000002</v>
      </c>
      <c r="U79" s="97">
        <f t="shared" si="90"/>
        <v>15</v>
      </c>
      <c r="V79" s="100">
        <f t="shared" si="91"/>
        <v>0.72000000000000008</v>
      </c>
      <c r="W79" s="99">
        <f t="shared" si="92"/>
        <v>2</v>
      </c>
      <c r="X79" s="97">
        <f t="shared" si="93"/>
        <v>0.75</v>
      </c>
      <c r="Y79" s="100">
        <f t="shared" si="94"/>
        <v>0.25</v>
      </c>
      <c r="Z79" s="99">
        <f t="shared" si="95"/>
        <v>0.45000000000000007</v>
      </c>
      <c r="AA79" s="97">
        <f t="shared" si="125"/>
        <v>0.94500000000000006</v>
      </c>
      <c r="AB79" s="97">
        <f t="shared" si="126"/>
        <v>0.731624903895432</v>
      </c>
      <c r="AC79" s="97">
        <v>0</v>
      </c>
      <c r="AD79" s="97">
        <f t="shared" si="96"/>
        <v>5.3527500000000007E-3</v>
      </c>
      <c r="AE79" s="100">
        <f t="shared" si="127"/>
        <v>5.3527500000000007E-3</v>
      </c>
      <c r="AF79" s="99">
        <f t="shared" si="97"/>
        <v>0.54</v>
      </c>
      <c r="AG79" s="97">
        <f t="shared" si="98"/>
        <v>0.63360575281479248</v>
      </c>
      <c r="AH79" s="97">
        <f t="shared" si="99"/>
        <v>2.0804676165000001E-2</v>
      </c>
      <c r="AI79" s="97">
        <f t="shared" si="128"/>
        <v>0.75600000000000001</v>
      </c>
      <c r="AJ79" s="100">
        <f t="shared" si="129"/>
        <v>0.77680467616500004</v>
      </c>
      <c r="AK79" s="99">
        <f t="shared" si="100"/>
        <v>0.18000000000000002</v>
      </c>
      <c r="AL79" s="97">
        <f t="shared" si="101"/>
        <v>0.36581245194771594</v>
      </c>
      <c r="AM79" s="97">
        <f t="shared" si="102"/>
        <v>6.0480000000000006E-2</v>
      </c>
      <c r="AN79" s="97">
        <f t="shared" si="103"/>
        <v>0.75525000000000009</v>
      </c>
      <c r="AO79" s="100">
        <f t="shared" si="130"/>
        <v>0.81573000000000007</v>
      </c>
      <c r="AP79" s="99">
        <f t="shared" si="131"/>
        <v>0</v>
      </c>
      <c r="AQ79" s="97">
        <f t="shared" si="104"/>
        <v>8.7499999999999994E-2</v>
      </c>
      <c r="AR79" s="100">
        <f t="shared" si="105"/>
        <v>1.155E-2</v>
      </c>
      <c r="AS79" s="99">
        <f t="shared" si="70"/>
        <v>0.87585467616500001</v>
      </c>
      <c r="AT79" s="215">
        <f t="shared" si="106"/>
        <v>77.551280569900001</v>
      </c>
      <c r="AU79" s="216">
        <f t="shared" si="107"/>
        <v>6.607186468681521E-2</v>
      </c>
      <c r="AV79" s="97">
        <f t="shared" si="108"/>
        <v>8.64</v>
      </c>
      <c r="AW79" s="100">
        <f t="shared" si="132"/>
        <v>90.795838041129272</v>
      </c>
      <c r="AX79" s="32"/>
      <c r="AY79" s="99">
        <f t="shared" si="109"/>
        <v>60</v>
      </c>
      <c r="AZ79" s="97">
        <f t="shared" si="110"/>
        <v>0.14400000000000002</v>
      </c>
      <c r="BA79" s="97">
        <f t="shared" si="111"/>
        <v>15</v>
      </c>
      <c r="BB79" s="100">
        <f t="shared" si="112"/>
        <v>0.72000000000000008</v>
      </c>
      <c r="BC79" s="99">
        <f t="shared" si="113"/>
        <v>2</v>
      </c>
      <c r="BD79" s="97">
        <f t="shared" si="114"/>
        <v>0.75</v>
      </c>
      <c r="BE79" s="100">
        <f t="shared" si="115"/>
        <v>0.25</v>
      </c>
      <c r="BF79" s="99">
        <f t="shared" si="116"/>
        <v>0.45000000000000007</v>
      </c>
      <c r="BG79" s="97">
        <f t="shared" si="60"/>
        <v>0.94500000000000006</v>
      </c>
      <c r="BH79" s="97">
        <f t="shared" si="61"/>
        <v>0.731624903895432</v>
      </c>
      <c r="BI79" s="97">
        <v>0</v>
      </c>
      <c r="BJ79" s="97">
        <f t="shared" si="117"/>
        <v>5.3527500000000007E-3</v>
      </c>
      <c r="BK79" s="100">
        <f t="shared" si="133"/>
        <v>5.3527500000000007E-3</v>
      </c>
      <c r="BL79" s="99">
        <f t="shared" si="145"/>
        <v>0.54</v>
      </c>
      <c r="BM79" s="97">
        <f t="shared" si="134"/>
        <v>0.63360575281479248</v>
      </c>
      <c r="BN79" s="97">
        <f t="shared" si="135"/>
        <v>2.6524963027676252E-2</v>
      </c>
      <c r="BO79" s="97">
        <f t="shared" si="136"/>
        <v>0.75600000000000001</v>
      </c>
      <c r="BP79" s="100">
        <f t="shared" si="137"/>
        <v>0.78252496302767627</v>
      </c>
      <c r="BQ79" s="99">
        <f t="shared" si="138"/>
        <v>0.18000000000000002</v>
      </c>
      <c r="BR79" s="97">
        <f t="shared" si="118"/>
        <v>0.36581245194771594</v>
      </c>
      <c r="BS79" s="97">
        <f t="shared" si="119"/>
        <v>6.0480000000000006E-2</v>
      </c>
      <c r="BT79" s="97">
        <f t="shared" si="120"/>
        <v>0.75525000000000009</v>
      </c>
      <c r="BU79" s="100">
        <f t="shared" si="139"/>
        <v>0.81573000000000007</v>
      </c>
      <c r="BV79" s="99">
        <f t="shared" si="140"/>
        <v>0</v>
      </c>
      <c r="BW79" s="97">
        <f t="shared" si="121"/>
        <v>8.7499999999999994E-2</v>
      </c>
      <c r="BX79" s="100">
        <f t="shared" si="122"/>
        <v>1.155E-2</v>
      </c>
      <c r="BY79" s="99">
        <f t="shared" si="141"/>
        <v>1.7026577130276761</v>
      </c>
      <c r="BZ79" s="97">
        <f t="shared" si="142"/>
        <v>8.64</v>
      </c>
      <c r="CA79" s="100">
        <f t="shared" si="143"/>
        <v>83.537522363492727</v>
      </c>
      <c r="CB79" s="51">
        <f t="shared" si="144"/>
        <v>0.88157496302767624</v>
      </c>
      <c r="CC79" s="32">
        <f t="shared" si="123"/>
        <v>55.855123705968666</v>
      </c>
    </row>
    <row r="80" spans="17:81" x14ac:dyDescent="0.3">
      <c r="Q80" s="32">
        <v>73</v>
      </c>
      <c r="S80" s="99">
        <f t="shared" si="89"/>
        <v>60</v>
      </c>
      <c r="T80" s="97">
        <f t="shared" si="124"/>
        <v>0.14599999999999999</v>
      </c>
      <c r="U80" s="97">
        <f t="shared" si="90"/>
        <v>15</v>
      </c>
      <c r="V80" s="100">
        <f t="shared" si="91"/>
        <v>0.73</v>
      </c>
      <c r="W80" s="99">
        <f t="shared" si="92"/>
        <v>2</v>
      </c>
      <c r="X80" s="97">
        <f t="shared" si="93"/>
        <v>0.75</v>
      </c>
      <c r="Y80" s="100">
        <f t="shared" si="94"/>
        <v>0.25</v>
      </c>
      <c r="Z80" s="99">
        <f t="shared" si="95"/>
        <v>0.45000000000000007</v>
      </c>
      <c r="AA80" s="97">
        <f t="shared" si="125"/>
        <v>0.95500000000000007</v>
      </c>
      <c r="AB80" s="97">
        <f t="shared" si="126"/>
        <v>0.74146813822307966</v>
      </c>
      <c r="AC80" s="97">
        <v>0</v>
      </c>
      <c r="AD80" s="97">
        <f t="shared" si="96"/>
        <v>5.49775E-3</v>
      </c>
      <c r="AE80" s="100">
        <f t="shared" si="127"/>
        <v>5.49775E-3</v>
      </c>
      <c r="AF80" s="99">
        <f t="shared" si="97"/>
        <v>0.54749999999999999</v>
      </c>
      <c r="AG80" s="97">
        <f t="shared" si="98"/>
        <v>0.64213024379793859</v>
      </c>
      <c r="AH80" s="97">
        <f t="shared" si="99"/>
        <v>2.1368251531666674E-2</v>
      </c>
      <c r="AI80" s="97">
        <f t="shared" si="128"/>
        <v>0.76649999999999996</v>
      </c>
      <c r="AJ80" s="100">
        <f t="shared" si="129"/>
        <v>0.78786825153166662</v>
      </c>
      <c r="AK80" s="99">
        <f t="shared" si="100"/>
        <v>0.1825</v>
      </c>
      <c r="AL80" s="97">
        <f t="shared" si="101"/>
        <v>0.37073406911153983</v>
      </c>
      <c r="AM80" s="97">
        <f t="shared" si="102"/>
        <v>6.1319999999999993E-2</v>
      </c>
      <c r="AN80" s="97">
        <f t="shared" si="103"/>
        <v>0.75525000000000009</v>
      </c>
      <c r="AO80" s="100">
        <f t="shared" si="130"/>
        <v>0.81657000000000013</v>
      </c>
      <c r="AP80" s="99">
        <f t="shared" si="131"/>
        <v>0</v>
      </c>
      <c r="AQ80" s="97">
        <f t="shared" si="104"/>
        <v>8.7499999999999994E-2</v>
      </c>
      <c r="AR80" s="100">
        <f t="shared" si="105"/>
        <v>1.155E-2</v>
      </c>
      <c r="AS80" s="99">
        <f t="shared" si="70"/>
        <v>0.88691825153166659</v>
      </c>
      <c r="AT80" s="215">
        <f t="shared" si="106"/>
        <v>78.215095091899997</v>
      </c>
      <c r="AU80" s="216">
        <f t="shared" si="107"/>
        <v>6.6233907417180257E-2</v>
      </c>
      <c r="AV80" s="97">
        <f t="shared" si="108"/>
        <v>8.76</v>
      </c>
      <c r="AW80" s="100">
        <f t="shared" si="132"/>
        <v>90.806201230213105</v>
      </c>
      <c r="AX80" s="32"/>
      <c r="AY80" s="99">
        <f t="shared" si="109"/>
        <v>60</v>
      </c>
      <c r="AZ80" s="97">
        <f t="shared" si="110"/>
        <v>0.14599999999999999</v>
      </c>
      <c r="BA80" s="97">
        <f t="shared" si="111"/>
        <v>15</v>
      </c>
      <c r="BB80" s="100">
        <f t="shared" si="112"/>
        <v>0.73</v>
      </c>
      <c r="BC80" s="99">
        <f t="shared" si="113"/>
        <v>2</v>
      </c>
      <c r="BD80" s="97">
        <f t="shared" si="114"/>
        <v>0.75</v>
      </c>
      <c r="BE80" s="100">
        <f t="shared" si="115"/>
        <v>0.25</v>
      </c>
      <c r="BF80" s="99">
        <f t="shared" si="116"/>
        <v>0.45000000000000007</v>
      </c>
      <c r="BG80" s="97">
        <f t="shared" ref="BG80:BG143" si="146">CHOOSE(BC80,BF80,BB80+(0.5*BF80))</f>
        <v>0.95500000000000007</v>
      </c>
      <c r="BH80" s="97">
        <f t="shared" ref="BH80:BH143" si="147">CHOOSE(BC80,BG80*SQRT((BD80+BE80)/3),SQRT((BB80^2)+((BF80^2)/12)))</f>
        <v>0.74146813822307966</v>
      </c>
      <c r="BI80" s="97">
        <v>0</v>
      </c>
      <c r="BJ80" s="97">
        <f t="shared" si="117"/>
        <v>5.49775E-3</v>
      </c>
      <c r="BK80" s="100">
        <f t="shared" si="133"/>
        <v>5.49775E-3</v>
      </c>
      <c r="BL80" s="99">
        <f t="shared" si="145"/>
        <v>0.54749999999999999</v>
      </c>
      <c r="BM80" s="97">
        <f t="shared" si="134"/>
        <v>0.64213024379793859</v>
      </c>
      <c r="BN80" s="97">
        <f t="shared" si="135"/>
        <v>2.7310309837710208E-2</v>
      </c>
      <c r="BO80" s="97">
        <f t="shared" si="136"/>
        <v>0.76649999999999996</v>
      </c>
      <c r="BP80" s="100">
        <f t="shared" si="137"/>
        <v>0.79381030983771017</v>
      </c>
      <c r="BQ80" s="99">
        <f t="shared" si="138"/>
        <v>0.1825</v>
      </c>
      <c r="BR80" s="97">
        <f t="shared" si="118"/>
        <v>0.37073406911153983</v>
      </c>
      <c r="BS80" s="97">
        <f t="shared" si="119"/>
        <v>6.1319999999999993E-2</v>
      </c>
      <c r="BT80" s="97">
        <f t="shared" si="120"/>
        <v>0.75525000000000009</v>
      </c>
      <c r="BU80" s="100">
        <f t="shared" si="139"/>
        <v>0.81657000000000013</v>
      </c>
      <c r="BV80" s="99">
        <f t="shared" si="140"/>
        <v>0</v>
      </c>
      <c r="BW80" s="97">
        <f t="shared" si="121"/>
        <v>8.7499999999999994E-2</v>
      </c>
      <c r="BX80" s="100">
        <f t="shared" si="122"/>
        <v>1.155E-2</v>
      </c>
      <c r="BY80" s="99">
        <f t="shared" si="141"/>
        <v>1.7149280598377101</v>
      </c>
      <c r="BZ80" s="97">
        <f t="shared" si="142"/>
        <v>8.76</v>
      </c>
      <c r="CA80" s="100">
        <f t="shared" si="143"/>
        <v>83.628259306018762</v>
      </c>
      <c r="CB80" s="51">
        <f t="shared" si="144"/>
        <v>0.89286030983771014</v>
      </c>
      <c r="CC80" s="32">
        <f t="shared" si="123"/>
        <v>56.250110844319856</v>
      </c>
    </row>
    <row r="81" spans="17:81" x14ac:dyDescent="0.3">
      <c r="Q81" s="32">
        <v>74</v>
      </c>
      <c r="S81" s="99">
        <f t="shared" si="89"/>
        <v>60</v>
      </c>
      <c r="T81" s="97">
        <f t="shared" si="124"/>
        <v>0.14799999999999999</v>
      </c>
      <c r="U81" s="97">
        <f t="shared" si="90"/>
        <v>15</v>
      </c>
      <c r="V81" s="100">
        <f t="shared" si="91"/>
        <v>0.73999999999999988</v>
      </c>
      <c r="W81" s="99">
        <f t="shared" si="92"/>
        <v>2</v>
      </c>
      <c r="X81" s="97">
        <f t="shared" si="93"/>
        <v>0.75</v>
      </c>
      <c r="Y81" s="100">
        <f t="shared" si="94"/>
        <v>0.25</v>
      </c>
      <c r="Z81" s="99">
        <f t="shared" si="95"/>
        <v>0.45000000000000007</v>
      </c>
      <c r="AA81" s="97">
        <f t="shared" si="125"/>
        <v>0.96499999999999986</v>
      </c>
      <c r="AB81" s="97">
        <f t="shared" si="126"/>
        <v>0.7513155129504514</v>
      </c>
      <c r="AC81" s="97">
        <v>0</v>
      </c>
      <c r="AD81" s="97">
        <f t="shared" si="96"/>
        <v>5.6447499999999996E-3</v>
      </c>
      <c r="AE81" s="100">
        <f t="shared" si="127"/>
        <v>5.6447499999999996E-3</v>
      </c>
      <c r="AF81" s="99">
        <f t="shared" si="97"/>
        <v>0.55499999999999994</v>
      </c>
      <c r="AG81" s="97">
        <f t="shared" si="98"/>
        <v>0.65065832047242722</v>
      </c>
      <c r="AH81" s="97">
        <f t="shared" si="99"/>
        <v>2.1939600351666665E-2</v>
      </c>
      <c r="AI81" s="97">
        <f t="shared" si="128"/>
        <v>0.77699999999999991</v>
      </c>
      <c r="AJ81" s="100">
        <f t="shared" si="129"/>
        <v>0.79893960035166656</v>
      </c>
      <c r="AK81" s="99">
        <f t="shared" si="100"/>
        <v>0.18499999999999997</v>
      </c>
      <c r="AL81" s="97">
        <f t="shared" si="101"/>
        <v>0.37565775647522565</v>
      </c>
      <c r="AM81" s="97">
        <f t="shared" si="102"/>
        <v>6.2159999999999993E-2</v>
      </c>
      <c r="AN81" s="97">
        <f t="shared" si="103"/>
        <v>0.75525000000000009</v>
      </c>
      <c r="AO81" s="100">
        <f t="shared" si="130"/>
        <v>0.81741000000000008</v>
      </c>
      <c r="AP81" s="99">
        <f t="shared" si="131"/>
        <v>0</v>
      </c>
      <c r="AQ81" s="97">
        <f t="shared" si="104"/>
        <v>8.7499999999999994E-2</v>
      </c>
      <c r="AR81" s="100">
        <f t="shared" si="105"/>
        <v>1.155E-2</v>
      </c>
      <c r="AS81" s="99">
        <f t="shared" si="70"/>
        <v>0.89798960035166653</v>
      </c>
      <c r="AT81" s="215">
        <f t="shared" si="106"/>
        <v>78.879376021100001</v>
      </c>
      <c r="AU81" s="216">
        <f t="shared" si="107"/>
        <v>6.6396064001481389E-2</v>
      </c>
      <c r="AV81" s="97">
        <f t="shared" si="108"/>
        <v>8.879999999999999</v>
      </c>
      <c r="AW81" s="100">
        <f t="shared" si="132"/>
        <v>90.816214405470731</v>
      </c>
      <c r="AX81" s="32"/>
      <c r="AY81" s="99">
        <f t="shared" si="109"/>
        <v>60</v>
      </c>
      <c r="AZ81" s="97">
        <f t="shared" si="110"/>
        <v>0.14799999999999999</v>
      </c>
      <c r="BA81" s="97">
        <f t="shared" si="111"/>
        <v>15</v>
      </c>
      <c r="BB81" s="100">
        <f t="shared" si="112"/>
        <v>0.73999999999999988</v>
      </c>
      <c r="BC81" s="99">
        <f t="shared" si="113"/>
        <v>2</v>
      </c>
      <c r="BD81" s="97">
        <f t="shared" si="114"/>
        <v>0.75</v>
      </c>
      <c r="BE81" s="100">
        <f t="shared" si="115"/>
        <v>0.25</v>
      </c>
      <c r="BF81" s="99">
        <f t="shared" si="116"/>
        <v>0.45000000000000007</v>
      </c>
      <c r="BG81" s="97">
        <f t="shared" si="146"/>
        <v>0.96499999999999986</v>
      </c>
      <c r="BH81" s="97">
        <f t="shared" si="147"/>
        <v>0.7513155129504514</v>
      </c>
      <c r="BI81" s="97">
        <v>0</v>
      </c>
      <c r="BJ81" s="97">
        <f t="shared" si="117"/>
        <v>5.6447499999999996E-3</v>
      </c>
      <c r="BK81" s="100">
        <f t="shared" si="133"/>
        <v>5.6447499999999996E-3</v>
      </c>
      <c r="BL81" s="99">
        <f t="shared" si="145"/>
        <v>0.55499999999999994</v>
      </c>
      <c r="BM81" s="97">
        <f t="shared" si="134"/>
        <v>0.65065832047242722</v>
      </c>
      <c r="BN81" s="97">
        <f t="shared" si="135"/>
        <v>2.8109188670427145E-2</v>
      </c>
      <c r="BO81" s="97">
        <f t="shared" si="136"/>
        <v>0.77699999999999991</v>
      </c>
      <c r="BP81" s="100">
        <f t="shared" si="137"/>
        <v>0.80510918867042702</v>
      </c>
      <c r="BQ81" s="99">
        <f t="shared" si="138"/>
        <v>0.18499999999999997</v>
      </c>
      <c r="BR81" s="97">
        <f t="shared" si="118"/>
        <v>0.37565775647522565</v>
      </c>
      <c r="BS81" s="97">
        <f t="shared" si="119"/>
        <v>6.2159999999999993E-2</v>
      </c>
      <c r="BT81" s="97">
        <f t="shared" si="120"/>
        <v>0.75525000000000009</v>
      </c>
      <c r="BU81" s="100">
        <f t="shared" si="139"/>
        <v>0.81741000000000008</v>
      </c>
      <c r="BV81" s="99">
        <f t="shared" si="140"/>
        <v>0</v>
      </c>
      <c r="BW81" s="97">
        <f t="shared" si="121"/>
        <v>8.7499999999999994E-2</v>
      </c>
      <c r="BX81" s="100">
        <f t="shared" si="122"/>
        <v>1.155E-2</v>
      </c>
      <c r="BY81" s="99">
        <f t="shared" si="141"/>
        <v>1.7272139386704271</v>
      </c>
      <c r="BZ81" s="97">
        <f t="shared" si="142"/>
        <v>8.879999999999999</v>
      </c>
      <c r="CA81" s="100">
        <f t="shared" si="143"/>
        <v>83.716610707986462</v>
      </c>
      <c r="CB81" s="51">
        <f t="shared" si="144"/>
        <v>0.90415918867042699</v>
      </c>
      <c r="CC81" s="32">
        <f t="shared" si="123"/>
        <v>56.645571603464944</v>
      </c>
    </row>
    <row r="82" spans="17:81" x14ac:dyDescent="0.3">
      <c r="Q82" s="32">
        <v>75</v>
      </c>
      <c r="S82" s="99">
        <f t="shared" si="89"/>
        <v>60</v>
      </c>
      <c r="T82" s="97">
        <f t="shared" si="124"/>
        <v>0.15</v>
      </c>
      <c r="U82" s="97">
        <f t="shared" si="90"/>
        <v>15</v>
      </c>
      <c r="V82" s="100">
        <f t="shared" si="91"/>
        <v>0.75</v>
      </c>
      <c r="W82" s="99">
        <f t="shared" si="92"/>
        <v>2</v>
      </c>
      <c r="X82" s="97">
        <f t="shared" si="93"/>
        <v>0.75</v>
      </c>
      <c r="Y82" s="100">
        <f t="shared" si="94"/>
        <v>0.25</v>
      </c>
      <c r="Z82" s="99">
        <f t="shared" si="95"/>
        <v>0.45000000000000007</v>
      </c>
      <c r="AA82" s="97">
        <f t="shared" si="125"/>
        <v>0.97500000000000009</v>
      </c>
      <c r="AB82" s="97">
        <f t="shared" si="126"/>
        <v>0.76116686738191641</v>
      </c>
      <c r="AC82" s="97">
        <v>0</v>
      </c>
      <c r="AD82" s="97">
        <f t="shared" si="96"/>
        <v>5.7937499999999994E-3</v>
      </c>
      <c r="AE82" s="100">
        <f t="shared" si="127"/>
        <v>5.7937499999999994E-3</v>
      </c>
      <c r="AF82" s="99">
        <f t="shared" si="97"/>
        <v>0.5625</v>
      </c>
      <c r="AG82" s="97">
        <f t="shared" si="98"/>
        <v>0.65918984367176048</v>
      </c>
      <c r="AH82" s="97">
        <f t="shared" si="99"/>
        <v>2.2518722625000008E-2</v>
      </c>
      <c r="AI82" s="97">
        <f t="shared" si="128"/>
        <v>0.78749999999999998</v>
      </c>
      <c r="AJ82" s="100">
        <f t="shared" si="129"/>
        <v>0.81001872262499997</v>
      </c>
      <c r="AK82" s="99">
        <f t="shared" si="100"/>
        <v>0.1875</v>
      </c>
      <c r="AL82" s="97">
        <f t="shared" si="101"/>
        <v>0.38058343369095826</v>
      </c>
      <c r="AM82" s="97">
        <f t="shared" si="102"/>
        <v>6.3E-2</v>
      </c>
      <c r="AN82" s="97">
        <f t="shared" si="103"/>
        <v>0.75525000000000009</v>
      </c>
      <c r="AO82" s="100">
        <f t="shared" si="130"/>
        <v>0.81825000000000014</v>
      </c>
      <c r="AP82" s="99">
        <f t="shared" si="131"/>
        <v>0</v>
      </c>
      <c r="AQ82" s="97">
        <f t="shared" si="104"/>
        <v>8.7499999999999994E-2</v>
      </c>
      <c r="AR82" s="100">
        <f t="shared" si="105"/>
        <v>1.155E-2</v>
      </c>
      <c r="AS82" s="99">
        <f t="shared" si="70"/>
        <v>0.90906872262499994</v>
      </c>
      <c r="AT82" s="215">
        <f t="shared" si="106"/>
        <v>79.544123357499998</v>
      </c>
      <c r="AU82" s="216">
        <f t="shared" si="107"/>
        <v>6.6558334439718578E-2</v>
      </c>
      <c r="AV82" s="97">
        <f t="shared" si="108"/>
        <v>9</v>
      </c>
      <c r="AW82" s="100">
        <f t="shared" si="132"/>
        <v>90.825891432669579</v>
      </c>
      <c r="AX82" s="32"/>
      <c r="AY82" s="99">
        <f t="shared" si="109"/>
        <v>60</v>
      </c>
      <c r="AZ82" s="97">
        <f t="shared" si="110"/>
        <v>0.15</v>
      </c>
      <c r="BA82" s="97">
        <f t="shared" si="111"/>
        <v>15</v>
      </c>
      <c r="BB82" s="100">
        <f t="shared" si="112"/>
        <v>0.75</v>
      </c>
      <c r="BC82" s="99">
        <f t="shared" si="113"/>
        <v>2</v>
      </c>
      <c r="BD82" s="97">
        <f t="shared" si="114"/>
        <v>0.75</v>
      </c>
      <c r="BE82" s="100">
        <f t="shared" si="115"/>
        <v>0.25</v>
      </c>
      <c r="BF82" s="99">
        <f t="shared" si="116"/>
        <v>0.45000000000000007</v>
      </c>
      <c r="BG82" s="97">
        <f t="shared" si="146"/>
        <v>0.97500000000000009</v>
      </c>
      <c r="BH82" s="97">
        <f t="shared" si="147"/>
        <v>0.76116686738191641</v>
      </c>
      <c r="BI82" s="97">
        <v>0</v>
      </c>
      <c r="BJ82" s="97">
        <f t="shared" si="117"/>
        <v>5.7937499999999994E-3</v>
      </c>
      <c r="BK82" s="100">
        <f t="shared" si="133"/>
        <v>5.7937499999999994E-3</v>
      </c>
      <c r="BL82" s="99">
        <f t="shared" si="145"/>
        <v>0.5625</v>
      </c>
      <c r="BM82" s="97">
        <f t="shared" si="134"/>
        <v>0.65918984367176048</v>
      </c>
      <c r="BN82" s="97">
        <f t="shared" si="135"/>
        <v>2.8921676262008967E-2</v>
      </c>
      <c r="BO82" s="97">
        <f t="shared" si="136"/>
        <v>0.78749999999999998</v>
      </c>
      <c r="BP82" s="100">
        <f t="shared" si="137"/>
        <v>0.8164216762620089</v>
      </c>
      <c r="BQ82" s="99">
        <f t="shared" si="138"/>
        <v>0.1875</v>
      </c>
      <c r="BR82" s="97">
        <f t="shared" si="118"/>
        <v>0.38058343369095826</v>
      </c>
      <c r="BS82" s="97">
        <f t="shared" si="119"/>
        <v>6.3E-2</v>
      </c>
      <c r="BT82" s="97">
        <f t="shared" si="120"/>
        <v>0.75525000000000009</v>
      </c>
      <c r="BU82" s="100">
        <f t="shared" si="139"/>
        <v>0.81825000000000014</v>
      </c>
      <c r="BV82" s="99">
        <f t="shared" si="140"/>
        <v>0</v>
      </c>
      <c r="BW82" s="97">
        <f t="shared" si="121"/>
        <v>8.7499999999999994E-2</v>
      </c>
      <c r="BX82" s="100">
        <f t="shared" si="122"/>
        <v>1.155E-2</v>
      </c>
      <c r="BY82" s="99">
        <f t="shared" si="141"/>
        <v>1.7395154262620089</v>
      </c>
      <c r="BZ82" s="97">
        <f t="shared" si="142"/>
        <v>9</v>
      </c>
      <c r="CA82" s="100">
        <f t="shared" si="143"/>
        <v>83.802663740225526</v>
      </c>
      <c r="CB82" s="51">
        <f t="shared" si="144"/>
        <v>0.91547167626200887</v>
      </c>
      <c r="CC82" s="32">
        <f t="shared" si="123"/>
        <v>57.041508669170312</v>
      </c>
    </row>
    <row r="83" spans="17:81" x14ac:dyDescent="0.3">
      <c r="Q83" s="32">
        <v>76</v>
      </c>
      <c r="S83" s="99">
        <f t="shared" si="89"/>
        <v>60</v>
      </c>
      <c r="T83" s="97">
        <f t="shared" si="124"/>
        <v>0.152</v>
      </c>
      <c r="U83" s="97">
        <f t="shared" si="90"/>
        <v>15</v>
      </c>
      <c r="V83" s="100">
        <f t="shared" si="91"/>
        <v>0.7599999999999999</v>
      </c>
      <c r="W83" s="99">
        <f t="shared" si="92"/>
        <v>2</v>
      </c>
      <c r="X83" s="97">
        <f t="shared" si="93"/>
        <v>0.75</v>
      </c>
      <c r="Y83" s="100">
        <f t="shared" si="94"/>
        <v>0.25</v>
      </c>
      <c r="Z83" s="99">
        <f t="shared" si="95"/>
        <v>0.45000000000000007</v>
      </c>
      <c r="AA83" s="97">
        <f t="shared" si="125"/>
        <v>0.98499999999999988</v>
      </c>
      <c r="AB83" s="97">
        <f t="shared" si="126"/>
        <v>0.77102204897136362</v>
      </c>
      <c r="AC83" s="97">
        <v>0</v>
      </c>
      <c r="AD83" s="97">
        <f t="shared" si="96"/>
        <v>5.9447499999999986E-3</v>
      </c>
      <c r="AE83" s="100">
        <f t="shared" si="127"/>
        <v>5.9447499999999986E-3</v>
      </c>
      <c r="AF83" s="99">
        <f t="shared" si="97"/>
        <v>0.56999999999999995</v>
      </c>
      <c r="AG83" s="97">
        <f t="shared" si="98"/>
        <v>0.66772468128713036</v>
      </c>
      <c r="AH83" s="97">
        <f t="shared" si="99"/>
        <v>2.3105618351666666E-2</v>
      </c>
      <c r="AI83" s="97">
        <f t="shared" si="128"/>
        <v>0.79799999999999982</v>
      </c>
      <c r="AJ83" s="100">
        <f t="shared" si="129"/>
        <v>0.82110561835166651</v>
      </c>
      <c r="AK83" s="99">
        <f t="shared" si="100"/>
        <v>0.18999999999999997</v>
      </c>
      <c r="AL83" s="97">
        <f t="shared" si="101"/>
        <v>0.38551102448568181</v>
      </c>
      <c r="AM83" s="97">
        <f t="shared" si="102"/>
        <v>6.3839999999999994E-2</v>
      </c>
      <c r="AN83" s="97">
        <f t="shared" si="103"/>
        <v>0.75525000000000009</v>
      </c>
      <c r="AO83" s="100">
        <f t="shared" si="130"/>
        <v>0.8190900000000001</v>
      </c>
      <c r="AP83" s="99">
        <f t="shared" si="131"/>
        <v>0</v>
      </c>
      <c r="AQ83" s="97">
        <f t="shared" si="104"/>
        <v>8.7499999999999994E-2</v>
      </c>
      <c r="AR83" s="100">
        <f t="shared" si="105"/>
        <v>1.155E-2</v>
      </c>
      <c r="AS83" s="99">
        <f t="shared" si="70"/>
        <v>0.92015561835166648</v>
      </c>
      <c r="AT83" s="215">
        <f t="shared" si="106"/>
        <v>80.20933710109999</v>
      </c>
      <c r="AU83" s="216">
        <f t="shared" si="107"/>
        <v>6.6720718731891823E-2</v>
      </c>
      <c r="AV83" s="97">
        <f t="shared" si="108"/>
        <v>9.1199999999999992</v>
      </c>
      <c r="AW83" s="100">
        <f t="shared" si="132"/>
        <v>90.835245455062662</v>
      </c>
      <c r="AX83" s="32"/>
      <c r="AY83" s="99">
        <f t="shared" si="109"/>
        <v>60</v>
      </c>
      <c r="AZ83" s="97">
        <f t="shared" si="110"/>
        <v>0.152</v>
      </c>
      <c r="BA83" s="97">
        <f t="shared" si="111"/>
        <v>15</v>
      </c>
      <c r="BB83" s="100">
        <f t="shared" si="112"/>
        <v>0.7599999999999999</v>
      </c>
      <c r="BC83" s="99">
        <f t="shared" si="113"/>
        <v>2</v>
      </c>
      <c r="BD83" s="97">
        <f t="shared" si="114"/>
        <v>0.75</v>
      </c>
      <c r="BE83" s="100">
        <f t="shared" si="115"/>
        <v>0.25</v>
      </c>
      <c r="BF83" s="99">
        <f t="shared" si="116"/>
        <v>0.45000000000000007</v>
      </c>
      <c r="BG83" s="97">
        <f t="shared" si="146"/>
        <v>0.98499999999999988</v>
      </c>
      <c r="BH83" s="97">
        <f t="shared" si="147"/>
        <v>0.77102204897136362</v>
      </c>
      <c r="BI83" s="97">
        <v>0</v>
      </c>
      <c r="BJ83" s="97">
        <f t="shared" si="117"/>
        <v>5.9447499999999986E-3</v>
      </c>
      <c r="BK83" s="100">
        <f t="shared" si="133"/>
        <v>5.9447499999999986E-3</v>
      </c>
      <c r="BL83" s="99">
        <f t="shared" si="145"/>
        <v>0.56999999999999995</v>
      </c>
      <c r="BM83" s="97">
        <f t="shared" si="134"/>
        <v>0.66772468128713036</v>
      </c>
      <c r="BN83" s="97">
        <f t="shared" si="135"/>
        <v>2.9747849451106034E-2</v>
      </c>
      <c r="BO83" s="97">
        <f t="shared" si="136"/>
        <v>0.79799999999999982</v>
      </c>
      <c r="BP83" s="100">
        <f t="shared" si="137"/>
        <v>0.82774784945110591</v>
      </c>
      <c r="BQ83" s="99">
        <f t="shared" si="138"/>
        <v>0.18999999999999997</v>
      </c>
      <c r="BR83" s="97">
        <f t="shared" si="118"/>
        <v>0.38551102448568181</v>
      </c>
      <c r="BS83" s="97">
        <f t="shared" si="119"/>
        <v>6.3839999999999994E-2</v>
      </c>
      <c r="BT83" s="97">
        <f t="shared" si="120"/>
        <v>0.75525000000000009</v>
      </c>
      <c r="BU83" s="100">
        <f t="shared" si="139"/>
        <v>0.8190900000000001</v>
      </c>
      <c r="BV83" s="99">
        <f t="shared" si="140"/>
        <v>0</v>
      </c>
      <c r="BW83" s="97">
        <f t="shared" si="121"/>
        <v>8.7499999999999994E-2</v>
      </c>
      <c r="BX83" s="100">
        <f t="shared" si="122"/>
        <v>1.155E-2</v>
      </c>
      <c r="BY83" s="99">
        <f t="shared" si="141"/>
        <v>1.7518325994511059</v>
      </c>
      <c r="BZ83" s="97">
        <f t="shared" si="142"/>
        <v>9.1199999999999992</v>
      </c>
      <c r="CA83" s="100">
        <f t="shared" si="143"/>
        <v>83.886501347164298</v>
      </c>
      <c r="CB83" s="51">
        <f t="shared" si="144"/>
        <v>0.92679784945110588</v>
      </c>
      <c r="CC83" s="32">
        <f t="shared" si="123"/>
        <v>57.437924730788708</v>
      </c>
    </row>
    <row r="84" spans="17:81" x14ac:dyDescent="0.3">
      <c r="Q84" s="32">
        <v>77</v>
      </c>
      <c r="S84" s="99">
        <f t="shared" si="89"/>
        <v>60</v>
      </c>
      <c r="T84" s="97">
        <f t="shared" si="124"/>
        <v>0.154</v>
      </c>
      <c r="U84" s="97">
        <f t="shared" si="90"/>
        <v>15</v>
      </c>
      <c r="V84" s="100">
        <f t="shared" si="91"/>
        <v>0.77</v>
      </c>
      <c r="W84" s="99">
        <f t="shared" si="92"/>
        <v>2</v>
      </c>
      <c r="X84" s="97">
        <f t="shared" si="93"/>
        <v>0.75</v>
      </c>
      <c r="Y84" s="100">
        <f t="shared" si="94"/>
        <v>0.25</v>
      </c>
      <c r="Z84" s="99">
        <f t="shared" si="95"/>
        <v>0.45000000000000007</v>
      </c>
      <c r="AA84" s="97">
        <f t="shared" si="125"/>
        <v>0.99500000000000011</v>
      </c>
      <c r="AB84" s="97">
        <f t="shared" si="126"/>
        <v>0.78088091281577621</v>
      </c>
      <c r="AC84" s="97">
        <v>0</v>
      </c>
      <c r="AD84" s="97">
        <f t="shared" si="96"/>
        <v>6.097749999999999E-3</v>
      </c>
      <c r="AE84" s="100">
        <f t="shared" si="127"/>
        <v>6.097749999999999E-3</v>
      </c>
      <c r="AF84" s="99">
        <f t="shared" si="97"/>
        <v>0.57750000000000001</v>
      </c>
      <c r="AG84" s="97">
        <f t="shared" si="98"/>
        <v>0.67626270782884379</v>
      </c>
      <c r="AH84" s="97">
        <f t="shared" si="99"/>
        <v>2.370028753166668E-2</v>
      </c>
      <c r="AI84" s="97">
        <f t="shared" si="128"/>
        <v>0.8085</v>
      </c>
      <c r="AJ84" s="100">
        <f t="shared" si="129"/>
        <v>0.83220028753166664</v>
      </c>
      <c r="AK84" s="99">
        <f t="shared" si="100"/>
        <v>0.1925</v>
      </c>
      <c r="AL84" s="97">
        <f t="shared" si="101"/>
        <v>0.39044045640788821</v>
      </c>
      <c r="AM84" s="97">
        <f t="shared" si="102"/>
        <v>6.4680000000000001E-2</v>
      </c>
      <c r="AN84" s="97">
        <f t="shared" si="103"/>
        <v>0.75525000000000009</v>
      </c>
      <c r="AO84" s="100">
        <f t="shared" si="130"/>
        <v>0.81993000000000005</v>
      </c>
      <c r="AP84" s="99">
        <f t="shared" si="131"/>
        <v>0</v>
      </c>
      <c r="AQ84" s="97">
        <f t="shared" si="104"/>
        <v>8.7499999999999994E-2</v>
      </c>
      <c r="AR84" s="100">
        <f t="shared" si="105"/>
        <v>1.155E-2</v>
      </c>
      <c r="AS84" s="99">
        <f t="shared" si="70"/>
        <v>0.93125028753166661</v>
      </c>
      <c r="AT84" s="215">
        <f t="shared" si="106"/>
        <v>80.875017251900005</v>
      </c>
      <c r="AU84" s="216">
        <f t="shared" si="107"/>
        <v>6.6883216878001167E-2</v>
      </c>
      <c r="AV84" s="97">
        <f t="shared" si="108"/>
        <v>9.24</v>
      </c>
      <c r="AW84" s="100">
        <f t="shared" si="132"/>
        <v>90.844288939844191</v>
      </c>
      <c r="AX84" s="32"/>
      <c r="AY84" s="99">
        <f t="shared" si="109"/>
        <v>60</v>
      </c>
      <c r="AZ84" s="97">
        <f t="shared" si="110"/>
        <v>0.154</v>
      </c>
      <c r="BA84" s="97">
        <f t="shared" si="111"/>
        <v>15</v>
      </c>
      <c r="BB84" s="100">
        <f t="shared" si="112"/>
        <v>0.77</v>
      </c>
      <c r="BC84" s="99">
        <f t="shared" si="113"/>
        <v>2</v>
      </c>
      <c r="BD84" s="97">
        <f t="shared" si="114"/>
        <v>0.75</v>
      </c>
      <c r="BE84" s="100">
        <f t="shared" si="115"/>
        <v>0.25</v>
      </c>
      <c r="BF84" s="99">
        <f t="shared" si="116"/>
        <v>0.45000000000000007</v>
      </c>
      <c r="BG84" s="97">
        <f t="shared" si="146"/>
        <v>0.99500000000000011</v>
      </c>
      <c r="BH84" s="97">
        <f t="shared" si="147"/>
        <v>0.78088091281577621</v>
      </c>
      <c r="BI84" s="97">
        <v>0</v>
      </c>
      <c r="BJ84" s="97">
        <f t="shared" si="117"/>
        <v>6.097749999999999E-3</v>
      </c>
      <c r="BK84" s="100">
        <f t="shared" si="133"/>
        <v>6.097749999999999E-3</v>
      </c>
      <c r="BL84" s="99">
        <f t="shared" si="145"/>
        <v>0.57750000000000001</v>
      </c>
      <c r="BM84" s="97">
        <f t="shared" si="134"/>
        <v>0.67626270782884379</v>
      </c>
      <c r="BN84" s="97">
        <f t="shared" si="135"/>
        <v>3.0587785178837382E-2</v>
      </c>
      <c r="BO84" s="97">
        <f t="shared" si="136"/>
        <v>0.8085</v>
      </c>
      <c r="BP84" s="100">
        <f t="shared" si="137"/>
        <v>0.83908778517883742</v>
      </c>
      <c r="BQ84" s="99">
        <f t="shared" si="138"/>
        <v>0.1925</v>
      </c>
      <c r="BR84" s="97">
        <f t="shared" si="118"/>
        <v>0.39044045640788821</v>
      </c>
      <c r="BS84" s="97">
        <f t="shared" si="119"/>
        <v>6.4680000000000001E-2</v>
      </c>
      <c r="BT84" s="97">
        <f t="shared" si="120"/>
        <v>0.75525000000000009</v>
      </c>
      <c r="BU84" s="100">
        <f t="shared" si="139"/>
        <v>0.81993000000000005</v>
      </c>
      <c r="BV84" s="99">
        <f t="shared" si="140"/>
        <v>0</v>
      </c>
      <c r="BW84" s="97">
        <f t="shared" si="121"/>
        <v>8.7499999999999994E-2</v>
      </c>
      <c r="BX84" s="100">
        <f t="shared" si="122"/>
        <v>1.155E-2</v>
      </c>
      <c r="BY84" s="99">
        <f t="shared" si="141"/>
        <v>1.7641655351788372</v>
      </c>
      <c r="BZ84" s="97">
        <f t="shared" si="142"/>
        <v>9.24</v>
      </c>
      <c r="CA84" s="100">
        <f t="shared" si="143"/>
        <v>83.968202499871197</v>
      </c>
      <c r="CB84" s="51">
        <f t="shared" si="144"/>
        <v>0.93813778517883739</v>
      </c>
      <c r="CC84" s="32">
        <f t="shared" si="123"/>
        <v>57.834822481259309</v>
      </c>
    </row>
    <row r="85" spans="17:81" x14ac:dyDescent="0.3">
      <c r="Q85" s="32">
        <v>78</v>
      </c>
      <c r="S85" s="99">
        <f t="shared" si="89"/>
        <v>60</v>
      </c>
      <c r="T85" s="97">
        <f t="shared" si="124"/>
        <v>0.156</v>
      </c>
      <c r="U85" s="97">
        <f t="shared" si="90"/>
        <v>15</v>
      </c>
      <c r="V85" s="100">
        <f t="shared" si="91"/>
        <v>0.77999999999999992</v>
      </c>
      <c r="W85" s="99">
        <f t="shared" si="92"/>
        <v>2</v>
      </c>
      <c r="X85" s="97">
        <f t="shared" si="93"/>
        <v>0.75</v>
      </c>
      <c r="Y85" s="100">
        <f t="shared" si="94"/>
        <v>0.25</v>
      </c>
      <c r="Z85" s="99">
        <f t="shared" si="95"/>
        <v>0.45000000000000007</v>
      </c>
      <c r="AA85" s="97">
        <f t="shared" si="125"/>
        <v>1.0049999999999999</v>
      </c>
      <c r="AB85" s="97">
        <f t="shared" si="126"/>
        <v>0.7907433211858319</v>
      </c>
      <c r="AC85" s="97">
        <v>0</v>
      </c>
      <c r="AD85" s="97">
        <f t="shared" si="96"/>
        <v>6.252749999999997E-3</v>
      </c>
      <c r="AE85" s="100">
        <f t="shared" si="127"/>
        <v>6.252749999999997E-3</v>
      </c>
      <c r="AF85" s="99">
        <f t="shared" si="97"/>
        <v>0.58499999999999996</v>
      </c>
      <c r="AG85" s="97">
        <f t="shared" si="98"/>
        <v>0.68480380401980823</v>
      </c>
      <c r="AH85" s="97">
        <f t="shared" si="99"/>
        <v>2.4302730165000001E-2</v>
      </c>
      <c r="AI85" s="97">
        <f t="shared" si="128"/>
        <v>0.81899999999999995</v>
      </c>
      <c r="AJ85" s="100">
        <f t="shared" si="129"/>
        <v>0.8433027301649999</v>
      </c>
      <c r="AK85" s="99">
        <f t="shared" si="100"/>
        <v>0.19499999999999998</v>
      </c>
      <c r="AL85" s="97">
        <f t="shared" si="101"/>
        <v>0.39537166059291595</v>
      </c>
      <c r="AM85" s="97">
        <f t="shared" si="102"/>
        <v>6.5519999999999995E-2</v>
      </c>
      <c r="AN85" s="97">
        <f t="shared" si="103"/>
        <v>0.75525000000000009</v>
      </c>
      <c r="AO85" s="100">
        <f t="shared" si="130"/>
        <v>0.82077000000000011</v>
      </c>
      <c r="AP85" s="99">
        <f t="shared" si="131"/>
        <v>0</v>
      </c>
      <c r="AQ85" s="97">
        <f t="shared" si="104"/>
        <v>8.7499999999999994E-2</v>
      </c>
      <c r="AR85" s="100">
        <f t="shared" si="105"/>
        <v>1.155E-2</v>
      </c>
      <c r="AS85" s="99">
        <f t="shared" si="70"/>
        <v>0.94235273016499987</v>
      </c>
      <c r="AT85" s="215">
        <f t="shared" si="106"/>
        <v>81.541163809899984</v>
      </c>
      <c r="AU85" s="216">
        <f t="shared" si="107"/>
        <v>6.7045828878046568E-2</v>
      </c>
      <c r="AV85" s="97">
        <f t="shared" si="108"/>
        <v>9.36</v>
      </c>
      <c r="AW85" s="100">
        <f t="shared" si="132"/>
        <v>90.853033721066282</v>
      </c>
      <c r="AX85" s="32"/>
      <c r="AY85" s="99">
        <f t="shared" si="109"/>
        <v>60</v>
      </c>
      <c r="AZ85" s="97">
        <f t="shared" si="110"/>
        <v>0.156</v>
      </c>
      <c r="BA85" s="97">
        <f t="shared" si="111"/>
        <v>15</v>
      </c>
      <c r="BB85" s="100">
        <f t="shared" si="112"/>
        <v>0.77999999999999992</v>
      </c>
      <c r="BC85" s="99">
        <f t="shared" si="113"/>
        <v>2</v>
      </c>
      <c r="BD85" s="97">
        <f t="shared" si="114"/>
        <v>0.75</v>
      </c>
      <c r="BE85" s="100">
        <f t="shared" si="115"/>
        <v>0.25</v>
      </c>
      <c r="BF85" s="99">
        <f t="shared" si="116"/>
        <v>0.45000000000000007</v>
      </c>
      <c r="BG85" s="97">
        <f t="shared" si="146"/>
        <v>1.0049999999999999</v>
      </c>
      <c r="BH85" s="97">
        <f t="shared" si="147"/>
        <v>0.7907433211858319</v>
      </c>
      <c r="BI85" s="97">
        <v>0</v>
      </c>
      <c r="BJ85" s="97">
        <f t="shared" si="117"/>
        <v>6.252749999999997E-3</v>
      </c>
      <c r="BK85" s="100">
        <f t="shared" si="133"/>
        <v>6.252749999999997E-3</v>
      </c>
      <c r="BL85" s="99">
        <f t="shared" si="145"/>
        <v>0.58499999999999996</v>
      </c>
      <c r="BM85" s="97">
        <f t="shared" si="134"/>
        <v>0.68480380401980823</v>
      </c>
      <c r="BN85" s="97">
        <f t="shared" si="135"/>
        <v>3.1441560488790418E-2</v>
      </c>
      <c r="BO85" s="97">
        <f t="shared" si="136"/>
        <v>0.81899999999999995</v>
      </c>
      <c r="BP85" s="100">
        <f t="shared" si="137"/>
        <v>0.85044156048879038</v>
      </c>
      <c r="BQ85" s="99">
        <f t="shared" si="138"/>
        <v>0.19499999999999998</v>
      </c>
      <c r="BR85" s="97">
        <f t="shared" si="118"/>
        <v>0.39537166059291595</v>
      </c>
      <c r="BS85" s="97">
        <f t="shared" si="119"/>
        <v>6.5519999999999995E-2</v>
      </c>
      <c r="BT85" s="97">
        <f t="shared" si="120"/>
        <v>0.75525000000000009</v>
      </c>
      <c r="BU85" s="100">
        <f t="shared" si="139"/>
        <v>0.82077000000000011</v>
      </c>
      <c r="BV85" s="99">
        <f t="shared" si="140"/>
        <v>0</v>
      </c>
      <c r="BW85" s="97">
        <f t="shared" si="121"/>
        <v>8.7499999999999994E-2</v>
      </c>
      <c r="BX85" s="100">
        <f t="shared" si="122"/>
        <v>1.155E-2</v>
      </c>
      <c r="BY85" s="99">
        <f t="shared" si="141"/>
        <v>1.7765143104887904</v>
      </c>
      <c r="BZ85" s="97">
        <f t="shared" si="142"/>
        <v>9.36</v>
      </c>
      <c r="CA85" s="100">
        <f t="shared" si="143"/>
        <v>84.047842431131244</v>
      </c>
      <c r="CB85" s="51">
        <f t="shared" si="144"/>
        <v>0.94949156048879035</v>
      </c>
      <c r="CC85" s="32">
        <f t="shared" si="123"/>
        <v>58.232204617107662</v>
      </c>
    </row>
    <row r="86" spans="17:81" x14ac:dyDescent="0.3">
      <c r="Q86" s="32">
        <v>79</v>
      </c>
      <c r="S86" s="99">
        <f t="shared" si="89"/>
        <v>60</v>
      </c>
      <c r="T86" s="97">
        <f t="shared" si="124"/>
        <v>0.158</v>
      </c>
      <c r="U86" s="97">
        <f t="shared" si="90"/>
        <v>15</v>
      </c>
      <c r="V86" s="100">
        <f t="shared" si="91"/>
        <v>0.79</v>
      </c>
      <c r="W86" s="99">
        <f t="shared" si="92"/>
        <v>2</v>
      </c>
      <c r="X86" s="97">
        <f t="shared" si="93"/>
        <v>0.75</v>
      </c>
      <c r="Y86" s="100">
        <f t="shared" si="94"/>
        <v>0.25</v>
      </c>
      <c r="Z86" s="99">
        <f t="shared" si="95"/>
        <v>0.45000000000000007</v>
      </c>
      <c r="AA86" s="97">
        <f t="shared" si="125"/>
        <v>1.0150000000000001</v>
      </c>
      <c r="AB86" s="97">
        <f t="shared" si="126"/>
        <v>0.80060914309043463</v>
      </c>
      <c r="AC86" s="97">
        <v>0</v>
      </c>
      <c r="AD86" s="97">
        <f t="shared" si="96"/>
        <v>6.4097500000000005E-3</v>
      </c>
      <c r="AE86" s="100">
        <f t="shared" si="127"/>
        <v>6.4097500000000005E-3</v>
      </c>
      <c r="AF86" s="99">
        <f t="shared" si="97"/>
        <v>0.59250000000000003</v>
      </c>
      <c r="AG86" s="97">
        <f t="shared" si="98"/>
        <v>0.69334785641840713</v>
      </c>
      <c r="AH86" s="97">
        <f t="shared" si="99"/>
        <v>2.4912946251666679E-2</v>
      </c>
      <c r="AI86" s="97">
        <f t="shared" si="128"/>
        <v>0.82950000000000013</v>
      </c>
      <c r="AJ86" s="100">
        <f t="shared" si="129"/>
        <v>0.85441294625166675</v>
      </c>
      <c r="AK86" s="99">
        <f t="shared" si="100"/>
        <v>0.19750000000000001</v>
      </c>
      <c r="AL86" s="97">
        <f t="shared" si="101"/>
        <v>0.40030457154521737</v>
      </c>
      <c r="AM86" s="97">
        <f t="shared" si="102"/>
        <v>6.6360000000000002E-2</v>
      </c>
      <c r="AN86" s="97">
        <f t="shared" si="103"/>
        <v>0.75525000000000009</v>
      </c>
      <c r="AO86" s="100">
        <f t="shared" si="130"/>
        <v>0.82161000000000006</v>
      </c>
      <c r="AP86" s="99">
        <f t="shared" si="131"/>
        <v>0</v>
      </c>
      <c r="AQ86" s="97">
        <f t="shared" si="104"/>
        <v>8.7499999999999994E-2</v>
      </c>
      <c r="AR86" s="100">
        <f t="shared" si="105"/>
        <v>1.155E-2</v>
      </c>
      <c r="AS86" s="99">
        <f t="shared" si="70"/>
        <v>0.95346294625166672</v>
      </c>
      <c r="AT86" s="215">
        <f t="shared" si="106"/>
        <v>82.207776775100001</v>
      </c>
      <c r="AU86" s="216">
        <f t="shared" si="107"/>
        <v>6.7208554732028025E-2</v>
      </c>
      <c r="AV86" s="97">
        <f t="shared" si="108"/>
        <v>9.48</v>
      </c>
      <c r="AW86" s="100">
        <f t="shared" si="132"/>
        <v>90.861491039327376</v>
      </c>
      <c r="AX86" s="32"/>
      <c r="AY86" s="99">
        <f t="shared" si="109"/>
        <v>60</v>
      </c>
      <c r="AZ86" s="97">
        <f t="shared" si="110"/>
        <v>0.158</v>
      </c>
      <c r="BA86" s="97">
        <f t="shared" si="111"/>
        <v>15</v>
      </c>
      <c r="BB86" s="100">
        <f t="shared" si="112"/>
        <v>0.79</v>
      </c>
      <c r="BC86" s="99">
        <f t="shared" si="113"/>
        <v>2</v>
      </c>
      <c r="BD86" s="97">
        <f t="shared" si="114"/>
        <v>0.75</v>
      </c>
      <c r="BE86" s="100">
        <f t="shared" si="115"/>
        <v>0.25</v>
      </c>
      <c r="BF86" s="99">
        <f t="shared" si="116"/>
        <v>0.45000000000000007</v>
      </c>
      <c r="BG86" s="97">
        <f t="shared" si="146"/>
        <v>1.0150000000000001</v>
      </c>
      <c r="BH86" s="97">
        <f t="shared" si="147"/>
        <v>0.80060914309043463</v>
      </c>
      <c r="BI86" s="97">
        <v>0</v>
      </c>
      <c r="BJ86" s="97">
        <f t="shared" si="117"/>
        <v>6.4097500000000005E-3</v>
      </c>
      <c r="BK86" s="100">
        <f t="shared" si="133"/>
        <v>6.4097500000000005E-3</v>
      </c>
      <c r="BL86" s="99">
        <f t="shared" si="145"/>
        <v>0.59250000000000003</v>
      </c>
      <c r="BM86" s="97">
        <f t="shared" si="134"/>
        <v>0.69334785641840713</v>
      </c>
      <c r="BN86" s="97">
        <f t="shared" si="135"/>
        <v>3.2309252527021257E-2</v>
      </c>
      <c r="BO86" s="97">
        <f t="shared" si="136"/>
        <v>0.82950000000000013</v>
      </c>
      <c r="BP86" s="100">
        <f t="shared" si="137"/>
        <v>0.86180925252702134</v>
      </c>
      <c r="BQ86" s="99">
        <f t="shared" si="138"/>
        <v>0.19750000000000001</v>
      </c>
      <c r="BR86" s="97">
        <f t="shared" si="118"/>
        <v>0.40030457154521737</v>
      </c>
      <c r="BS86" s="97">
        <f t="shared" si="119"/>
        <v>6.6360000000000002E-2</v>
      </c>
      <c r="BT86" s="97">
        <f t="shared" si="120"/>
        <v>0.75525000000000009</v>
      </c>
      <c r="BU86" s="100">
        <f t="shared" si="139"/>
        <v>0.82161000000000006</v>
      </c>
      <c r="BV86" s="99">
        <f t="shared" si="140"/>
        <v>0</v>
      </c>
      <c r="BW86" s="97">
        <f t="shared" si="121"/>
        <v>8.7499999999999994E-2</v>
      </c>
      <c r="BX86" s="100">
        <f t="shared" si="122"/>
        <v>1.155E-2</v>
      </c>
      <c r="BY86" s="99">
        <f t="shared" si="141"/>
        <v>1.7888790025270211</v>
      </c>
      <c r="BZ86" s="97">
        <f t="shared" si="142"/>
        <v>9.48</v>
      </c>
      <c r="CA86" s="100">
        <f t="shared" si="143"/>
        <v>84.125492854028607</v>
      </c>
      <c r="CB86" s="51">
        <f t="shared" si="144"/>
        <v>0.96085925252702131</v>
      </c>
      <c r="CC86" s="32">
        <f t="shared" si="123"/>
        <v>58.630073838445746</v>
      </c>
    </row>
    <row r="87" spans="17:81" x14ac:dyDescent="0.3">
      <c r="Q87" s="32">
        <v>80</v>
      </c>
      <c r="S87" s="99">
        <f t="shared" si="89"/>
        <v>60</v>
      </c>
      <c r="T87" s="97">
        <f t="shared" si="124"/>
        <v>0.16</v>
      </c>
      <c r="U87" s="97">
        <f t="shared" si="90"/>
        <v>15</v>
      </c>
      <c r="V87" s="100">
        <f t="shared" si="91"/>
        <v>0.79999999999999993</v>
      </c>
      <c r="W87" s="99">
        <f t="shared" si="92"/>
        <v>2</v>
      </c>
      <c r="X87" s="97">
        <f t="shared" si="93"/>
        <v>0.75</v>
      </c>
      <c r="Y87" s="100">
        <f t="shared" si="94"/>
        <v>0.25</v>
      </c>
      <c r="Z87" s="99">
        <f t="shared" si="95"/>
        <v>0.45000000000000007</v>
      </c>
      <c r="AA87" s="97">
        <f t="shared" si="125"/>
        <v>1.0249999999999999</v>
      </c>
      <c r="AB87" s="97">
        <f t="shared" si="126"/>
        <v>0.81047825387236627</v>
      </c>
      <c r="AC87" s="97">
        <v>0</v>
      </c>
      <c r="AD87" s="97">
        <f t="shared" si="96"/>
        <v>6.5687499999999982E-3</v>
      </c>
      <c r="AE87" s="100">
        <f t="shared" si="127"/>
        <v>6.5687499999999982E-3</v>
      </c>
      <c r="AF87" s="99">
        <f t="shared" si="97"/>
        <v>0.6</v>
      </c>
      <c r="AG87" s="97">
        <f t="shared" si="98"/>
        <v>0.70189475706832294</v>
      </c>
      <c r="AH87" s="97">
        <f t="shared" si="99"/>
        <v>2.5530935791666678E-2</v>
      </c>
      <c r="AI87" s="97">
        <f t="shared" si="128"/>
        <v>0.83999999999999986</v>
      </c>
      <c r="AJ87" s="100">
        <f t="shared" si="129"/>
        <v>0.86553093579166651</v>
      </c>
      <c r="AK87" s="99">
        <f t="shared" si="100"/>
        <v>0.19999999999999998</v>
      </c>
      <c r="AL87" s="97">
        <f t="shared" si="101"/>
        <v>0.40523912693618319</v>
      </c>
      <c r="AM87" s="97">
        <f t="shared" si="102"/>
        <v>6.7199999999999996E-2</v>
      </c>
      <c r="AN87" s="97">
        <f t="shared" si="103"/>
        <v>0.75525000000000009</v>
      </c>
      <c r="AO87" s="100">
        <f t="shared" si="130"/>
        <v>0.82245000000000013</v>
      </c>
      <c r="AP87" s="99">
        <f t="shared" si="131"/>
        <v>0</v>
      </c>
      <c r="AQ87" s="97">
        <f t="shared" si="104"/>
        <v>8.7499999999999994E-2</v>
      </c>
      <c r="AR87" s="100">
        <f t="shared" si="105"/>
        <v>1.155E-2</v>
      </c>
      <c r="AS87" s="99">
        <f t="shared" si="70"/>
        <v>0.96458093579166648</v>
      </c>
      <c r="AT87" s="215">
        <f t="shared" si="106"/>
        <v>82.874856147499997</v>
      </c>
      <c r="AU87" s="216">
        <f t="shared" si="107"/>
        <v>6.7371394439945581E-2</v>
      </c>
      <c r="AV87" s="97">
        <f t="shared" si="108"/>
        <v>9.6</v>
      </c>
      <c r="AW87" s="100">
        <f t="shared" si="132"/>
        <v>90.869671578512225</v>
      </c>
      <c r="AX87" s="32"/>
      <c r="AY87" s="99">
        <f t="shared" si="109"/>
        <v>60</v>
      </c>
      <c r="AZ87" s="97">
        <f t="shared" si="110"/>
        <v>0.16</v>
      </c>
      <c r="BA87" s="97">
        <f t="shared" si="111"/>
        <v>15</v>
      </c>
      <c r="BB87" s="100">
        <f t="shared" si="112"/>
        <v>0.79999999999999993</v>
      </c>
      <c r="BC87" s="99">
        <f t="shared" si="113"/>
        <v>2</v>
      </c>
      <c r="BD87" s="97">
        <f t="shared" si="114"/>
        <v>0.75</v>
      </c>
      <c r="BE87" s="100">
        <f t="shared" si="115"/>
        <v>0.25</v>
      </c>
      <c r="BF87" s="99">
        <f t="shared" si="116"/>
        <v>0.45000000000000007</v>
      </c>
      <c r="BG87" s="97">
        <f t="shared" si="146"/>
        <v>1.0249999999999999</v>
      </c>
      <c r="BH87" s="97">
        <f t="shared" si="147"/>
        <v>0.81047825387236627</v>
      </c>
      <c r="BI87" s="97">
        <v>0</v>
      </c>
      <c r="BJ87" s="97">
        <f t="shared" si="117"/>
        <v>6.5687499999999982E-3</v>
      </c>
      <c r="BK87" s="100">
        <f t="shared" si="133"/>
        <v>6.5687499999999982E-3</v>
      </c>
      <c r="BL87" s="99">
        <f t="shared" si="145"/>
        <v>0.6</v>
      </c>
      <c r="BM87" s="97">
        <f t="shared" si="134"/>
        <v>0.70189475706832294</v>
      </c>
      <c r="BN87" s="97">
        <f t="shared" si="135"/>
        <v>3.3190938542054446E-2</v>
      </c>
      <c r="BO87" s="97">
        <f t="shared" si="136"/>
        <v>0.83999999999999986</v>
      </c>
      <c r="BP87" s="100">
        <f t="shared" si="137"/>
        <v>0.87319093854205432</v>
      </c>
      <c r="BQ87" s="99">
        <f t="shared" si="138"/>
        <v>0.19999999999999998</v>
      </c>
      <c r="BR87" s="97">
        <f t="shared" si="118"/>
        <v>0.40523912693618319</v>
      </c>
      <c r="BS87" s="97">
        <f t="shared" si="119"/>
        <v>6.7199999999999996E-2</v>
      </c>
      <c r="BT87" s="97">
        <f t="shared" si="120"/>
        <v>0.75525000000000009</v>
      </c>
      <c r="BU87" s="100">
        <f t="shared" si="139"/>
        <v>0.82245000000000013</v>
      </c>
      <c r="BV87" s="99">
        <f t="shared" si="140"/>
        <v>0</v>
      </c>
      <c r="BW87" s="97">
        <f t="shared" si="121"/>
        <v>8.7499999999999994E-2</v>
      </c>
      <c r="BX87" s="100">
        <f t="shared" si="122"/>
        <v>1.155E-2</v>
      </c>
      <c r="BY87" s="99">
        <f t="shared" si="141"/>
        <v>1.8012596885420542</v>
      </c>
      <c r="BZ87" s="97">
        <f t="shared" si="142"/>
        <v>9.6</v>
      </c>
      <c r="CA87" s="100">
        <f t="shared" si="143"/>
        <v>84.201222165369416</v>
      </c>
      <c r="CB87" s="51">
        <f t="shared" si="144"/>
        <v>0.97224093854205429</v>
      </c>
      <c r="CC87" s="32">
        <f t="shared" si="123"/>
        <v>59.028432848971903</v>
      </c>
    </row>
    <row r="88" spans="17:81" x14ac:dyDescent="0.3">
      <c r="Q88" s="32">
        <v>81</v>
      </c>
      <c r="S88" s="99">
        <f t="shared" si="89"/>
        <v>60</v>
      </c>
      <c r="T88" s="97">
        <f t="shared" si="124"/>
        <v>0.16200000000000001</v>
      </c>
      <c r="U88" s="97">
        <f t="shared" si="90"/>
        <v>15</v>
      </c>
      <c r="V88" s="100">
        <f t="shared" si="91"/>
        <v>0.81</v>
      </c>
      <c r="W88" s="99">
        <f t="shared" si="92"/>
        <v>2</v>
      </c>
      <c r="X88" s="97">
        <f t="shared" si="93"/>
        <v>0.75</v>
      </c>
      <c r="Y88" s="100">
        <f t="shared" si="94"/>
        <v>0.25</v>
      </c>
      <c r="Z88" s="99">
        <f t="shared" si="95"/>
        <v>0.45000000000000007</v>
      </c>
      <c r="AA88" s="97">
        <f t="shared" si="125"/>
        <v>1.0350000000000001</v>
      </c>
      <c r="AB88" s="97">
        <f t="shared" si="126"/>
        <v>0.82035053483251907</v>
      </c>
      <c r="AC88" s="97">
        <v>0</v>
      </c>
      <c r="AD88" s="97">
        <f t="shared" si="96"/>
        <v>6.7297500000000014E-3</v>
      </c>
      <c r="AE88" s="100">
        <f t="shared" si="127"/>
        <v>6.7297500000000014E-3</v>
      </c>
      <c r="AF88" s="99">
        <f t="shared" si="97"/>
        <v>0.60750000000000004</v>
      </c>
      <c r="AG88" s="97">
        <f t="shared" si="98"/>
        <v>0.71044440317311275</v>
      </c>
      <c r="AH88" s="97">
        <f t="shared" si="99"/>
        <v>2.6156698785000029E-2</v>
      </c>
      <c r="AI88" s="97">
        <f t="shared" si="128"/>
        <v>0.85049999999999992</v>
      </c>
      <c r="AJ88" s="100">
        <f t="shared" si="129"/>
        <v>0.87665669878499997</v>
      </c>
      <c r="AK88" s="99">
        <f t="shared" si="100"/>
        <v>0.20250000000000001</v>
      </c>
      <c r="AL88" s="97">
        <f t="shared" si="101"/>
        <v>0.41017526741625959</v>
      </c>
      <c r="AM88" s="97">
        <f t="shared" si="102"/>
        <v>6.8040000000000003E-2</v>
      </c>
      <c r="AN88" s="97">
        <f t="shared" si="103"/>
        <v>0.75525000000000009</v>
      </c>
      <c r="AO88" s="100">
        <f t="shared" si="130"/>
        <v>0.82329000000000008</v>
      </c>
      <c r="AP88" s="99">
        <f t="shared" si="131"/>
        <v>0</v>
      </c>
      <c r="AQ88" s="97">
        <f t="shared" si="104"/>
        <v>8.7499999999999994E-2</v>
      </c>
      <c r="AR88" s="100">
        <f t="shared" si="105"/>
        <v>1.155E-2</v>
      </c>
      <c r="AS88" s="99">
        <f t="shared" si="70"/>
        <v>0.97570669878499994</v>
      </c>
      <c r="AT88" s="215">
        <f t="shared" si="106"/>
        <v>83.542401927100002</v>
      </c>
      <c r="AU88" s="216">
        <f t="shared" si="107"/>
        <v>6.753434800179918E-2</v>
      </c>
      <c r="AV88" s="97">
        <f t="shared" si="108"/>
        <v>9.7200000000000006</v>
      </c>
      <c r="AW88" s="100">
        <f t="shared" si="132"/>
        <v>90.87758549983576</v>
      </c>
      <c r="AX88" s="32"/>
      <c r="AY88" s="99">
        <f t="shared" si="109"/>
        <v>60</v>
      </c>
      <c r="AZ88" s="97">
        <f t="shared" si="110"/>
        <v>0.16200000000000001</v>
      </c>
      <c r="BA88" s="97">
        <f t="shared" si="111"/>
        <v>15</v>
      </c>
      <c r="BB88" s="100">
        <f t="shared" si="112"/>
        <v>0.81</v>
      </c>
      <c r="BC88" s="99">
        <f t="shared" si="113"/>
        <v>2</v>
      </c>
      <c r="BD88" s="97">
        <f t="shared" si="114"/>
        <v>0.75</v>
      </c>
      <c r="BE88" s="100">
        <f t="shared" si="115"/>
        <v>0.25</v>
      </c>
      <c r="BF88" s="99">
        <f t="shared" si="116"/>
        <v>0.45000000000000007</v>
      </c>
      <c r="BG88" s="97">
        <f t="shared" si="146"/>
        <v>1.0350000000000001</v>
      </c>
      <c r="BH88" s="97">
        <f t="shared" si="147"/>
        <v>0.82035053483251907</v>
      </c>
      <c r="BI88" s="97">
        <v>0</v>
      </c>
      <c r="BJ88" s="97">
        <f t="shared" si="117"/>
        <v>6.7297500000000014E-3</v>
      </c>
      <c r="BK88" s="100">
        <f t="shared" si="133"/>
        <v>6.7297500000000014E-3</v>
      </c>
      <c r="BL88" s="99">
        <f t="shared" si="145"/>
        <v>0.60750000000000004</v>
      </c>
      <c r="BM88" s="97">
        <f t="shared" si="134"/>
        <v>0.71044440317311275</v>
      </c>
      <c r="BN88" s="97">
        <f t="shared" si="135"/>
        <v>3.4086695884883132E-2</v>
      </c>
      <c r="BO88" s="97">
        <f t="shared" si="136"/>
        <v>0.85049999999999992</v>
      </c>
      <c r="BP88" s="100">
        <f t="shared" si="137"/>
        <v>0.88458669588488303</v>
      </c>
      <c r="BQ88" s="99">
        <f t="shared" si="138"/>
        <v>0.20250000000000001</v>
      </c>
      <c r="BR88" s="97">
        <f t="shared" si="118"/>
        <v>0.41017526741625959</v>
      </c>
      <c r="BS88" s="97">
        <f t="shared" si="119"/>
        <v>6.8040000000000003E-2</v>
      </c>
      <c r="BT88" s="97">
        <f t="shared" si="120"/>
        <v>0.75525000000000009</v>
      </c>
      <c r="BU88" s="100">
        <f t="shared" si="139"/>
        <v>0.82329000000000008</v>
      </c>
      <c r="BV88" s="99">
        <f t="shared" si="140"/>
        <v>0</v>
      </c>
      <c r="BW88" s="97">
        <f t="shared" si="121"/>
        <v>8.7499999999999994E-2</v>
      </c>
      <c r="BX88" s="100">
        <f t="shared" si="122"/>
        <v>1.155E-2</v>
      </c>
      <c r="BY88" s="99">
        <f t="shared" si="141"/>
        <v>1.8136564458848832</v>
      </c>
      <c r="BZ88" s="97">
        <f t="shared" si="142"/>
        <v>9.7200000000000006</v>
      </c>
      <c r="CA88" s="100">
        <f t="shared" si="143"/>
        <v>84.27509563515757</v>
      </c>
      <c r="CB88" s="51">
        <f t="shared" si="144"/>
        <v>0.98363669588488301</v>
      </c>
      <c r="CC88" s="32">
        <f t="shared" si="123"/>
        <v>59.427284355970905</v>
      </c>
    </row>
    <row r="89" spans="17:81" x14ac:dyDescent="0.3">
      <c r="Q89" s="32">
        <v>82</v>
      </c>
      <c r="S89" s="99">
        <f t="shared" si="89"/>
        <v>60</v>
      </c>
      <c r="T89" s="97">
        <f t="shared" si="124"/>
        <v>0.16400000000000001</v>
      </c>
      <c r="U89" s="97">
        <f t="shared" si="90"/>
        <v>15</v>
      </c>
      <c r="V89" s="100">
        <f t="shared" si="91"/>
        <v>0.82</v>
      </c>
      <c r="W89" s="99">
        <f t="shared" si="92"/>
        <v>2</v>
      </c>
      <c r="X89" s="97">
        <f t="shared" si="93"/>
        <v>0.75</v>
      </c>
      <c r="Y89" s="100">
        <f t="shared" si="94"/>
        <v>0.25</v>
      </c>
      <c r="Z89" s="99">
        <f t="shared" si="95"/>
        <v>0.45000000000000007</v>
      </c>
      <c r="AA89" s="97">
        <f t="shared" si="125"/>
        <v>1.0449999999999999</v>
      </c>
      <c r="AB89" s="97">
        <f t="shared" si="126"/>
        <v>0.83022587288038663</v>
      </c>
      <c r="AC89" s="97">
        <v>0</v>
      </c>
      <c r="AD89" s="97">
        <f t="shared" si="96"/>
        <v>6.8927499999999987E-3</v>
      </c>
      <c r="AE89" s="100">
        <f t="shared" si="127"/>
        <v>6.8927499999999987E-3</v>
      </c>
      <c r="AF89" s="99">
        <f t="shared" si="97"/>
        <v>0.61499999999999999</v>
      </c>
      <c r="AG89" s="97">
        <f t="shared" si="98"/>
        <v>0.71899669679352485</v>
      </c>
      <c r="AH89" s="97">
        <f t="shared" si="99"/>
        <v>2.6790235231666668E-2</v>
      </c>
      <c r="AI89" s="97">
        <f t="shared" si="128"/>
        <v>0.86099999999999988</v>
      </c>
      <c r="AJ89" s="100">
        <f t="shared" si="129"/>
        <v>0.88779023523166656</v>
      </c>
      <c r="AK89" s="99">
        <f t="shared" si="100"/>
        <v>0.20499999999999999</v>
      </c>
      <c r="AL89" s="97">
        <f t="shared" si="101"/>
        <v>0.41511293644019331</v>
      </c>
      <c r="AM89" s="97">
        <f t="shared" si="102"/>
        <v>6.8879999999999997E-2</v>
      </c>
      <c r="AN89" s="97">
        <f t="shared" si="103"/>
        <v>0.75525000000000009</v>
      </c>
      <c r="AO89" s="100">
        <f t="shared" si="130"/>
        <v>0.82413000000000003</v>
      </c>
      <c r="AP89" s="99">
        <f t="shared" si="131"/>
        <v>0</v>
      </c>
      <c r="AQ89" s="97">
        <f t="shared" si="104"/>
        <v>8.7499999999999994E-2</v>
      </c>
      <c r="AR89" s="100">
        <f t="shared" si="105"/>
        <v>1.155E-2</v>
      </c>
      <c r="AS89" s="99">
        <f t="shared" si="70"/>
        <v>0.98684023523166653</v>
      </c>
      <c r="AT89" s="215">
        <f t="shared" si="106"/>
        <v>84.210414113899986</v>
      </c>
      <c r="AU89" s="216">
        <f t="shared" si="107"/>
        <v>6.7697415417588863E-2</v>
      </c>
      <c r="AV89" s="97">
        <f t="shared" si="108"/>
        <v>9.84</v>
      </c>
      <c r="AW89" s="100">
        <f t="shared" si="132"/>
        <v>90.885242473419112</v>
      </c>
      <c r="AX89" s="32"/>
      <c r="AY89" s="99">
        <f t="shared" si="109"/>
        <v>60</v>
      </c>
      <c r="AZ89" s="97">
        <f t="shared" si="110"/>
        <v>0.16400000000000001</v>
      </c>
      <c r="BA89" s="97">
        <f t="shared" si="111"/>
        <v>15</v>
      </c>
      <c r="BB89" s="100">
        <f t="shared" si="112"/>
        <v>0.82</v>
      </c>
      <c r="BC89" s="99">
        <f t="shared" si="113"/>
        <v>2</v>
      </c>
      <c r="BD89" s="97">
        <f t="shared" si="114"/>
        <v>0.75</v>
      </c>
      <c r="BE89" s="100">
        <f t="shared" si="115"/>
        <v>0.25</v>
      </c>
      <c r="BF89" s="99">
        <f t="shared" si="116"/>
        <v>0.45000000000000007</v>
      </c>
      <c r="BG89" s="97">
        <f t="shared" si="146"/>
        <v>1.0449999999999999</v>
      </c>
      <c r="BH89" s="97">
        <f t="shared" si="147"/>
        <v>0.83022587288038663</v>
      </c>
      <c r="BI89" s="97">
        <v>0</v>
      </c>
      <c r="BJ89" s="97">
        <f t="shared" si="117"/>
        <v>6.8927499999999987E-3</v>
      </c>
      <c r="BK89" s="100">
        <f t="shared" si="133"/>
        <v>6.8927499999999987E-3</v>
      </c>
      <c r="BL89" s="99">
        <f t="shared" si="145"/>
        <v>0.61499999999999999</v>
      </c>
      <c r="BM89" s="97">
        <f t="shared" si="134"/>
        <v>0.71899669679352485</v>
      </c>
      <c r="BN89" s="97">
        <f t="shared" si="135"/>
        <v>3.4996602008968918E-2</v>
      </c>
      <c r="BO89" s="97">
        <f t="shared" si="136"/>
        <v>0.86099999999999988</v>
      </c>
      <c r="BP89" s="100">
        <f t="shared" si="137"/>
        <v>0.8959966020089688</v>
      </c>
      <c r="BQ89" s="99">
        <f t="shared" si="138"/>
        <v>0.20499999999999999</v>
      </c>
      <c r="BR89" s="97">
        <f t="shared" si="118"/>
        <v>0.41511293644019331</v>
      </c>
      <c r="BS89" s="97">
        <f t="shared" si="119"/>
        <v>6.8879999999999997E-2</v>
      </c>
      <c r="BT89" s="97">
        <f t="shared" si="120"/>
        <v>0.75525000000000009</v>
      </c>
      <c r="BU89" s="100">
        <f t="shared" si="139"/>
        <v>0.82413000000000003</v>
      </c>
      <c r="BV89" s="99">
        <f t="shared" si="140"/>
        <v>0</v>
      </c>
      <c r="BW89" s="97">
        <f t="shared" si="121"/>
        <v>8.7499999999999994E-2</v>
      </c>
      <c r="BX89" s="100">
        <f t="shared" si="122"/>
        <v>1.155E-2</v>
      </c>
      <c r="BY89" s="99">
        <f t="shared" si="141"/>
        <v>1.8260693520089688</v>
      </c>
      <c r="BZ89" s="97">
        <f t="shared" si="142"/>
        <v>9.84</v>
      </c>
      <c r="CA89" s="100">
        <f t="shared" si="143"/>
        <v>84.347175583226687</v>
      </c>
      <c r="CB89" s="51">
        <f t="shared" si="144"/>
        <v>0.99504660200896877</v>
      </c>
      <c r="CC89" s="32">
        <f t="shared" si="123"/>
        <v>59.826631070313908</v>
      </c>
    </row>
    <row r="90" spans="17:81" x14ac:dyDescent="0.3">
      <c r="Q90" s="32">
        <v>83</v>
      </c>
      <c r="S90" s="99">
        <f t="shared" si="89"/>
        <v>60</v>
      </c>
      <c r="T90" s="97">
        <f t="shared" si="124"/>
        <v>0.16600000000000001</v>
      </c>
      <c r="U90" s="97">
        <f t="shared" si="90"/>
        <v>15</v>
      </c>
      <c r="V90" s="100">
        <f t="shared" si="91"/>
        <v>0.83000000000000007</v>
      </c>
      <c r="W90" s="99">
        <f t="shared" si="92"/>
        <v>2</v>
      </c>
      <c r="X90" s="97">
        <f t="shared" si="93"/>
        <v>0.75</v>
      </c>
      <c r="Y90" s="100">
        <f t="shared" si="94"/>
        <v>0.25</v>
      </c>
      <c r="Z90" s="99">
        <f t="shared" si="95"/>
        <v>0.45000000000000007</v>
      </c>
      <c r="AA90" s="97">
        <f t="shared" si="125"/>
        <v>1.0550000000000002</v>
      </c>
      <c r="AB90" s="97">
        <f t="shared" si="126"/>
        <v>0.84010416020872081</v>
      </c>
      <c r="AC90" s="97">
        <v>0</v>
      </c>
      <c r="AD90" s="97">
        <f t="shared" si="96"/>
        <v>7.0577500000000007E-3</v>
      </c>
      <c r="AE90" s="100">
        <f t="shared" si="127"/>
        <v>7.0577500000000007E-3</v>
      </c>
      <c r="AF90" s="99">
        <f t="shared" si="97"/>
        <v>0.62250000000000005</v>
      </c>
      <c r="AG90" s="97">
        <f t="shared" si="98"/>
        <v>0.72755154456574433</v>
      </c>
      <c r="AH90" s="97">
        <f t="shared" si="99"/>
        <v>2.7431545131666686E-2</v>
      </c>
      <c r="AI90" s="97">
        <f t="shared" si="128"/>
        <v>0.87150000000000005</v>
      </c>
      <c r="AJ90" s="100">
        <f t="shared" si="129"/>
        <v>0.89893154513166673</v>
      </c>
      <c r="AK90" s="99">
        <f t="shared" si="100"/>
        <v>0.20750000000000002</v>
      </c>
      <c r="AL90" s="97">
        <f t="shared" si="101"/>
        <v>0.42005208010436051</v>
      </c>
      <c r="AM90" s="97">
        <f t="shared" si="102"/>
        <v>6.9720000000000004E-2</v>
      </c>
      <c r="AN90" s="97">
        <f t="shared" si="103"/>
        <v>0.75525000000000009</v>
      </c>
      <c r="AO90" s="100">
        <f t="shared" si="130"/>
        <v>0.82497000000000009</v>
      </c>
      <c r="AP90" s="99">
        <f t="shared" si="131"/>
        <v>0</v>
      </c>
      <c r="AQ90" s="97">
        <f t="shared" si="104"/>
        <v>8.7499999999999994E-2</v>
      </c>
      <c r="AR90" s="100">
        <f t="shared" si="105"/>
        <v>1.155E-2</v>
      </c>
      <c r="AS90" s="99">
        <f t="shared" si="70"/>
        <v>0.9979815451316667</v>
      </c>
      <c r="AT90" s="215">
        <f t="shared" si="106"/>
        <v>84.878892707900008</v>
      </c>
      <c r="AU90" s="216">
        <f t="shared" si="107"/>
        <v>6.7860596687314617E-2</v>
      </c>
      <c r="AV90" s="97">
        <f t="shared" si="108"/>
        <v>9.9600000000000009</v>
      </c>
      <c r="AW90" s="100">
        <f t="shared" si="132"/>
        <v>90.892651707603548</v>
      </c>
      <c r="AX90" s="32"/>
      <c r="AY90" s="99">
        <f t="shared" si="109"/>
        <v>60</v>
      </c>
      <c r="AZ90" s="97">
        <f t="shared" si="110"/>
        <v>0.16600000000000001</v>
      </c>
      <c r="BA90" s="97">
        <f t="shared" si="111"/>
        <v>15</v>
      </c>
      <c r="BB90" s="100">
        <f t="shared" si="112"/>
        <v>0.83000000000000007</v>
      </c>
      <c r="BC90" s="99">
        <f t="shared" si="113"/>
        <v>2</v>
      </c>
      <c r="BD90" s="97">
        <f t="shared" si="114"/>
        <v>0.75</v>
      </c>
      <c r="BE90" s="100">
        <f t="shared" si="115"/>
        <v>0.25</v>
      </c>
      <c r="BF90" s="99">
        <f t="shared" si="116"/>
        <v>0.45000000000000007</v>
      </c>
      <c r="BG90" s="97">
        <f t="shared" si="146"/>
        <v>1.0550000000000002</v>
      </c>
      <c r="BH90" s="97">
        <f t="shared" si="147"/>
        <v>0.84010416020872081</v>
      </c>
      <c r="BI90" s="97">
        <v>0</v>
      </c>
      <c r="BJ90" s="97">
        <f t="shared" si="117"/>
        <v>7.0577500000000007E-3</v>
      </c>
      <c r="BK90" s="100">
        <f t="shared" si="133"/>
        <v>7.0577500000000007E-3</v>
      </c>
      <c r="BL90" s="99">
        <f t="shared" si="145"/>
        <v>0.62250000000000005</v>
      </c>
      <c r="BM90" s="97">
        <f t="shared" si="134"/>
        <v>0.72755154456574433</v>
      </c>
      <c r="BN90" s="97">
        <f t="shared" si="135"/>
        <v>3.5920734470242126E-2</v>
      </c>
      <c r="BO90" s="97">
        <f t="shared" si="136"/>
        <v>0.87150000000000005</v>
      </c>
      <c r="BP90" s="100">
        <f t="shared" si="137"/>
        <v>0.90742073447024219</v>
      </c>
      <c r="BQ90" s="99">
        <f t="shared" si="138"/>
        <v>0.20750000000000002</v>
      </c>
      <c r="BR90" s="97">
        <f t="shared" si="118"/>
        <v>0.42005208010436051</v>
      </c>
      <c r="BS90" s="97">
        <f t="shared" si="119"/>
        <v>6.9720000000000004E-2</v>
      </c>
      <c r="BT90" s="97">
        <f t="shared" si="120"/>
        <v>0.75525000000000009</v>
      </c>
      <c r="BU90" s="100">
        <f t="shared" si="139"/>
        <v>0.82497000000000009</v>
      </c>
      <c r="BV90" s="99">
        <f t="shared" si="140"/>
        <v>0</v>
      </c>
      <c r="BW90" s="97">
        <f t="shared" si="121"/>
        <v>8.7499999999999994E-2</v>
      </c>
      <c r="BX90" s="100">
        <f t="shared" si="122"/>
        <v>1.155E-2</v>
      </c>
      <c r="BY90" s="99">
        <f t="shared" si="141"/>
        <v>1.8384984844702421</v>
      </c>
      <c r="BZ90" s="97">
        <f t="shared" si="142"/>
        <v>9.9600000000000009</v>
      </c>
      <c r="CA90" s="100">
        <f t="shared" si="143"/>
        <v>84.417521544032368</v>
      </c>
      <c r="CB90" s="51">
        <f t="shared" si="144"/>
        <v>1.0064707344702422</v>
      </c>
      <c r="CC90" s="32">
        <f t="shared" si="123"/>
        <v>60.226475706458473</v>
      </c>
    </row>
    <row r="91" spans="17:81" x14ac:dyDescent="0.3">
      <c r="Q91" s="32">
        <v>84</v>
      </c>
      <c r="S91" s="99">
        <f t="shared" si="89"/>
        <v>60</v>
      </c>
      <c r="T91" s="97">
        <f t="shared" si="124"/>
        <v>0.16800000000000001</v>
      </c>
      <c r="U91" s="97">
        <f t="shared" si="90"/>
        <v>15</v>
      </c>
      <c r="V91" s="100">
        <f t="shared" si="91"/>
        <v>0.84</v>
      </c>
      <c r="W91" s="99">
        <f t="shared" si="92"/>
        <v>2</v>
      </c>
      <c r="X91" s="97">
        <f t="shared" si="93"/>
        <v>0.75</v>
      </c>
      <c r="Y91" s="100">
        <f t="shared" si="94"/>
        <v>0.25</v>
      </c>
      <c r="Z91" s="99">
        <f t="shared" si="95"/>
        <v>0.45000000000000007</v>
      </c>
      <c r="AA91" s="97">
        <f t="shared" si="125"/>
        <v>1.0649999999999999</v>
      </c>
      <c r="AB91" s="97">
        <f t="shared" si="126"/>
        <v>0.84998529399043121</v>
      </c>
      <c r="AC91" s="97">
        <v>0</v>
      </c>
      <c r="AD91" s="97">
        <f t="shared" si="96"/>
        <v>7.2247499999999977E-3</v>
      </c>
      <c r="AE91" s="100">
        <f t="shared" si="127"/>
        <v>7.2247499999999977E-3</v>
      </c>
      <c r="AF91" s="99">
        <f t="shared" si="97"/>
        <v>0.63</v>
      </c>
      <c r="AG91" s="97">
        <f t="shared" si="98"/>
        <v>0.73610885743889809</v>
      </c>
      <c r="AH91" s="97">
        <f t="shared" si="99"/>
        <v>2.8080628485000009E-2</v>
      </c>
      <c r="AI91" s="97">
        <f t="shared" si="128"/>
        <v>0.88200000000000001</v>
      </c>
      <c r="AJ91" s="100">
        <f t="shared" si="129"/>
        <v>0.91008062848500004</v>
      </c>
      <c r="AK91" s="99">
        <f t="shared" si="100"/>
        <v>0.21</v>
      </c>
      <c r="AL91" s="97">
        <f t="shared" si="101"/>
        <v>0.42499264699521561</v>
      </c>
      <c r="AM91" s="97">
        <f t="shared" si="102"/>
        <v>7.0559999999999998E-2</v>
      </c>
      <c r="AN91" s="97">
        <f t="shared" si="103"/>
        <v>0.75525000000000009</v>
      </c>
      <c r="AO91" s="100">
        <f t="shared" si="130"/>
        <v>0.82581000000000004</v>
      </c>
      <c r="AP91" s="99">
        <f t="shared" si="131"/>
        <v>0</v>
      </c>
      <c r="AQ91" s="97">
        <f t="shared" si="104"/>
        <v>8.7499999999999994E-2</v>
      </c>
      <c r="AR91" s="100">
        <f t="shared" si="105"/>
        <v>1.155E-2</v>
      </c>
      <c r="AS91" s="99">
        <f t="shared" si="70"/>
        <v>1.0091306284850001</v>
      </c>
      <c r="AT91" s="215">
        <f t="shared" si="106"/>
        <v>85.547837709100008</v>
      </c>
      <c r="AU91" s="216">
        <f t="shared" si="107"/>
        <v>6.8023891810976442E-2</v>
      </c>
      <c r="AV91" s="97">
        <f t="shared" si="108"/>
        <v>10.08</v>
      </c>
      <c r="AW91" s="100">
        <f t="shared" si="132"/>
        <v>90.89982197618977</v>
      </c>
      <c r="AX91" s="32"/>
      <c r="AY91" s="99">
        <f t="shared" si="109"/>
        <v>60</v>
      </c>
      <c r="AZ91" s="97">
        <f t="shared" si="110"/>
        <v>0.16800000000000001</v>
      </c>
      <c r="BA91" s="97">
        <f t="shared" si="111"/>
        <v>15</v>
      </c>
      <c r="BB91" s="100">
        <f t="shared" si="112"/>
        <v>0.84</v>
      </c>
      <c r="BC91" s="99">
        <f t="shared" si="113"/>
        <v>2</v>
      </c>
      <c r="BD91" s="97">
        <f t="shared" si="114"/>
        <v>0.75</v>
      </c>
      <c r="BE91" s="100">
        <f t="shared" si="115"/>
        <v>0.25</v>
      </c>
      <c r="BF91" s="99">
        <f t="shared" si="116"/>
        <v>0.45000000000000007</v>
      </c>
      <c r="BG91" s="97">
        <f t="shared" si="146"/>
        <v>1.0649999999999999</v>
      </c>
      <c r="BH91" s="97">
        <f t="shared" si="147"/>
        <v>0.84998529399043121</v>
      </c>
      <c r="BI91" s="97">
        <v>0</v>
      </c>
      <c r="BJ91" s="97">
        <f t="shared" si="117"/>
        <v>7.2247499999999977E-3</v>
      </c>
      <c r="BK91" s="100">
        <f t="shared" si="133"/>
        <v>7.2247499999999977E-3</v>
      </c>
      <c r="BL91" s="99">
        <f t="shared" si="145"/>
        <v>0.63</v>
      </c>
      <c r="BM91" s="97">
        <f t="shared" si="134"/>
        <v>0.73610885743889809</v>
      </c>
      <c r="BN91" s="97">
        <f t="shared" si="135"/>
        <v>3.6859170927101406E-2</v>
      </c>
      <c r="BO91" s="97">
        <f t="shared" si="136"/>
        <v>0.88200000000000001</v>
      </c>
      <c r="BP91" s="100">
        <f t="shared" si="137"/>
        <v>0.91885917092710145</v>
      </c>
      <c r="BQ91" s="99">
        <f t="shared" si="138"/>
        <v>0.21</v>
      </c>
      <c r="BR91" s="97">
        <f t="shared" si="118"/>
        <v>0.42499264699521561</v>
      </c>
      <c r="BS91" s="97">
        <f t="shared" si="119"/>
        <v>7.0559999999999998E-2</v>
      </c>
      <c r="BT91" s="97">
        <f t="shared" si="120"/>
        <v>0.75525000000000009</v>
      </c>
      <c r="BU91" s="100">
        <f t="shared" si="139"/>
        <v>0.82581000000000004</v>
      </c>
      <c r="BV91" s="99">
        <f t="shared" si="140"/>
        <v>0</v>
      </c>
      <c r="BW91" s="97">
        <f t="shared" si="121"/>
        <v>8.7499999999999994E-2</v>
      </c>
      <c r="BX91" s="100">
        <f t="shared" si="122"/>
        <v>1.155E-2</v>
      </c>
      <c r="BY91" s="99">
        <f t="shared" si="141"/>
        <v>1.8509439209271012</v>
      </c>
      <c r="BZ91" s="97">
        <f t="shared" si="142"/>
        <v>10.08</v>
      </c>
      <c r="CA91" s="100">
        <f t="shared" si="143"/>
        <v>84.486190420520629</v>
      </c>
      <c r="CB91" s="51">
        <f t="shared" si="144"/>
        <v>1.0179091709271013</v>
      </c>
      <c r="CC91" s="32">
        <f t="shared" si="123"/>
        <v>60.62682098244855</v>
      </c>
    </row>
    <row r="92" spans="17:81" x14ac:dyDescent="0.3">
      <c r="Q92" s="32">
        <v>85</v>
      </c>
      <c r="S92" s="99">
        <f t="shared" si="89"/>
        <v>60</v>
      </c>
      <c r="T92" s="97">
        <f t="shared" si="124"/>
        <v>0.17</v>
      </c>
      <c r="U92" s="97">
        <f t="shared" si="90"/>
        <v>15</v>
      </c>
      <c r="V92" s="100">
        <f t="shared" si="91"/>
        <v>0.85000000000000009</v>
      </c>
      <c r="W92" s="99">
        <f t="shared" si="92"/>
        <v>2</v>
      </c>
      <c r="X92" s="97">
        <f t="shared" si="93"/>
        <v>0.75</v>
      </c>
      <c r="Y92" s="100">
        <f t="shared" si="94"/>
        <v>0.25</v>
      </c>
      <c r="Z92" s="99">
        <f t="shared" si="95"/>
        <v>0.45000000000000007</v>
      </c>
      <c r="AA92" s="97">
        <f t="shared" si="125"/>
        <v>1.0750000000000002</v>
      </c>
      <c r="AB92" s="97">
        <f t="shared" si="126"/>
        <v>0.859869176095992</v>
      </c>
      <c r="AC92" s="97">
        <v>0</v>
      </c>
      <c r="AD92" s="97">
        <f t="shared" si="96"/>
        <v>7.393750000000001E-3</v>
      </c>
      <c r="AE92" s="100">
        <f t="shared" si="127"/>
        <v>7.393750000000001E-3</v>
      </c>
      <c r="AF92" s="99">
        <f t="shared" si="97"/>
        <v>0.63750000000000007</v>
      </c>
      <c r="AG92" s="97">
        <f t="shared" si="98"/>
        <v>0.74466855043032421</v>
      </c>
      <c r="AH92" s="97">
        <f t="shared" si="99"/>
        <v>2.8737485291666687E-2</v>
      </c>
      <c r="AI92" s="97">
        <f t="shared" si="128"/>
        <v>0.89250000000000007</v>
      </c>
      <c r="AJ92" s="100">
        <f t="shared" si="129"/>
        <v>0.92123748529166671</v>
      </c>
      <c r="AK92" s="99">
        <f t="shared" si="100"/>
        <v>0.21250000000000002</v>
      </c>
      <c r="AL92" s="97">
        <f t="shared" si="101"/>
        <v>0.42993458804799606</v>
      </c>
      <c r="AM92" s="97">
        <f t="shared" si="102"/>
        <v>7.1400000000000005E-2</v>
      </c>
      <c r="AN92" s="97">
        <f t="shared" si="103"/>
        <v>0.75525000000000009</v>
      </c>
      <c r="AO92" s="100">
        <f t="shared" si="130"/>
        <v>0.82665000000000011</v>
      </c>
      <c r="AP92" s="99">
        <f t="shared" si="131"/>
        <v>0</v>
      </c>
      <c r="AQ92" s="97">
        <f t="shared" si="104"/>
        <v>8.7499999999999994E-2</v>
      </c>
      <c r="AR92" s="100">
        <f t="shared" si="105"/>
        <v>1.155E-2</v>
      </c>
      <c r="AS92" s="99">
        <f t="shared" si="70"/>
        <v>1.0202874852916666</v>
      </c>
      <c r="AT92" s="215">
        <f t="shared" si="106"/>
        <v>86.217249117499989</v>
      </c>
      <c r="AU92" s="216">
        <f t="shared" si="107"/>
        <v>6.8187300788574323E-2</v>
      </c>
      <c r="AV92" s="97">
        <f t="shared" si="108"/>
        <v>10.200000000000001</v>
      </c>
      <c r="AW92" s="100">
        <f t="shared" si="132"/>
        <v>90.906761643771333</v>
      </c>
      <c r="AX92" s="32"/>
      <c r="AY92" s="99">
        <f t="shared" si="109"/>
        <v>60</v>
      </c>
      <c r="AZ92" s="97">
        <f t="shared" si="110"/>
        <v>0.17</v>
      </c>
      <c r="BA92" s="97">
        <f t="shared" si="111"/>
        <v>15</v>
      </c>
      <c r="BB92" s="100">
        <f t="shared" si="112"/>
        <v>0.85000000000000009</v>
      </c>
      <c r="BC92" s="99">
        <f t="shared" si="113"/>
        <v>2</v>
      </c>
      <c r="BD92" s="97">
        <f t="shared" si="114"/>
        <v>0.75</v>
      </c>
      <c r="BE92" s="100">
        <f t="shared" si="115"/>
        <v>0.25</v>
      </c>
      <c r="BF92" s="99">
        <f t="shared" si="116"/>
        <v>0.45000000000000007</v>
      </c>
      <c r="BG92" s="97">
        <f t="shared" si="146"/>
        <v>1.0750000000000002</v>
      </c>
      <c r="BH92" s="97">
        <f t="shared" si="147"/>
        <v>0.859869176095992</v>
      </c>
      <c r="BI92" s="97">
        <v>0</v>
      </c>
      <c r="BJ92" s="97">
        <f t="shared" si="117"/>
        <v>7.393750000000001E-3</v>
      </c>
      <c r="BK92" s="100">
        <f t="shared" si="133"/>
        <v>7.393750000000001E-3</v>
      </c>
      <c r="BL92" s="99">
        <f t="shared" si="145"/>
        <v>0.63750000000000007</v>
      </c>
      <c r="BM92" s="97">
        <f t="shared" si="134"/>
        <v>0.74466855043032421</v>
      </c>
      <c r="BN92" s="97">
        <f t="shared" si="135"/>
        <v>3.7811989140414122E-2</v>
      </c>
      <c r="BO92" s="97">
        <f t="shared" si="136"/>
        <v>0.89250000000000007</v>
      </c>
      <c r="BP92" s="100">
        <f t="shared" si="137"/>
        <v>0.93031198914041424</v>
      </c>
      <c r="BQ92" s="99">
        <f t="shared" si="138"/>
        <v>0.21250000000000002</v>
      </c>
      <c r="BR92" s="97">
        <f t="shared" si="118"/>
        <v>0.42993458804799606</v>
      </c>
      <c r="BS92" s="97">
        <f t="shared" si="119"/>
        <v>7.1400000000000005E-2</v>
      </c>
      <c r="BT92" s="97">
        <f t="shared" si="120"/>
        <v>0.75525000000000009</v>
      </c>
      <c r="BU92" s="100">
        <f t="shared" si="139"/>
        <v>0.82665000000000011</v>
      </c>
      <c r="BV92" s="99">
        <f t="shared" si="140"/>
        <v>0</v>
      </c>
      <c r="BW92" s="97">
        <f t="shared" si="121"/>
        <v>8.7499999999999994E-2</v>
      </c>
      <c r="BX92" s="100">
        <f t="shared" si="122"/>
        <v>1.155E-2</v>
      </c>
      <c r="BY92" s="99">
        <f t="shared" si="141"/>
        <v>1.8634057391404144</v>
      </c>
      <c r="BZ92" s="97">
        <f t="shared" si="142"/>
        <v>10.200000000000001</v>
      </c>
      <c r="CA92" s="100">
        <f t="shared" si="143"/>
        <v>84.553236627907751</v>
      </c>
      <c r="CB92" s="51">
        <f t="shared" si="144"/>
        <v>1.0293619891404142</v>
      </c>
      <c r="CC92" s="32">
        <f t="shared" si="123"/>
        <v>61.027669619914498</v>
      </c>
    </row>
    <row r="93" spans="17:81" x14ac:dyDescent="0.3">
      <c r="Q93" s="32">
        <v>86</v>
      </c>
      <c r="S93" s="99">
        <f t="shared" si="89"/>
        <v>60</v>
      </c>
      <c r="T93" s="97">
        <f t="shared" si="124"/>
        <v>0.17200000000000001</v>
      </c>
      <c r="U93" s="97">
        <f t="shared" si="90"/>
        <v>15</v>
      </c>
      <c r="V93" s="100">
        <f t="shared" si="91"/>
        <v>0.86</v>
      </c>
      <c r="W93" s="99">
        <f t="shared" si="92"/>
        <v>2</v>
      </c>
      <c r="X93" s="97">
        <f t="shared" si="93"/>
        <v>0.75</v>
      </c>
      <c r="Y93" s="100">
        <f t="shared" si="94"/>
        <v>0.25</v>
      </c>
      <c r="Z93" s="99">
        <f t="shared" si="95"/>
        <v>0.45000000000000007</v>
      </c>
      <c r="AA93" s="97">
        <f t="shared" si="125"/>
        <v>1.085</v>
      </c>
      <c r="AB93" s="97">
        <f t="shared" si="126"/>
        <v>0.86975571282975772</v>
      </c>
      <c r="AC93" s="97">
        <v>0</v>
      </c>
      <c r="AD93" s="97">
        <f t="shared" si="96"/>
        <v>7.5647500000000003E-3</v>
      </c>
      <c r="AE93" s="100">
        <f t="shared" si="127"/>
        <v>7.5647500000000003E-3</v>
      </c>
      <c r="AF93" s="99">
        <f t="shared" si="97"/>
        <v>0.64500000000000002</v>
      </c>
      <c r="AG93" s="97">
        <f t="shared" si="98"/>
        <v>0.75323054239721321</v>
      </c>
      <c r="AH93" s="97">
        <f t="shared" si="99"/>
        <v>2.9402115551666674E-2</v>
      </c>
      <c r="AI93" s="97">
        <f t="shared" si="128"/>
        <v>0.90300000000000002</v>
      </c>
      <c r="AJ93" s="100">
        <f t="shared" si="129"/>
        <v>0.93240211555166674</v>
      </c>
      <c r="AK93" s="99">
        <f t="shared" si="100"/>
        <v>0.215</v>
      </c>
      <c r="AL93" s="97">
        <f t="shared" si="101"/>
        <v>0.43487785641487886</v>
      </c>
      <c r="AM93" s="97">
        <f t="shared" si="102"/>
        <v>7.2239999999999999E-2</v>
      </c>
      <c r="AN93" s="97">
        <f t="shared" si="103"/>
        <v>0.75525000000000009</v>
      </c>
      <c r="AO93" s="100">
        <f t="shared" si="130"/>
        <v>0.82749000000000006</v>
      </c>
      <c r="AP93" s="99">
        <f t="shared" si="131"/>
        <v>0</v>
      </c>
      <c r="AQ93" s="97">
        <f t="shared" si="104"/>
        <v>8.7499999999999994E-2</v>
      </c>
      <c r="AR93" s="100">
        <f t="shared" si="105"/>
        <v>1.155E-2</v>
      </c>
      <c r="AS93" s="99">
        <f t="shared" si="70"/>
        <v>1.0314521155516667</v>
      </c>
      <c r="AT93" s="215">
        <f t="shared" si="106"/>
        <v>86.887126933100006</v>
      </c>
      <c r="AU93" s="216">
        <f t="shared" si="107"/>
        <v>6.8350823620108289E-2</v>
      </c>
      <c r="AV93" s="97">
        <f t="shared" si="108"/>
        <v>10.32</v>
      </c>
      <c r="AW93" s="100">
        <f t="shared" si="132"/>
        <v>90.913478689316236</v>
      </c>
      <c r="AX93" s="32"/>
      <c r="AY93" s="99">
        <f t="shared" si="109"/>
        <v>60</v>
      </c>
      <c r="AZ93" s="97">
        <f t="shared" si="110"/>
        <v>0.17200000000000001</v>
      </c>
      <c r="BA93" s="97">
        <f t="shared" si="111"/>
        <v>15</v>
      </c>
      <c r="BB93" s="100">
        <f t="shared" si="112"/>
        <v>0.86</v>
      </c>
      <c r="BC93" s="99">
        <f t="shared" si="113"/>
        <v>2</v>
      </c>
      <c r="BD93" s="97">
        <f t="shared" si="114"/>
        <v>0.75</v>
      </c>
      <c r="BE93" s="100">
        <f t="shared" si="115"/>
        <v>0.25</v>
      </c>
      <c r="BF93" s="99">
        <f t="shared" si="116"/>
        <v>0.45000000000000007</v>
      </c>
      <c r="BG93" s="97">
        <f t="shared" si="146"/>
        <v>1.085</v>
      </c>
      <c r="BH93" s="97">
        <f t="shared" si="147"/>
        <v>0.86975571282975772</v>
      </c>
      <c r="BI93" s="97">
        <v>0</v>
      </c>
      <c r="BJ93" s="97">
        <f t="shared" si="117"/>
        <v>7.5647500000000003E-3</v>
      </c>
      <c r="BK93" s="100">
        <f t="shared" si="133"/>
        <v>7.5647500000000003E-3</v>
      </c>
      <c r="BL93" s="99">
        <f t="shared" si="145"/>
        <v>0.64500000000000002</v>
      </c>
      <c r="BM93" s="97">
        <f t="shared" si="134"/>
        <v>0.75323054239721321</v>
      </c>
      <c r="BN93" s="97">
        <f t="shared" si="135"/>
        <v>3.8779266973516066E-2</v>
      </c>
      <c r="BO93" s="97">
        <f t="shared" si="136"/>
        <v>0.90300000000000002</v>
      </c>
      <c r="BP93" s="100">
        <f t="shared" si="137"/>
        <v>0.9417792669735161</v>
      </c>
      <c r="BQ93" s="99">
        <f t="shared" si="138"/>
        <v>0.215</v>
      </c>
      <c r="BR93" s="97">
        <f t="shared" si="118"/>
        <v>0.43487785641487886</v>
      </c>
      <c r="BS93" s="97">
        <f t="shared" si="119"/>
        <v>7.2239999999999999E-2</v>
      </c>
      <c r="BT93" s="97">
        <f t="shared" si="120"/>
        <v>0.75525000000000009</v>
      </c>
      <c r="BU93" s="100">
        <f t="shared" si="139"/>
        <v>0.82749000000000006</v>
      </c>
      <c r="BV93" s="99">
        <f t="shared" si="140"/>
        <v>0</v>
      </c>
      <c r="BW93" s="97">
        <f t="shared" si="121"/>
        <v>8.7499999999999994E-2</v>
      </c>
      <c r="BX93" s="100">
        <f t="shared" si="122"/>
        <v>1.155E-2</v>
      </c>
      <c r="BY93" s="99">
        <f t="shared" si="141"/>
        <v>1.875884016973516</v>
      </c>
      <c r="BZ93" s="97">
        <f t="shared" si="142"/>
        <v>10.32</v>
      </c>
      <c r="CA93" s="100">
        <f t="shared" si="143"/>
        <v>84.618712228135578</v>
      </c>
      <c r="CB93" s="51">
        <f t="shared" si="144"/>
        <v>1.040829266973516</v>
      </c>
      <c r="CC93" s="32">
        <f t="shared" si="123"/>
        <v>61.429024344073056</v>
      </c>
    </row>
    <row r="94" spans="17:81" x14ac:dyDescent="0.3">
      <c r="Q94" s="32">
        <v>87</v>
      </c>
      <c r="S94" s="99">
        <f t="shared" si="89"/>
        <v>60</v>
      </c>
      <c r="T94" s="97">
        <f t="shared" si="124"/>
        <v>0.17400000000000002</v>
      </c>
      <c r="U94" s="97">
        <f t="shared" si="90"/>
        <v>15</v>
      </c>
      <c r="V94" s="100">
        <f t="shared" si="91"/>
        <v>0.87000000000000011</v>
      </c>
      <c r="W94" s="99">
        <f t="shared" si="92"/>
        <v>2</v>
      </c>
      <c r="X94" s="97">
        <f t="shared" si="93"/>
        <v>0.75</v>
      </c>
      <c r="Y94" s="100">
        <f t="shared" si="94"/>
        <v>0.25</v>
      </c>
      <c r="Z94" s="99">
        <f t="shared" si="95"/>
        <v>0.45000000000000007</v>
      </c>
      <c r="AA94" s="97">
        <f t="shared" si="125"/>
        <v>1.0950000000000002</v>
      </c>
      <c r="AB94" s="97">
        <f t="shared" si="126"/>
        <v>0.87964481468374511</v>
      </c>
      <c r="AC94" s="97">
        <v>0</v>
      </c>
      <c r="AD94" s="97">
        <f t="shared" si="96"/>
        <v>7.7377500000000033E-3</v>
      </c>
      <c r="AE94" s="100">
        <f t="shared" si="127"/>
        <v>7.7377500000000033E-3</v>
      </c>
      <c r="AF94" s="99">
        <f t="shared" si="97"/>
        <v>0.65250000000000008</v>
      </c>
      <c r="AG94" s="97">
        <f t="shared" si="98"/>
        <v>0.76179475582337808</v>
      </c>
      <c r="AH94" s="97">
        <f t="shared" si="99"/>
        <v>3.0074519265000019E-2</v>
      </c>
      <c r="AI94" s="97">
        <f t="shared" si="128"/>
        <v>0.91349999999999998</v>
      </c>
      <c r="AJ94" s="100">
        <f t="shared" si="129"/>
        <v>0.94357451926500002</v>
      </c>
      <c r="AK94" s="99">
        <f t="shared" si="100"/>
        <v>0.21750000000000003</v>
      </c>
      <c r="AL94" s="97">
        <f t="shared" si="101"/>
        <v>0.43982240734187256</v>
      </c>
      <c r="AM94" s="97">
        <f t="shared" si="102"/>
        <v>7.3080000000000006E-2</v>
      </c>
      <c r="AN94" s="97">
        <f t="shared" si="103"/>
        <v>0.75525000000000009</v>
      </c>
      <c r="AO94" s="100">
        <f t="shared" si="130"/>
        <v>0.82833000000000012</v>
      </c>
      <c r="AP94" s="99">
        <f t="shared" si="131"/>
        <v>0</v>
      </c>
      <c r="AQ94" s="97">
        <f t="shared" si="104"/>
        <v>8.7499999999999994E-2</v>
      </c>
      <c r="AR94" s="100">
        <f t="shared" si="105"/>
        <v>1.155E-2</v>
      </c>
      <c r="AS94" s="99">
        <f t="shared" si="70"/>
        <v>1.0426245192649999</v>
      </c>
      <c r="AT94" s="215">
        <f t="shared" si="106"/>
        <v>87.557471155899989</v>
      </c>
      <c r="AU94" s="216">
        <f t="shared" si="107"/>
        <v>6.8514460305578312E-2</v>
      </c>
      <c r="AV94" s="97">
        <f t="shared" si="108"/>
        <v>10.440000000000001</v>
      </c>
      <c r="AW94" s="100">
        <f t="shared" si="132"/>
        <v>90.91998072813638</v>
      </c>
      <c r="AX94" s="32"/>
      <c r="AY94" s="99">
        <f t="shared" si="109"/>
        <v>60</v>
      </c>
      <c r="AZ94" s="97">
        <f t="shared" si="110"/>
        <v>0.17400000000000002</v>
      </c>
      <c r="BA94" s="97">
        <f t="shared" si="111"/>
        <v>15</v>
      </c>
      <c r="BB94" s="100">
        <f t="shared" si="112"/>
        <v>0.87000000000000011</v>
      </c>
      <c r="BC94" s="99">
        <f t="shared" si="113"/>
        <v>2</v>
      </c>
      <c r="BD94" s="97">
        <f t="shared" si="114"/>
        <v>0.75</v>
      </c>
      <c r="BE94" s="100">
        <f t="shared" si="115"/>
        <v>0.25</v>
      </c>
      <c r="BF94" s="99">
        <f t="shared" si="116"/>
        <v>0.45000000000000007</v>
      </c>
      <c r="BG94" s="97">
        <f t="shared" si="146"/>
        <v>1.0950000000000002</v>
      </c>
      <c r="BH94" s="97">
        <f t="shared" si="147"/>
        <v>0.87964481468374511</v>
      </c>
      <c r="BI94" s="97">
        <v>0</v>
      </c>
      <c r="BJ94" s="97">
        <f t="shared" si="117"/>
        <v>7.7377500000000033E-3</v>
      </c>
      <c r="BK94" s="100">
        <f t="shared" si="133"/>
        <v>7.7377500000000033E-3</v>
      </c>
      <c r="BL94" s="99">
        <f t="shared" si="145"/>
        <v>0.65250000000000008</v>
      </c>
      <c r="BM94" s="97">
        <f t="shared" si="134"/>
        <v>0.76179475582337808</v>
      </c>
      <c r="BN94" s="97">
        <f t="shared" si="135"/>
        <v>3.9761082392211655E-2</v>
      </c>
      <c r="BO94" s="97">
        <f t="shared" si="136"/>
        <v>0.91349999999999998</v>
      </c>
      <c r="BP94" s="100">
        <f t="shared" si="137"/>
        <v>0.95326108239221163</v>
      </c>
      <c r="BQ94" s="99">
        <f t="shared" si="138"/>
        <v>0.21750000000000003</v>
      </c>
      <c r="BR94" s="97">
        <f t="shared" si="118"/>
        <v>0.43982240734187256</v>
      </c>
      <c r="BS94" s="97">
        <f t="shared" si="119"/>
        <v>7.3080000000000006E-2</v>
      </c>
      <c r="BT94" s="97">
        <f t="shared" si="120"/>
        <v>0.75525000000000009</v>
      </c>
      <c r="BU94" s="100">
        <f t="shared" si="139"/>
        <v>0.82833000000000012</v>
      </c>
      <c r="BV94" s="99">
        <f t="shared" si="140"/>
        <v>0</v>
      </c>
      <c r="BW94" s="97">
        <f t="shared" si="121"/>
        <v>8.7499999999999994E-2</v>
      </c>
      <c r="BX94" s="100">
        <f t="shared" si="122"/>
        <v>1.155E-2</v>
      </c>
      <c r="BY94" s="99">
        <f t="shared" si="141"/>
        <v>1.8883788323922117</v>
      </c>
      <c r="BZ94" s="97">
        <f t="shared" si="142"/>
        <v>10.440000000000001</v>
      </c>
      <c r="CA94" s="100">
        <f t="shared" si="143"/>
        <v>84.682667055699255</v>
      </c>
      <c r="CB94" s="51">
        <f t="shared" si="144"/>
        <v>1.0523110823922115</v>
      </c>
      <c r="CC94" s="32">
        <f t="shared" si="123"/>
        <v>61.830887883727399</v>
      </c>
    </row>
    <row r="95" spans="17:81" x14ac:dyDescent="0.3">
      <c r="Q95" s="32">
        <v>88</v>
      </c>
      <c r="S95" s="99">
        <f t="shared" si="89"/>
        <v>60</v>
      </c>
      <c r="T95" s="97">
        <f t="shared" si="124"/>
        <v>0.17599999999999999</v>
      </c>
      <c r="U95" s="97">
        <f t="shared" si="90"/>
        <v>15</v>
      </c>
      <c r="V95" s="100">
        <f t="shared" si="91"/>
        <v>0.87999999999999989</v>
      </c>
      <c r="W95" s="99">
        <f t="shared" si="92"/>
        <v>2</v>
      </c>
      <c r="X95" s="97">
        <f t="shared" si="93"/>
        <v>0.75</v>
      </c>
      <c r="Y95" s="100">
        <f t="shared" si="94"/>
        <v>0.25</v>
      </c>
      <c r="Z95" s="99">
        <f t="shared" si="95"/>
        <v>0.45000000000000007</v>
      </c>
      <c r="AA95" s="97">
        <f t="shared" si="125"/>
        <v>1.105</v>
      </c>
      <c r="AB95" s="97">
        <f t="shared" si="126"/>
        <v>0.88953639610754531</v>
      </c>
      <c r="AC95" s="97">
        <v>0</v>
      </c>
      <c r="AD95" s="97">
        <f t="shared" si="96"/>
        <v>7.9127499999999979E-3</v>
      </c>
      <c r="AE95" s="100">
        <f t="shared" si="127"/>
        <v>7.9127499999999979E-3</v>
      </c>
      <c r="AF95" s="99">
        <f t="shared" si="97"/>
        <v>0.65999999999999992</v>
      </c>
      <c r="AG95" s="97">
        <f t="shared" si="98"/>
        <v>0.7703611166199914</v>
      </c>
      <c r="AH95" s="97">
        <f t="shared" si="99"/>
        <v>3.0754696431666676E-2</v>
      </c>
      <c r="AI95" s="97">
        <f t="shared" si="128"/>
        <v>0.92399999999999993</v>
      </c>
      <c r="AJ95" s="100">
        <f t="shared" si="129"/>
        <v>0.95475469643166666</v>
      </c>
      <c r="AK95" s="99">
        <f t="shared" si="100"/>
        <v>0.21999999999999997</v>
      </c>
      <c r="AL95" s="97">
        <f t="shared" si="101"/>
        <v>0.44476819805377277</v>
      </c>
      <c r="AM95" s="97">
        <f t="shared" si="102"/>
        <v>7.392E-2</v>
      </c>
      <c r="AN95" s="97">
        <f t="shared" si="103"/>
        <v>0.75525000000000009</v>
      </c>
      <c r="AO95" s="100">
        <f t="shared" si="130"/>
        <v>0.82917000000000007</v>
      </c>
      <c r="AP95" s="99">
        <f t="shared" si="131"/>
        <v>0</v>
      </c>
      <c r="AQ95" s="97">
        <f t="shared" si="104"/>
        <v>8.7499999999999994E-2</v>
      </c>
      <c r="AR95" s="100">
        <f t="shared" si="105"/>
        <v>1.155E-2</v>
      </c>
      <c r="AS95" s="99">
        <f t="shared" si="70"/>
        <v>1.0538046964316665</v>
      </c>
      <c r="AT95" s="215">
        <f t="shared" si="106"/>
        <v>88.228281785899995</v>
      </c>
      <c r="AU95" s="216">
        <f t="shared" si="107"/>
        <v>6.8678210844984391E-2</v>
      </c>
      <c r="AV95" s="97">
        <f t="shared" si="108"/>
        <v>10.559999999999999</v>
      </c>
      <c r="AW95" s="100">
        <f t="shared" si="132"/>
        <v>90.926275032372061</v>
      </c>
      <c r="AX95" s="32"/>
      <c r="AY95" s="99">
        <f t="shared" si="109"/>
        <v>60</v>
      </c>
      <c r="AZ95" s="97">
        <f t="shared" si="110"/>
        <v>0.17599999999999999</v>
      </c>
      <c r="BA95" s="97">
        <f t="shared" si="111"/>
        <v>15</v>
      </c>
      <c r="BB95" s="100">
        <f t="shared" si="112"/>
        <v>0.87999999999999989</v>
      </c>
      <c r="BC95" s="99">
        <f t="shared" si="113"/>
        <v>2</v>
      </c>
      <c r="BD95" s="97">
        <f t="shared" si="114"/>
        <v>0.75</v>
      </c>
      <c r="BE95" s="100">
        <f t="shared" si="115"/>
        <v>0.25</v>
      </c>
      <c r="BF95" s="99">
        <f t="shared" si="116"/>
        <v>0.45000000000000007</v>
      </c>
      <c r="BG95" s="97">
        <f t="shared" si="146"/>
        <v>1.105</v>
      </c>
      <c r="BH95" s="97">
        <f t="shared" si="147"/>
        <v>0.88953639610754531</v>
      </c>
      <c r="BI95" s="97">
        <v>0</v>
      </c>
      <c r="BJ95" s="97">
        <f t="shared" si="117"/>
        <v>7.9127499999999979E-3</v>
      </c>
      <c r="BK95" s="100">
        <f t="shared" si="133"/>
        <v>7.9127499999999979E-3</v>
      </c>
      <c r="BL95" s="99">
        <f t="shared" si="145"/>
        <v>0.65999999999999992</v>
      </c>
      <c r="BM95" s="97">
        <f t="shared" si="134"/>
        <v>0.7703611166199914</v>
      </c>
      <c r="BN95" s="97">
        <f t="shared" si="135"/>
        <v>4.075751346477377E-2</v>
      </c>
      <c r="BO95" s="97">
        <f t="shared" si="136"/>
        <v>0.92399999999999993</v>
      </c>
      <c r="BP95" s="100">
        <f t="shared" si="137"/>
        <v>0.96475751346477367</v>
      </c>
      <c r="BQ95" s="99">
        <f t="shared" si="138"/>
        <v>0.21999999999999997</v>
      </c>
      <c r="BR95" s="97">
        <f t="shared" si="118"/>
        <v>0.44476819805377277</v>
      </c>
      <c r="BS95" s="97">
        <f t="shared" si="119"/>
        <v>7.392E-2</v>
      </c>
      <c r="BT95" s="97">
        <f t="shared" si="120"/>
        <v>0.75525000000000009</v>
      </c>
      <c r="BU95" s="100">
        <f t="shared" si="139"/>
        <v>0.82917000000000007</v>
      </c>
      <c r="BV95" s="99">
        <f t="shared" si="140"/>
        <v>0</v>
      </c>
      <c r="BW95" s="97">
        <f t="shared" si="121"/>
        <v>8.7499999999999994E-2</v>
      </c>
      <c r="BX95" s="100">
        <f t="shared" si="122"/>
        <v>1.155E-2</v>
      </c>
      <c r="BY95" s="99">
        <f t="shared" si="141"/>
        <v>1.9008902634647737</v>
      </c>
      <c r="BZ95" s="97">
        <f t="shared" si="142"/>
        <v>10.559999999999999</v>
      </c>
      <c r="CA95" s="100">
        <f t="shared" si="143"/>
        <v>84.745148835487555</v>
      </c>
      <c r="CB95" s="51">
        <f t="shared" si="144"/>
        <v>1.0638075134647735</v>
      </c>
      <c r="CC95" s="32">
        <f t="shared" si="123"/>
        <v>62.233262971267074</v>
      </c>
    </row>
    <row r="96" spans="17:81" x14ac:dyDescent="0.3">
      <c r="Q96" s="32">
        <v>89</v>
      </c>
      <c r="S96" s="99">
        <f t="shared" si="89"/>
        <v>60</v>
      </c>
      <c r="T96" s="97">
        <f t="shared" si="124"/>
        <v>0.17799999999999999</v>
      </c>
      <c r="U96" s="97">
        <f t="shared" si="90"/>
        <v>15</v>
      </c>
      <c r="V96" s="100">
        <f t="shared" si="91"/>
        <v>0.89</v>
      </c>
      <c r="W96" s="99">
        <f t="shared" si="92"/>
        <v>2</v>
      </c>
      <c r="X96" s="97">
        <f t="shared" si="93"/>
        <v>0.75</v>
      </c>
      <c r="Y96" s="100">
        <f t="shared" si="94"/>
        <v>0.25</v>
      </c>
      <c r="Z96" s="99">
        <f t="shared" si="95"/>
        <v>0.45000000000000007</v>
      </c>
      <c r="AA96" s="97">
        <f t="shared" si="125"/>
        <v>1.115</v>
      </c>
      <c r="AB96" s="97">
        <f t="shared" si="126"/>
        <v>0.89943037529316294</v>
      </c>
      <c r="AC96" s="97">
        <v>0</v>
      </c>
      <c r="AD96" s="97">
        <f t="shared" si="96"/>
        <v>8.0897499999999997E-3</v>
      </c>
      <c r="AE96" s="100">
        <f t="shared" si="127"/>
        <v>8.0897499999999997E-3</v>
      </c>
      <c r="AF96" s="99">
        <f t="shared" si="97"/>
        <v>0.66749999999999998</v>
      </c>
      <c r="AG96" s="97">
        <f t="shared" si="98"/>
        <v>0.77892955393925067</v>
      </c>
      <c r="AH96" s="97">
        <f t="shared" si="99"/>
        <v>3.1442647051666675E-2</v>
      </c>
      <c r="AI96" s="97">
        <f t="shared" si="128"/>
        <v>0.9345</v>
      </c>
      <c r="AJ96" s="100">
        <f t="shared" si="129"/>
        <v>0.96594264705166666</v>
      </c>
      <c r="AK96" s="99">
        <f t="shared" si="100"/>
        <v>0.2225</v>
      </c>
      <c r="AL96" s="97">
        <f t="shared" si="101"/>
        <v>0.44971518764658153</v>
      </c>
      <c r="AM96" s="97">
        <f t="shared" si="102"/>
        <v>7.4759999999999993E-2</v>
      </c>
      <c r="AN96" s="97">
        <f t="shared" si="103"/>
        <v>0.75525000000000009</v>
      </c>
      <c r="AO96" s="100">
        <f t="shared" si="130"/>
        <v>0.83001000000000014</v>
      </c>
      <c r="AP96" s="99">
        <f t="shared" si="131"/>
        <v>0</v>
      </c>
      <c r="AQ96" s="97">
        <f t="shared" si="104"/>
        <v>8.7499999999999994E-2</v>
      </c>
      <c r="AR96" s="100">
        <f t="shared" si="105"/>
        <v>1.155E-2</v>
      </c>
      <c r="AS96" s="99">
        <f t="shared" ref="AS96:AS157" si="148">AP96+AJ96+AQ96+AR96</f>
        <v>1.0649926470516666</v>
      </c>
      <c r="AT96" s="215">
        <f t="shared" si="106"/>
        <v>88.899558823099994</v>
      </c>
      <c r="AU96" s="216">
        <f t="shared" si="107"/>
        <v>6.8842075238326569E-2</v>
      </c>
      <c r="AV96" s="97">
        <f t="shared" si="108"/>
        <v>10.68</v>
      </c>
      <c r="AW96" s="100">
        <f t="shared" si="132"/>
        <v>90.932368550107086</v>
      </c>
      <c r="AX96" s="32"/>
      <c r="AY96" s="99">
        <f t="shared" si="109"/>
        <v>60</v>
      </c>
      <c r="AZ96" s="97">
        <f t="shared" si="110"/>
        <v>0.17799999999999999</v>
      </c>
      <c r="BA96" s="97">
        <f t="shared" si="111"/>
        <v>15</v>
      </c>
      <c r="BB96" s="100">
        <f t="shared" si="112"/>
        <v>0.89</v>
      </c>
      <c r="BC96" s="99">
        <f t="shared" si="113"/>
        <v>2</v>
      </c>
      <c r="BD96" s="97">
        <f t="shared" si="114"/>
        <v>0.75</v>
      </c>
      <c r="BE96" s="100">
        <f t="shared" si="115"/>
        <v>0.25</v>
      </c>
      <c r="BF96" s="99">
        <f t="shared" si="116"/>
        <v>0.45000000000000007</v>
      </c>
      <c r="BG96" s="97">
        <f t="shared" si="146"/>
        <v>1.115</v>
      </c>
      <c r="BH96" s="97">
        <f t="shared" si="147"/>
        <v>0.89943037529316294</v>
      </c>
      <c r="BI96" s="97">
        <v>0</v>
      </c>
      <c r="BJ96" s="97">
        <f t="shared" si="117"/>
        <v>8.0897499999999997E-3</v>
      </c>
      <c r="BK96" s="100">
        <f t="shared" si="133"/>
        <v>8.0897499999999997E-3</v>
      </c>
      <c r="BL96" s="99">
        <f t="shared" si="145"/>
        <v>0.66749999999999998</v>
      </c>
      <c r="BM96" s="97">
        <f t="shared" si="134"/>
        <v>0.77892955393925067</v>
      </c>
      <c r="BN96" s="97">
        <f t="shared" si="135"/>
        <v>4.176863836194393E-2</v>
      </c>
      <c r="BO96" s="97">
        <f t="shared" si="136"/>
        <v>0.9345</v>
      </c>
      <c r="BP96" s="100">
        <f t="shared" si="137"/>
        <v>0.97626863836194389</v>
      </c>
      <c r="BQ96" s="99">
        <f t="shared" si="138"/>
        <v>0.2225</v>
      </c>
      <c r="BR96" s="97">
        <f t="shared" si="118"/>
        <v>0.44971518764658153</v>
      </c>
      <c r="BS96" s="97">
        <f t="shared" si="119"/>
        <v>7.4759999999999993E-2</v>
      </c>
      <c r="BT96" s="97">
        <f t="shared" si="120"/>
        <v>0.75525000000000009</v>
      </c>
      <c r="BU96" s="100">
        <f t="shared" si="139"/>
        <v>0.83001000000000014</v>
      </c>
      <c r="BV96" s="99">
        <f t="shared" si="140"/>
        <v>0</v>
      </c>
      <c r="BW96" s="97">
        <f t="shared" si="121"/>
        <v>8.7499999999999994E-2</v>
      </c>
      <c r="BX96" s="100">
        <f t="shared" si="122"/>
        <v>1.155E-2</v>
      </c>
      <c r="BY96" s="99">
        <f t="shared" si="141"/>
        <v>1.9134183883619438</v>
      </c>
      <c r="BZ96" s="97">
        <f t="shared" si="142"/>
        <v>10.68</v>
      </c>
      <c r="CA96" s="100">
        <f t="shared" si="143"/>
        <v>84.806203293220165</v>
      </c>
      <c r="CB96" s="51">
        <f t="shared" si="144"/>
        <v>1.0753186383619437</v>
      </c>
      <c r="CC96" s="32">
        <f t="shared" si="123"/>
        <v>62.636152342668034</v>
      </c>
    </row>
    <row r="97" spans="17:81" x14ac:dyDescent="0.3">
      <c r="Q97" s="32">
        <v>90</v>
      </c>
      <c r="S97" s="99">
        <f t="shared" si="89"/>
        <v>60</v>
      </c>
      <c r="T97" s="97">
        <f t="shared" si="124"/>
        <v>0.18</v>
      </c>
      <c r="U97" s="97">
        <f t="shared" si="90"/>
        <v>15</v>
      </c>
      <c r="V97" s="100">
        <f t="shared" si="91"/>
        <v>0.89999999999999991</v>
      </c>
      <c r="W97" s="99">
        <f t="shared" si="92"/>
        <v>2</v>
      </c>
      <c r="X97" s="97">
        <f t="shared" si="93"/>
        <v>0.75</v>
      </c>
      <c r="Y97" s="100">
        <f t="shared" si="94"/>
        <v>0.25</v>
      </c>
      <c r="Z97" s="99">
        <f t="shared" si="95"/>
        <v>0.45000000000000007</v>
      </c>
      <c r="AA97" s="97">
        <f t="shared" si="125"/>
        <v>1.125</v>
      </c>
      <c r="AB97" s="97">
        <f t="shared" si="126"/>
        <v>0.90932667397366052</v>
      </c>
      <c r="AC97" s="97">
        <v>0</v>
      </c>
      <c r="AD97" s="97">
        <f t="shared" si="96"/>
        <v>8.2687500000000001E-3</v>
      </c>
      <c r="AE97" s="100">
        <f t="shared" si="127"/>
        <v>8.2687500000000001E-3</v>
      </c>
      <c r="AF97" s="99">
        <f t="shared" si="97"/>
        <v>0.67499999999999993</v>
      </c>
      <c r="AG97" s="97">
        <f t="shared" si="98"/>
        <v>0.78749999999999998</v>
      </c>
      <c r="AH97" s="97">
        <f t="shared" si="99"/>
        <v>3.2138371125000009E-2</v>
      </c>
      <c r="AI97" s="97">
        <f t="shared" si="128"/>
        <v>0.94499999999999973</v>
      </c>
      <c r="AJ97" s="100">
        <f t="shared" si="129"/>
        <v>0.97713837112499968</v>
      </c>
      <c r="AK97" s="99">
        <f t="shared" si="100"/>
        <v>0.22499999999999998</v>
      </c>
      <c r="AL97" s="97">
        <f t="shared" si="101"/>
        <v>0.45466333698683031</v>
      </c>
      <c r="AM97" s="97">
        <f t="shared" si="102"/>
        <v>7.5600000000000001E-2</v>
      </c>
      <c r="AN97" s="97">
        <f t="shared" si="103"/>
        <v>0.75525000000000009</v>
      </c>
      <c r="AO97" s="100">
        <f t="shared" si="130"/>
        <v>0.83085000000000009</v>
      </c>
      <c r="AP97" s="99">
        <f t="shared" si="131"/>
        <v>0</v>
      </c>
      <c r="AQ97" s="97">
        <f t="shared" si="104"/>
        <v>8.7499999999999994E-2</v>
      </c>
      <c r="AR97" s="100">
        <f t="shared" si="105"/>
        <v>1.155E-2</v>
      </c>
      <c r="AS97" s="99">
        <f t="shared" si="148"/>
        <v>1.0761883711249995</v>
      </c>
      <c r="AT97" s="215">
        <f t="shared" si="106"/>
        <v>89.571302267499973</v>
      </c>
      <c r="AU97" s="216">
        <f t="shared" si="107"/>
        <v>6.9006053485604804E-2</v>
      </c>
      <c r="AV97" s="97">
        <f t="shared" si="108"/>
        <v>10.799999999999999</v>
      </c>
      <c r="AW97" s="100">
        <f t="shared" si="132"/>
        <v>90.938267923220423</v>
      </c>
      <c r="AX97" s="32"/>
      <c r="AY97" s="99">
        <f t="shared" si="109"/>
        <v>60</v>
      </c>
      <c r="AZ97" s="97">
        <f t="shared" si="110"/>
        <v>0.18</v>
      </c>
      <c r="BA97" s="97">
        <f t="shared" si="111"/>
        <v>15</v>
      </c>
      <c r="BB97" s="100">
        <f t="shared" si="112"/>
        <v>0.89999999999999991</v>
      </c>
      <c r="BC97" s="99">
        <f t="shared" si="113"/>
        <v>2</v>
      </c>
      <c r="BD97" s="97">
        <f t="shared" si="114"/>
        <v>0.75</v>
      </c>
      <c r="BE97" s="100">
        <f t="shared" si="115"/>
        <v>0.25</v>
      </c>
      <c r="BF97" s="99">
        <f t="shared" si="116"/>
        <v>0.45000000000000007</v>
      </c>
      <c r="BG97" s="97">
        <f t="shared" si="146"/>
        <v>1.125</v>
      </c>
      <c r="BH97" s="97">
        <f t="shared" si="147"/>
        <v>0.90932667397366052</v>
      </c>
      <c r="BI97" s="97">
        <v>0</v>
      </c>
      <c r="BJ97" s="97">
        <f t="shared" si="117"/>
        <v>8.2687500000000001E-3</v>
      </c>
      <c r="BK97" s="100">
        <f t="shared" si="133"/>
        <v>8.2687500000000001E-3</v>
      </c>
      <c r="BL97" s="99">
        <f t="shared" si="145"/>
        <v>0.67499999999999993</v>
      </c>
      <c r="BM97" s="97">
        <f t="shared" si="134"/>
        <v>0.78749999999999998</v>
      </c>
      <c r="BN97" s="97">
        <f t="shared" si="135"/>
        <v>4.2794535356932104E-2</v>
      </c>
      <c r="BO97" s="97">
        <f t="shared" si="136"/>
        <v>0.94499999999999973</v>
      </c>
      <c r="BP97" s="100">
        <f t="shared" si="137"/>
        <v>0.98779453535693185</v>
      </c>
      <c r="BQ97" s="99">
        <f t="shared" si="138"/>
        <v>0.22499999999999998</v>
      </c>
      <c r="BR97" s="97">
        <f t="shared" si="118"/>
        <v>0.45466333698683031</v>
      </c>
      <c r="BS97" s="97">
        <f t="shared" si="119"/>
        <v>7.5600000000000001E-2</v>
      </c>
      <c r="BT97" s="97">
        <f t="shared" si="120"/>
        <v>0.75525000000000009</v>
      </c>
      <c r="BU97" s="100">
        <f t="shared" si="139"/>
        <v>0.83085000000000009</v>
      </c>
      <c r="BV97" s="99">
        <f t="shared" si="140"/>
        <v>0</v>
      </c>
      <c r="BW97" s="97">
        <f t="shared" si="121"/>
        <v>8.7499999999999994E-2</v>
      </c>
      <c r="BX97" s="100">
        <f t="shared" si="122"/>
        <v>1.155E-2</v>
      </c>
      <c r="BY97" s="99">
        <f t="shared" si="141"/>
        <v>1.925963285356932</v>
      </c>
      <c r="BZ97" s="97">
        <f t="shared" si="142"/>
        <v>10.799999999999999</v>
      </c>
      <c r="CA97" s="100">
        <f t="shared" si="143"/>
        <v>84.865874259019492</v>
      </c>
      <c r="CB97" s="51">
        <f t="shared" si="144"/>
        <v>1.0868445353569318</v>
      </c>
      <c r="CC97" s="32">
        <f t="shared" si="123"/>
        <v>63.039558737492612</v>
      </c>
    </row>
    <row r="98" spans="17:81" x14ac:dyDescent="0.3">
      <c r="Q98" s="32">
        <v>91</v>
      </c>
      <c r="S98" s="99">
        <f t="shared" si="89"/>
        <v>60</v>
      </c>
      <c r="T98" s="97">
        <f t="shared" si="124"/>
        <v>0.182</v>
      </c>
      <c r="U98" s="97">
        <f t="shared" si="90"/>
        <v>15</v>
      </c>
      <c r="V98" s="100">
        <f t="shared" si="91"/>
        <v>0.91</v>
      </c>
      <c r="W98" s="99">
        <f t="shared" si="92"/>
        <v>2</v>
      </c>
      <c r="X98" s="97">
        <f t="shared" si="93"/>
        <v>0.75</v>
      </c>
      <c r="Y98" s="100">
        <f t="shared" si="94"/>
        <v>0.25</v>
      </c>
      <c r="Z98" s="99">
        <f t="shared" si="95"/>
        <v>0.45000000000000007</v>
      </c>
      <c r="AA98" s="97">
        <f t="shared" si="125"/>
        <v>1.135</v>
      </c>
      <c r="AB98" s="97">
        <f t="shared" si="126"/>
        <v>0.91922521723460138</v>
      </c>
      <c r="AC98" s="97">
        <v>0</v>
      </c>
      <c r="AD98" s="97">
        <f t="shared" si="96"/>
        <v>8.4497500000000024E-3</v>
      </c>
      <c r="AE98" s="100">
        <f t="shared" si="127"/>
        <v>8.4497500000000024E-3</v>
      </c>
      <c r="AF98" s="99">
        <f t="shared" si="97"/>
        <v>0.6825</v>
      </c>
      <c r="AG98" s="97">
        <f t="shared" si="98"/>
        <v>0.79607238992443397</v>
      </c>
      <c r="AH98" s="97">
        <f t="shared" si="99"/>
        <v>3.2841868651666682E-2</v>
      </c>
      <c r="AI98" s="97">
        <f t="shared" si="128"/>
        <v>0.95550000000000002</v>
      </c>
      <c r="AJ98" s="100">
        <f t="shared" si="129"/>
        <v>0.98834186865166673</v>
      </c>
      <c r="AK98" s="99">
        <f t="shared" si="100"/>
        <v>0.22750000000000001</v>
      </c>
      <c r="AL98" s="97">
        <f t="shared" si="101"/>
        <v>0.45961260861730069</v>
      </c>
      <c r="AM98" s="97">
        <f t="shared" si="102"/>
        <v>7.6439999999999994E-2</v>
      </c>
      <c r="AN98" s="97">
        <f t="shared" si="103"/>
        <v>0.75525000000000009</v>
      </c>
      <c r="AO98" s="100">
        <f t="shared" si="130"/>
        <v>0.83169000000000004</v>
      </c>
      <c r="AP98" s="99">
        <f t="shared" si="131"/>
        <v>0</v>
      </c>
      <c r="AQ98" s="97">
        <f t="shared" si="104"/>
        <v>8.7499999999999994E-2</v>
      </c>
      <c r="AR98" s="100">
        <f t="shared" si="105"/>
        <v>1.155E-2</v>
      </c>
      <c r="AS98" s="99">
        <f t="shared" si="148"/>
        <v>1.0873918686516666</v>
      </c>
      <c r="AT98" s="215">
        <f t="shared" si="106"/>
        <v>90.243512119099989</v>
      </c>
      <c r="AU98" s="216">
        <f t="shared" si="107"/>
        <v>6.917014558681911E-2</v>
      </c>
      <c r="AV98" s="97">
        <f t="shared" si="108"/>
        <v>10.92</v>
      </c>
      <c r="AW98" s="100">
        <f t="shared" si="132"/>
        <v>90.943979504070498</v>
      </c>
      <c r="AX98" s="32"/>
      <c r="AY98" s="99">
        <f t="shared" si="109"/>
        <v>60</v>
      </c>
      <c r="AZ98" s="97">
        <f t="shared" si="110"/>
        <v>0.182</v>
      </c>
      <c r="BA98" s="97">
        <f t="shared" si="111"/>
        <v>15</v>
      </c>
      <c r="BB98" s="100">
        <f t="shared" si="112"/>
        <v>0.91</v>
      </c>
      <c r="BC98" s="99">
        <f t="shared" si="113"/>
        <v>2</v>
      </c>
      <c r="BD98" s="97">
        <f t="shared" si="114"/>
        <v>0.75</v>
      </c>
      <c r="BE98" s="100">
        <f t="shared" si="115"/>
        <v>0.25</v>
      </c>
      <c r="BF98" s="99">
        <f t="shared" si="116"/>
        <v>0.45000000000000007</v>
      </c>
      <c r="BG98" s="97">
        <f t="shared" si="146"/>
        <v>1.135</v>
      </c>
      <c r="BH98" s="97">
        <f t="shared" si="147"/>
        <v>0.91922521723460138</v>
      </c>
      <c r="BI98" s="97">
        <v>0</v>
      </c>
      <c r="BJ98" s="97">
        <f t="shared" si="117"/>
        <v>8.4497500000000024E-3</v>
      </c>
      <c r="BK98" s="100">
        <f t="shared" si="133"/>
        <v>8.4497500000000024E-3</v>
      </c>
      <c r="BL98" s="99">
        <f t="shared" si="145"/>
        <v>0.6825</v>
      </c>
      <c r="BM98" s="97">
        <f t="shared" si="134"/>
        <v>0.79607238992443397</v>
      </c>
      <c r="BN98" s="97">
        <f t="shared" si="135"/>
        <v>4.3835282825416863E-2</v>
      </c>
      <c r="BO98" s="97">
        <f t="shared" si="136"/>
        <v>0.95550000000000002</v>
      </c>
      <c r="BP98" s="100">
        <f t="shared" si="137"/>
        <v>0.99933528282541684</v>
      </c>
      <c r="BQ98" s="99">
        <f t="shared" si="138"/>
        <v>0.22750000000000001</v>
      </c>
      <c r="BR98" s="97">
        <f t="shared" si="118"/>
        <v>0.45961260861730069</v>
      </c>
      <c r="BS98" s="97">
        <f t="shared" si="119"/>
        <v>7.6439999999999994E-2</v>
      </c>
      <c r="BT98" s="97">
        <f t="shared" si="120"/>
        <v>0.75525000000000009</v>
      </c>
      <c r="BU98" s="100">
        <f t="shared" si="139"/>
        <v>0.83169000000000004</v>
      </c>
      <c r="BV98" s="99">
        <f t="shared" si="140"/>
        <v>0</v>
      </c>
      <c r="BW98" s="97">
        <f t="shared" si="121"/>
        <v>8.7499999999999994E-2</v>
      </c>
      <c r="BX98" s="100">
        <f t="shared" si="122"/>
        <v>1.155E-2</v>
      </c>
      <c r="BY98" s="99">
        <f t="shared" si="141"/>
        <v>1.9385250328254167</v>
      </c>
      <c r="BZ98" s="97">
        <f t="shared" si="142"/>
        <v>10.92</v>
      </c>
      <c r="CA98" s="100">
        <f t="shared" si="143"/>
        <v>84.924203764609672</v>
      </c>
      <c r="CB98" s="51">
        <f t="shared" si="144"/>
        <v>1.0983852828254168</v>
      </c>
      <c r="CC98" s="32">
        <f t="shared" si="123"/>
        <v>63.443484898889587</v>
      </c>
    </row>
    <row r="99" spans="17:81" x14ac:dyDescent="0.3">
      <c r="Q99" s="32">
        <v>92</v>
      </c>
      <c r="S99" s="99">
        <f t="shared" si="89"/>
        <v>60</v>
      </c>
      <c r="T99" s="97">
        <f t="shared" si="124"/>
        <v>0.184</v>
      </c>
      <c r="U99" s="97">
        <f t="shared" si="90"/>
        <v>15</v>
      </c>
      <c r="V99" s="100">
        <f t="shared" si="91"/>
        <v>0.91999999999999993</v>
      </c>
      <c r="W99" s="99">
        <f t="shared" si="92"/>
        <v>2</v>
      </c>
      <c r="X99" s="97">
        <f t="shared" si="93"/>
        <v>0.75</v>
      </c>
      <c r="Y99" s="100">
        <f t="shared" si="94"/>
        <v>0.25</v>
      </c>
      <c r="Z99" s="99">
        <f t="shared" si="95"/>
        <v>0.45000000000000007</v>
      </c>
      <c r="AA99" s="97">
        <f t="shared" si="125"/>
        <v>1.145</v>
      </c>
      <c r="AB99" s="97">
        <f t="shared" si="126"/>
        <v>0.92912593333734894</v>
      </c>
      <c r="AC99" s="97">
        <v>0</v>
      </c>
      <c r="AD99" s="97">
        <f t="shared" si="96"/>
        <v>8.6327499999999981E-3</v>
      </c>
      <c r="AE99" s="100">
        <f t="shared" si="127"/>
        <v>8.6327499999999981E-3</v>
      </c>
      <c r="AF99" s="99">
        <f t="shared" si="97"/>
        <v>0.69</v>
      </c>
      <c r="AG99" s="97">
        <f t="shared" si="98"/>
        <v>0.80464666158507114</v>
      </c>
      <c r="AH99" s="97">
        <f t="shared" si="99"/>
        <v>3.3553139631666673E-2</v>
      </c>
      <c r="AI99" s="97">
        <f t="shared" si="128"/>
        <v>0.96599999999999997</v>
      </c>
      <c r="AJ99" s="100">
        <f t="shared" si="129"/>
        <v>0.99955313963166659</v>
      </c>
      <c r="AK99" s="99">
        <f t="shared" si="100"/>
        <v>0.22999999999999998</v>
      </c>
      <c r="AL99" s="97">
        <f t="shared" si="101"/>
        <v>0.46456296666867458</v>
      </c>
      <c r="AM99" s="97">
        <f t="shared" si="102"/>
        <v>7.7280000000000001E-2</v>
      </c>
      <c r="AN99" s="97">
        <f t="shared" si="103"/>
        <v>0.75525000000000009</v>
      </c>
      <c r="AO99" s="100">
        <f t="shared" si="130"/>
        <v>0.8325300000000001</v>
      </c>
      <c r="AP99" s="99">
        <f t="shared" si="131"/>
        <v>0</v>
      </c>
      <c r="AQ99" s="97">
        <f t="shared" si="104"/>
        <v>8.7499999999999994E-2</v>
      </c>
      <c r="AR99" s="100">
        <f t="shared" si="105"/>
        <v>1.155E-2</v>
      </c>
      <c r="AS99" s="99">
        <f t="shared" si="148"/>
        <v>1.0986031396316664</v>
      </c>
      <c r="AT99" s="215">
        <f t="shared" si="106"/>
        <v>90.916188377899985</v>
      </c>
      <c r="AU99" s="216">
        <f t="shared" si="107"/>
        <v>6.9334351541969486E-2</v>
      </c>
      <c r="AV99" s="97">
        <f t="shared" si="108"/>
        <v>11.04</v>
      </c>
      <c r="AW99" s="100">
        <f t="shared" si="132"/>
        <v>90.949509371100476</v>
      </c>
      <c r="AX99" s="32"/>
      <c r="AY99" s="99">
        <f t="shared" si="109"/>
        <v>60</v>
      </c>
      <c r="AZ99" s="97">
        <f t="shared" si="110"/>
        <v>0.184</v>
      </c>
      <c r="BA99" s="97">
        <f t="shared" si="111"/>
        <v>15</v>
      </c>
      <c r="BB99" s="100">
        <f t="shared" si="112"/>
        <v>0.91999999999999993</v>
      </c>
      <c r="BC99" s="99">
        <f t="shared" si="113"/>
        <v>2</v>
      </c>
      <c r="BD99" s="97">
        <f t="shared" si="114"/>
        <v>0.75</v>
      </c>
      <c r="BE99" s="100">
        <f t="shared" si="115"/>
        <v>0.25</v>
      </c>
      <c r="BF99" s="99">
        <f t="shared" si="116"/>
        <v>0.45000000000000007</v>
      </c>
      <c r="BG99" s="97">
        <f t="shared" si="146"/>
        <v>1.145</v>
      </c>
      <c r="BH99" s="97">
        <f t="shared" si="147"/>
        <v>0.92912593333734894</v>
      </c>
      <c r="BI99" s="97">
        <v>0</v>
      </c>
      <c r="BJ99" s="97">
        <f t="shared" si="117"/>
        <v>8.6327499999999981E-3</v>
      </c>
      <c r="BK99" s="100">
        <f t="shared" si="133"/>
        <v>8.6327499999999981E-3</v>
      </c>
      <c r="BL99" s="99">
        <f t="shared" si="145"/>
        <v>0.69</v>
      </c>
      <c r="BM99" s="97">
        <f t="shared" si="134"/>
        <v>0.80464666158507114</v>
      </c>
      <c r="BN99" s="97">
        <f t="shared" si="135"/>
        <v>4.489095924554528E-2</v>
      </c>
      <c r="BO99" s="97">
        <f t="shared" si="136"/>
        <v>0.96599999999999997</v>
      </c>
      <c r="BP99" s="100">
        <f t="shared" si="137"/>
        <v>1.0108909592455453</v>
      </c>
      <c r="BQ99" s="99">
        <f t="shared" si="138"/>
        <v>0.22999999999999998</v>
      </c>
      <c r="BR99" s="97">
        <f t="shared" si="118"/>
        <v>0.46456296666867458</v>
      </c>
      <c r="BS99" s="97">
        <f t="shared" si="119"/>
        <v>7.7280000000000001E-2</v>
      </c>
      <c r="BT99" s="97">
        <f t="shared" si="120"/>
        <v>0.75525000000000009</v>
      </c>
      <c r="BU99" s="100">
        <f t="shared" si="139"/>
        <v>0.8325300000000001</v>
      </c>
      <c r="BV99" s="99">
        <f t="shared" si="140"/>
        <v>0</v>
      </c>
      <c r="BW99" s="97">
        <f t="shared" si="121"/>
        <v>8.7499999999999994E-2</v>
      </c>
      <c r="BX99" s="100">
        <f t="shared" si="122"/>
        <v>1.155E-2</v>
      </c>
      <c r="BY99" s="99">
        <f t="shared" si="141"/>
        <v>1.9511037092455452</v>
      </c>
      <c r="BZ99" s="97">
        <f t="shared" si="142"/>
        <v>11.04</v>
      </c>
      <c r="CA99" s="100">
        <f t="shared" si="143"/>
        <v>84.981232134595473</v>
      </c>
      <c r="CB99" s="51">
        <f t="shared" si="144"/>
        <v>1.1099409592455451</v>
      </c>
      <c r="CC99" s="32">
        <f t="shared" si="123"/>
        <v>63.847933573594077</v>
      </c>
    </row>
    <row r="100" spans="17:81" x14ac:dyDescent="0.3">
      <c r="Q100" s="32">
        <v>93</v>
      </c>
      <c r="S100" s="99">
        <f t="shared" si="89"/>
        <v>60</v>
      </c>
      <c r="T100" s="97">
        <f t="shared" si="124"/>
        <v>0.186</v>
      </c>
      <c r="U100" s="97">
        <f t="shared" si="90"/>
        <v>15</v>
      </c>
      <c r="V100" s="100">
        <f t="shared" si="91"/>
        <v>0.93</v>
      </c>
      <c r="W100" s="99">
        <f t="shared" si="92"/>
        <v>2</v>
      </c>
      <c r="X100" s="97">
        <f t="shared" si="93"/>
        <v>0.75</v>
      </c>
      <c r="Y100" s="100">
        <f t="shared" si="94"/>
        <v>0.25</v>
      </c>
      <c r="Z100" s="99">
        <f t="shared" si="95"/>
        <v>0.45000000000000007</v>
      </c>
      <c r="AA100" s="97">
        <f t="shared" si="125"/>
        <v>1.155</v>
      </c>
      <c r="AB100" s="97">
        <f t="shared" si="126"/>
        <v>0.93902875355337234</v>
      </c>
      <c r="AC100" s="97">
        <v>0</v>
      </c>
      <c r="AD100" s="97">
        <f t="shared" si="96"/>
        <v>8.8177500000000009E-3</v>
      </c>
      <c r="AE100" s="100">
        <f t="shared" si="127"/>
        <v>8.8177500000000009E-3</v>
      </c>
      <c r="AF100" s="99">
        <f t="shared" si="97"/>
        <v>0.69750000000000001</v>
      </c>
      <c r="AG100" s="97">
        <f t="shared" si="98"/>
        <v>0.81322275546125744</v>
      </c>
      <c r="AH100" s="97">
        <f t="shared" si="99"/>
        <v>3.4272184065000016E-2</v>
      </c>
      <c r="AI100" s="97">
        <f t="shared" si="128"/>
        <v>0.97649999999999992</v>
      </c>
      <c r="AJ100" s="100">
        <f t="shared" si="129"/>
        <v>1.0107721840649999</v>
      </c>
      <c r="AK100" s="99">
        <f t="shared" si="100"/>
        <v>0.23250000000000001</v>
      </c>
      <c r="AL100" s="97">
        <f t="shared" si="101"/>
        <v>0.46951437677668617</v>
      </c>
      <c r="AM100" s="97">
        <f t="shared" si="102"/>
        <v>7.8119999999999995E-2</v>
      </c>
      <c r="AN100" s="97">
        <f t="shared" si="103"/>
        <v>0.75525000000000009</v>
      </c>
      <c r="AO100" s="100">
        <f t="shared" si="130"/>
        <v>0.83337000000000006</v>
      </c>
      <c r="AP100" s="99">
        <f t="shared" si="131"/>
        <v>0</v>
      </c>
      <c r="AQ100" s="97">
        <f t="shared" si="104"/>
        <v>8.7499999999999994E-2</v>
      </c>
      <c r="AR100" s="100">
        <f t="shared" si="105"/>
        <v>1.155E-2</v>
      </c>
      <c r="AS100" s="99">
        <f t="shared" si="148"/>
        <v>1.1098221840649998</v>
      </c>
      <c r="AT100" s="215">
        <f t="shared" si="106"/>
        <v>91.589331043899989</v>
      </c>
      <c r="AU100" s="216">
        <f t="shared" si="107"/>
        <v>6.9498671351055932E-2</v>
      </c>
      <c r="AV100" s="97">
        <f t="shared" si="108"/>
        <v>11.16</v>
      </c>
      <c r="AW100" s="100">
        <f t="shared" si="132"/>
        <v>90.954863343444842</v>
      </c>
      <c r="AX100" s="32"/>
      <c r="AY100" s="99">
        <f t="shared" si="109"/>
        <v>60</v>
      </c>
      <c r="AZ100" s="97">
        <f t="shared" si="110"/>
        <v>0.186</v>
      </c>
      <c r="BA100" s="97">
        <f t="shared" si="111"/>
        <v>15</v>
      </c>
      <c r="BB100" s="100">
        <f t="shared" si="112"/>
        <v>0.93</v>
      </c>
      <c r="BC100" s="99">
        <f t="shared" si="113"/>
        <v>2</v>
      </c>
      <c r="BD100" s="97">
        <f t="shared" si="114"/>
        <v>0.75</v>
      </c>
      <c r="BE100" s="100">
        <f t="shared" si="115"/>
        <v>0.25</v>
      </c>
      <c r="BF100" s="99">
        <f t="shared" si="116"/>
        <v>0.45000000000000007</v>
      </c>
      <c r="BG100" s="97">
        <f t="shared" si="146"/>
        <v>1.155</v>
      </c>
      <c r="BH100" s="97">
        <f t="shared" si="147"/>
        <v>0.93902875355337234</v>
      </c>
      <c r="BI100" s="97">
        <v>0</v>
      </c>
      <c r="BJ100" s="97">
        <f t="shared" si="117"/>
        <v>8.8177500000000009E-3</v>
      </c>
      <c r="BK100" s="100">
        <f t="shared" si="133"/>
        <v>8.8177500000000009E-3</v>
      </c>
      <c r="BL100" s="99">
        <f t="shared" si="145"/>
        <v>0.69750000000000001</v>
      </c>
      <c r="BM100" s="97">
        <f t="shared" si="134"/>
        <v>0.81322275546125744</v>
      </c>
      <c r="BN100" s="97">
        <f t="shared" si="135"/>
        <v>4.5961643197933021E-2</v>
      </c>
      <c r="BO100" s="97">
        <f t="shared" si="136"/>
        <v>0.97649999999999992</v>
      </c>
      <c r="BP100" s="100">
        <f t="shared" si="137"/>
        <v>1.022461643197933</v>
      </c>
      <c r="BQ100" s="99">
        <f t="shared" si="138"/>
        <v>0.23250000000000001</v>
      </c>
      <c r="BR100" s="97">
        <f t="shared" si="118"/>
        <v>0.46951437677668617</v>
      </c>
      <c r="BS100" s="97">
        <f t="shared" si="119"/>
        <v>7.8119999999999995E-2</v>
      </c>
      <c r="BT100" s="97">
        <f t="shared" si="120"/>
        <v>0.75525000000000009</v>
      </c>
      <c r="BU100" s="100">
        <f t="shared" si="139"/>
        <v>0.83337000000000006</v>
      </c>
      <c r="BV100" s="99">
        <f t="shared" si="140"/>
        <v>0</v>
      </c>
      <c r="BW100" s="97">
        <f t="shared" si="121"/>
        <v>8.7499999999999994E-2</v>
      </c>
      <c r="BX100" s="100">
        <f t="shared" si="122"/>
        <v>1.155E-2</v>
      </c>
      <c r="BY100" s="99">
        <f t="shared" si="141"/>
        <v>1.9636993931979327</v>
      </c>
      <c r="BZ100" s="97">
        <f t="shared" si="142"/>
        <v>11.16</v>
      </c>
      <c r="CA100" s="100">
        <f t="shared" si="143"/>
        <v>85.036998072237722</v>
      </c>
      <c r="CB100" s="51">
        <f t="shared" si="144"/>
        <v>1.1215116431979328</v>
      </c>
      <c r="CC100" s="32">
        <f t="shared" si="123"/>
        <v>64.252907511927646</v>
      </c>
    </row>
    <row r="101" spans="17:81" x14ac:dyDescent="0.3">
      <c r="Q101" s="32">
        <v>94</v>
      </c>
      <c r="S101" s="99">
        <f t="shared" si="89"/>
        <v>60</v>
      </c>
      <c r="T101" s="97">
        <f t="shared" si="124"/>
        <v>0.188</v>
      </c>
      <c r="U101" s="97">
        <f t="shared" si="90"/>
        <v>15</v>
      </c>
      <c r="V101" s="100">
        <f t="shared" si="91"/>
        <v>0.94</v>
      </c>
      <c r="W101" s="99">
        <f t="shared" si="92"/>
        <v>2</v>
      </c>
      <c r="X101" s="97">
        <f t="shared" si="93"/>
        <v>0.75</v>
      </c>
      <c r="Y101" s="100">
        <f t="shared" si="94"/>
        <v>0.25</v>
      </c>
      <c r="Z101" s="99">
        <f t="shared" si="95"/>
        <v>0.45000000000000007</v>
      </c>
      <c r="AA101" s="97">
        <f t="shared" si="125"/>
        <v>1.165</v>
      </c>
      <c r="AB101" s="97">
        <f t="shared" si="126"/>
        <v>0.94893361200876425</v>
      </c>
      <c r="AC101" s="97">
        <v>0</v>
      </c>
      <c r="AD101" s="97">
        <f t="shared" si="96"/>
        <v>9.0047499999999989E-3</v>
      </c>
      <c r="AE101" s="100">
        <f t="shared" si="127"/>
        <v>9.0047499999999989E-3</v>
      </c>
      <c r="AF101" s="99">
        <f t="shared" si="97"/>
        <v>0.70499999999999996</v>
      </c>
      <c r="AG101" s="97">
        <f t="shared" si="98"/>
        <v>0.82180061450451602</v>
      </c>
      <c r="AH101" s="97">
        <f t="shared" si="99"/>
        <v>3.4999001951666685E-2</v>
      </c>
      <c r="AI101" s="97">
        <f t="shared" si="128"/>
        <v>0.98699999999999999</v>
      </c>
      <c r="AJ101" s="100">
        <f t="shared" si="129"/>
        <v>1.0219990019516667</v>
      </c>
      <c r="AK101" s="99">
        <f t="shared" si="100"/>
        <v>0.23499999999999999</v>
      </c>
      <c r="AL101" s="97">
        <f t="shared" si="101"/>
        <v>0.47446680600438218</v>
      </c>
      <c r="AM101" s="97">
        <f t="shared" si="102"/>
        <v>7.8960000000000002E-2</v>
      </c>
      <c r="AN101" s="97">
        <f t="shared" si="103"/>
        <v>0.75525000000000009</v>
      </c>
      <c r="AO101" s="100">
        <f t="shared" si="130"/>
        <v>0.83421000000000012</v>
      </c>
      <c r="AP101" s="99">
        <f t="shared" si="131"/>
        <v>0</v>
      </c>
      <c r="AQ101" s="97">
        <f t="shared" si="104"/>
        <v>8.7499999999999994E-2</v>
      </c>
      <c r="AR101" s="100">
        <f t="shared" si="105"/>
        <v>1.155E-2</v>
      </c>
      <c r="AS101" s="99">
        <f t="shared" si="148"/>
        <v>1.1210490019516666</v>
      </c>
      <c r="AT101" s="215">
        <f t="shared" si="106"/>
        <v>92.262940117099987</v>
      </c>
      <c r="AU101" s="216">
        <f t="shared" si="107"/>
        <v>6.966310501407845E-2</v>
      </c>
      <c r="AV101" s="97">
        <f t="shared" si="108"/>
        <v>11.28</v>
      </c>
      <c r="AW101" s="100">
        <f t="shared" si="132"/>
        <v>90.960046994611204</v>
      </c>
      <c r="AX101" s="32"/>
      <c r="AY101" s="99">
        <f t="shared" si="109"/>
        <v>60</v>
      </c>
      <c r="AZ101" s="97">
        <f t="shared" si="110"/>
        <v>0.188</v>
      </c>
      <c r="BA101" s="97">
        <f t="shared" si="111"/>
        <v>15</v>
      </c>
      <c r="BB101" s="100">
        <f t="shared" si="112"/>
        <v>0.94</v>
      </c>
      <c r="BC101" s="99">
        <f t="shared" si="113"/>
        <v>2</v>
      </c>
      <c r="BD101" s="97">
        <f t="shared" si="114"/>
        <v>0.75</v>
      </c>
      <c r="BE101" s="100">
        <f t="shared" si="115"/>
        <v>0.25</v>
      </c>
      <c r="BF101" s="99">
        <f t="shared" si="116"/>
        <v>0.45000000000000007</v>
      </c>
      <c r="BG101" s="97">
        <f t="shared" si="146"/>
        <v>1.165</v>
      </c>
      <c r="BH101" s="97">
        <f t="shared" si="147"/>
        <v>0.94893361200876425</v>
      </c>
      <c r="BI101" s="97">
        <v>0</v>
      </c>
      <c r="BJ101" s="97">
        <f t="shared" si="117"/>
        <v>9.0047499999999989E-3</v>
      </c>
      <c r="BK101" s="100">
        <f t="shared" si="133"/>
        <v>9.0047499999999989E-3</v>
      </c>
      <c r="BL101" s="99">
        <f t="shared" si="145"/>
        <v>0.70499999999999996</v>
      </c>
      <c r="BM101" s="97">
        <f t="shared" si="134"/>
        <v>0.82180061450451602</v>
      </c>
      <c r="BN101" s="97">
        <f t="shared" si="135"/>
        <v>4.7047413365664224E-2</v>
      </c>
      <c r="BO101" s="97">
        <f t="shared" si="136"/>
        <v>0.98699999999999999</v>
      </c>
      <c r="BP101" s="100">
        <f t="shared" si="137"/>
        <v>1.0340474133656643</v>
      </c>
      <c r="BQ101" s="99">
        <f t="shared" si="138"/>
        <v>0.23499999999999999</v>
      </c>
      <c r="BR101" s="97">
        <f t="shared" si="118"/>
        <v>0.47446680600438218</v>
      </c>
      <c r="BS101" s="97">
        <f t="shared" si="119"/>
        <v>7.8960000000000002E-2</v>
      </c>
      <c r="BT101" s="97">
        <f t="shared" si="120"/>
        <v>0.75525000000000009</v>
      </c>
      <c r="BU101" s="100">
        <f t="shared" si="139"/>
        <v>0.83421000000000012</v>
      </c>
      <c r="BV101" s="99">
        <f t="shared" si="140"/>
        <v>0</v>
      </c>
      <c r="BW101" s="97">
        <f t="shared" si="121"/>
        <v>8.7499999999999994E-2</v>
      </c>
      <c r="BX101" s="100">
        <f t="shared" si="122"/>
        <v>1.155E-2</v>
      </c>
      <c r="BY101" s="99">
        <f t="shared" si="141"/>
        <v>1.9763121633656642</v>
      </c>
      <c r="BZ101" s="97">
        <f t="shared" si="142"/>
        <v>11.28</v>
      </c>
      <c r="CA101" s="100">
        <f t="shared" si="143"/>
        <v>85.091538740108433</v>
      </c>
      <c r="CB101" s="51">
        <f t="shared" si="144"/>
        <v>1.1330974133656642</v>
      </c>
      <c r="CC101" s="32">
        <f t="shared" si="123"/>
        <v>64.658409467798236</v>
      </c>
    </row>
    <row r="102" spans="17:81" x14ac:dyDescent="0.3">
      <c r="Q102" s="32">
        <v>95</v>
      </c>
      <c r="S102" s="99">
        <f t="shared" si="89"/>
        <v>60</v>
      </c>
      <c r="T102" s="97">
        <f t="shared" si="124"/>
        <v>0.19</v>
      </c>
      <c r="U102" s="97">
        <f t="shared" si="90"/>
        <v>15</v>
      </c>
      <c r="V102" s="100">
        <f t="shared" si="91"/>
        <v>0.95000000000000007</v>
      </c>
      <c r="W102" s="99">
        <f t="shared" si="92"/>
        <v>2</v>
      </c>
      <c r="X102" s="97">
        <f t="shared" si="93"/>
        <v>0.75</v>
      </c>
      <c r="Y102" s="100">
        <f t="shared" si="94"/>
        <v>0.25</v>
      </c>
      <c r="Z102" s="99">
        <f t="shared" si="95"/>
        <v>0.45000000000000007</v>
      </c>
      <c r="AA102" s="97">
        <f t="shared" si="125"/>
        <v>1.175</v>
      </c>
      <c r="AB102" s="97">
        <f t="shared" si="126"/>
        <v>0.95884044553825531</v>
      </c>
      <c r="AC102" s="97">
        <v>0</v>
      </c>
      <c r="AD102" s="97">
        <f t="shared" si="96"/>
        <v>9.1937499999999988E-3</v>
      </c>
      <c r="AE102" s="100">
        <f t="shared" si="127"/>
        <v>9.1937499999999988E-3</v>
      </c>
      <c r="AF102" s="99">
        <f t="shared" si="97"/>
        <v>0.71250000000000002</v>
      </c>
      <c r="AG102" s="97">
        <f t="shared" si="98"/>
        <v>0.83038018401211877</v>
      </c>
      <c r="AH102" s="97">
        <f t="shared" si="99"/>
        <v>3.5733593291666692E-2</v>
      </c>
      <c r="AI102" s="97">
        <f t="shared" si="128"/>
        <v>0.99750000000000016</v>
      </c>
      <c r="AJ102" s="100">
        <f t="shared" si="129"/>
        <v>1.0332335932916668</v>
      </c>
      <c r="AK102" s="99">
        <f t="shared" si="100"/>
        <v>0.23750000000000002</v>
      </c>
      <c r="AL102" s="97">
        <f t="shared" si="101"/>
        <v>0.47942022276912771</v>
      </c>
      <c r="AM102" s="97">
        <f t="shared" si="102"/>
        <v>7.9799999999999996E-2</v>
      </c>
      <c r="AN102" s="97">
        <f t="shared" si="103"/>
        <v>0.75525000000000009</v>
      </c>
      <c r="AO102" s="100">
        <f t="shared" si="130"/>
        <v>0.83505000000000007</v>
      </c>
      <c r="AP102" s="99">
        <f t="shared" si="131"/>
        <v>0</v>
      </c>
      <c r="AQ102" s="97">
        <f t="shared" si="104"/>
        <v>8.7499999999999994E-2</v>
      </c>
      <c r="AR102" s="100">
        <f t="shared" si="105"/>
        <v>1.155E-2</v>
      </c>
      <c r="AS102" s="99">
        <f t="shared" si="148"/>
        <v>1.1322835932916666</v>
      </c>
      <c r="AT102" s="215">
        <f t="shared" si="106"/>
        <v>92.937015597499993</v>
      </c>
      <c r="AU102" s="216">
        <f t="shared" si="107"/>
        <v>6.9827652531037052E-2</v>
      </c>
      <c r="AV102" s="97">
        <f t="shared" si="108"/>
        <v>11.4</v>
      </c>
      <c r="AW102" s="100">
        <f t="shared" si="132"/>
        <v>90.965065665304934</v>
      </c>
      <c r="AX102" s="32"/>
      <c r="AY102" s="99">
        <f t="shared" si="109"/>
        <v>60</v>
      </c>
      <c r="AZ102" s="97">
        <f t="shared" si="110"/>
        <v>0.19</v>
      </c>
      <c r="BA102" s="97">
        <f t="shared" si="111"/>
        <v>15</v>
      </c>
      <c r="BB102" s="100">
        <f t="shared" si="112"/>
        <v>0.95000000000000007</v>
      </c>
      <c r="BC102" s="99">
        <f t="shared" si="113"/>
        <v>2</v>
      </c>
      <c r="BD102" s="97">
        <f t="shared" si="114"/>
        <v>0.75</v>
      </c>
      <c r="BE102" s="100">
        <f t="shared" si="115"/>
        <v>0.25</v>
      </c>
      <c r="BF102" s="99">
        <f t="shared" si="116"/>
        <v>0.45000000000000007</v>
      </c>
      <c r="BG102" s="97">
        <f t="shared" si="146"/>
        <v>1.175</v>
      </c>
      <c r="BH102" s="97">
        <f t="shared" si="147"/>
        <v>0.95884044553825531</v>
      </c>
      <c r="BI102" s="97">
        <v>0</v>
      </c>
      <c r="BJ102" s="97">
        <f t="shared" si="117"/>
        <v>9.1937499999999988E-3</v>
      </c>
      <c r="BK102" s="100">
        <f t="shared" si="133"/>
        <v>9.1937499999999988E-3</v>
      </c>
      <c r="BL102" s="99">
        <f t="shared" si="145"/>
        <v>0.71250000000000002</v>
      </c>
      <c r="BM102" s="97">
        <f t="shared" si="134"/>
        <v>0.83038018401211877</v>
      </c>
      <c r="BN102" s="97">
        <f t="shared" si="135"/>
        <v>4.814834853429166E-2</v>
      </c>
      <c r="BO102" s="97">
        <f t="shared" si="136"/>
        <v>0.99750000000000016</v>
      </c>
      <c r="BP102" s="100">
        <f t="shared" si="137"/>
        <v>1.0456483485342918</v>
      </c>
      <c r="BQ102" s="99">
        <f t="shared" si="138"/>
        <v>0.23750000000000002</v>
      </c>
      <c r="BR102" s="97">
        <f t="shared" si="118"/>
        <v>0.47942022276912771</v>
      </c>
      <c r="BS102" s="97">
        <f t="shared" si="119"/>
        <v>7.9799999999999996E-2</v>
      </c>
      <c r="BT102" s="97">
        <f t="shared" si="120"/>
        <v>0.75525000000000009</v>
      </c>
      <c r="BU102" s="100">
        <f t="shared" si="139"/>
        <v>0.83505000000000007</v>
      </c>
      <c r="BV102" s="99">
        <f t="shared" si="140"/>
        <v>0</v>
      </c>
      <c r="BW102" s="97">
        <f t="shared" si="121"/>
        <v>8.7499999999999994E-2</v>
      </c>
      <c r="BX102" s="100">
        <f t="shared" si="122"/>
        <v>1.155E-2</v>
      </c>
      <c r="BY102" s="99">
        <f t="shared" si="141"/>
        <v>1.9889420985342916</v>
      </c>
      <c r="BZ102" s="97">
        <f t="shared" si="142"/>
        <v>11.4</v>
      </c>
      <c r="CA102" s="100">
        <f t="shared" si="143"/>
        <v>85.144889835978717</v>
      </c>
      <c r="CB102" s="51">
        <f t="shared" si="144"/>
        <v>1.1446983485342916</v>
      </c>
      <c r="CC102" s="32">
        <f t="shared" si="123"/>
        <v>65.064442198700206</v>
      </c>
    </row>
    <row r="103" spans="17:81" x14ac:dyDescent="0.3">
      <c r="Q103" s="32">
        <v>96</v>
      </c>
      <c r="S103" s="99">
        <f t="shared" si="89"/>
        <v>60</v>
      </c>
      <c r="T103" s="97">
        <f t="shared" si="124"/>
        <v>0.192</v>
      </c>
      <c r="U103" s="97">
        <f t="shared" si="90"/>
        <v>15</v>
      </c>
      <c r="V103" s="100">
        <f t="shared" si="91"/>
        <v>0.96</v>
      </c>
      <c r="W103" s="99">
        <f t="shared" si="92"/>
        <v>2</v>
      </c>
      <c r="X103" s="97">
        <f t="shared" si="93"/>
        <v>0.75</v>
      </c>
      <c r="Y103" s="100">
        <f t="shared" ref="Y103:Y134" si="149">CHOOSE(W103,(Lm*AA103*Fsw)/(S103-U103),1-X103)</f>
        <v>0.25</v>
      </c>
      <c r="Z103" s="99">
        <f t="shared" si="95"/>
        <v>0.45000000000000007</v>
      </c>
      <c r="AA103" s="97">
        <f t="shared" si="125"/>
        <v>1.1850000000000001</v>
      </c>
      <c r="AB103" s="97">
        <f t="shared" si="126"/>
        <v>0.96874919354805145</v>
      </c>
      <c r="AC103" s="97">
        <v>0</v>
      </c>
      <c r="AD103" s="97">
        <f t="shared" si="96"/>
        <v>9.3847500000000007E-3</v>
      </c>
      <c r="AE103" s="100">
        <f t="shared" si="127"/>
        <v>9.3847500000000007E-3</v>
      </c>
      <c r="AF103" s="99">
        <f t="shared" ref="AF103:AF134" si="150">V103*X103</f>
        <v>0.72</v>
      </c>
      <c r="AG103" s="97">
        <f t="shared" ref="AG103:AG134" si="151">CHOOSE(W103,AA103*SQRT(X103/3),SQRT(X103*((AA103^2)+((Z103^2)/3)-(AA103*Z103))))</f>
        <v>0.83896141150830061</v>
      </c>
      <c r="AH103" s="97">
        <f t="shared" si="99"/>
        <v>3.6475958085000017E-2</v>
      </c>
      <c r="AI103" s="97">
        <f t="shared" si="128"/>
        <v>1.008</v>
      </c>
      <c r="AJ103" s="100">
        <f t="shared" si="129"/>
        <v>1.044475958085</v>
      </c>
      <c r="AK103" s="99">
        <f t="shared" ref="AK103:AK134" si="152">Y103*V103</f>
        <v>0.24</v>
      </c>
      <c r="AL103" s="97">
        <f t="shared" ref="AL103:AL134" si="153">CHOOSE(W103,AA103*SQRT(Y103/3),SQRT(Y103*((AA103^2)+((Z103^2)/3)-(Z103*AA103))))</f>
        <v>0.48437459677402572</v>
      </c>
      <c r="AM103" s="97">
        <f t="shared" ref="AM103:AM134" si="154">T103*Vd_rect</f>
        <v>8.0640000000000003E-2</v>
      </c>
      <c r="AN103" s="97">
        <f t="shared" ref="AN103:AN134" si="155">CHOOSE(W103,(S103+Vd_rect)*Qrr*Fsw,(S103+Vd_rect)*Qrr*Fsw)</f>
        <v>0.75525000000000009</v>
      </c>
      <c r="AO103" s="100">
        <f t="shared" si="130"/>
        <v>0.83589000000000013</v>
      </c>
      <c r="AP103" s="99">
        <f t="shared" si="131"/>
        <v>0</v>
      </c>
      <c r="AQ103" s="97">
        <f t="shared" si="104"/>
        <v>8.7499999999999994E-2</v>
      </c>
      <c r="AR103" s="100">
        <f t="shared" ref="AR103:AR134" si="156">IQ*U103</f>
        <v>1.155E-2</v>
      </c>
      <c r="AS103" s="99">
        <f t="shared" si="148"/>
        <v>1.1435259580849999</v>
      </c>
      <c r="AT103" s="215">
        <f t="shared" ref="AT103:AT134" si="157">Ta+Tk*AS103</f>
        <v>93.611557485099993</v>
      </c>
      <c r="AU103" s="216">
        <f t="shared" ref="AU103:AU134" si="158">RDS_on/51.8*(47.12+AT103*0.244)</f>
        <v>6.999231390193171E-2</v>
      </c>
      <c r="AV103" s="97">
        <f t="shared" ref="AV103:AV134" si="159">S103*T103</f>
        <v>11.52</v>
      </c>
      <c r="AW103" s="100">
        <f t="shared" si="132"/>
        <v>90.969924475458441</v>
      </c>
      <c r="AX103" s="32"/>
      <c r="AY103" s="99">
        <f t="shared" si="109"/>
        <v>60</v>
      </c>
      <c r="AZ103" s="97">
        <f t="shared" ref="AZ103:AZ134" si="160">Q103*$O$12</f>
        <v>0.192</v>
      </c>
      <c r="BA103" s="97">
        <f t="shared" si="111"/>
        <v>15</v>
      </c>
      <c r="BB103" s="100">
        <f t="shared" ref="BB103:BB134" si="161">(AY103*AZ103)/(BA103*EFF_est)</f>
        <v>0.96</v>
      </c>
      <c r="BC103" s="99">
        <f t="shared" ref="BC103:BC134" si="162">IF((AZ103*AY103/BA103)&lt;((BA103*(1-(BA103/AY103)))/(2*Lm*Fsw)),1,2)</f>
        <v>2</v>
      </c>
      <c r="BD103" s="97">
        <f t="shared" ref="BD103:BD134" si="163">CHOOSE(BC103,SQRT((2*AZ103*Lm*Fsw*(AY103-BA103))/((BA103)^2)),1-(BA103/AY103))</f>
        <v>0.75</v>
      </c>
      <c r="BE103" s="100">
        <f t="shared" ref="BE103:BE134" si="164">CHOOSE(BC103,(Lm*BG103*Fsw)/(AY103-BA103),1-BD103)</f>
        <v>0.25</v>
      </c>
      <c r="BF103" s="99">
        <f t="shared" ref="BF103:BF134" si="165">(BA103*BD103)/(Lm*Fsw)</f>
        <v>0.45000000000000007</v>
      </c>
      <c r="BG103" s="97">
        <f t="shared" si="146"/>
        <v>1.1850000000000001</v>
      </c>
      <c r="BH103" s="97">
        <f t="shared" si="147"/>
        <v>0.96874919354805145</v>
      </c>
      <c r="BI103" s="97">
        <v>0</v>
      </c>
      <c r="BJ103" s="97">
        <f t="shared" ref="BJ103:BJ134" si="166">(BH103^2)*Rdcr</f>
        <v>9.3847500000000007E-3</v>
      </c>
      <c r="BK103" s="100">
        <f t="shared" si="133"/>
        <v>9.3847500000000007E-3</v>
      </c>
      <c r="BL103" s="99">
        <f t="shared" si="145"/>
        <v>0.72</v>
      </c>
      <c r="BM103" s="97">
        <f t="shared" si="134"/>
        <v>0.83896141150830061</v>
      </c>
      <c r="BN103" s="97">
        <f t="shared" si="135"/>
        <v>4.9264527591836527E-2</v>
      </c>
      <c r="BO103" s="97">
        <f t="shared" si="136"/>
        <v>1.008</v>
      </c>
      <c r="BP103" s="100">
        <f t="shared" si="137"/>
        <v>1.0572645275918364</v>
      </c>
      <c r="BQ103" s="99">
        <f t="shared" si="138"/>
        <v>0.24</v>
      </c>
      <c r="BR103" s="97">
        <f t="shared" ref="BR103:BR134" si="167">CHOOSE(BC103,BG103*SQRT(BE103/3),SQRT(BE103*((BG103^2)+((BF103^2)/3)-(BF103*BG103))))</f>
        <v>0.48437459677402572</v>
      </c>
      <c r="BS103" s="97">
        <f t="shared" ref="BS103:BS134" si="168">AZ103*Vd_rect</f>
        <v>8.0640000000000003E-2</v>
      </c>
      <c r="BT103" s="97">
        <f t="shared" ref="BT103:BT134" si="169">CHOOSE(BC103,(AY103+Vd_rect)*Qrr*Fsw,(AY103+Vd_rect)*Qrr*Fsw)</f>
        <v>0.75525000000000009</v>
      </c>
      <c r="BU103" s="100">
        <f t="shared" si="139"/>
        <v>0.83589000000000013</v>
      </c>
      <c r="BV103" s="99">
        <f t="shared" si="140"/>
        <v>0</v>
      </c>
      <c r="BW103" s="97">
        <f t="shared" ref="BW103:BW134" si="170">Qg_tot*Vcc*Fsw</f>
        <v>8.7499999999999994E-2</v>
      </c>
      <c r="BX103" s="100">
        <f t="shared" ref="BX103:BX134" si="171">IQ*BA103</f>
        <v>1.155E-2</v>
      </c>
      <c r="BY103" s="99">
        <f t="shared" si="141"/>
        <v>2.0015892775918362</v>
      </c>
      <c r="BZ103" s="97">
        <f t="shared" si="142"/>
        <v>11.52</v>
      </c>
      <c r="CA103" s="100">
        <f t="shared" si="143"/>
        <v>85.197085664265089</v>
      </c>
      <c r="CB103" s="51">
        <f t="shared" si="144"/>
        <v>1.1563145275918363</v>
      </c>
      <c r="CC103" s="32">
        <f t="shared" ref="CC103:CC134" si="172">Ta+Tk_f*CB103</f>
        <v>65.471008465714277</v>
      </c>
    </row>
    <row r="104" spans="17:81" x14ac:dyDescent="0.3">
      <c r="Q104" s="32">
        <v>97</v>
      </c>
      <c r="S104" s="99">
        <f t="shared" si="89"/>
        <v>60</v>
      </c>
      <c r="T104" s="97">
        <f t="shared" si="124"/>
        <v>0.19400000000000001</v>
      </c>
      <c r="U104" s="97">
        <f t="shared" si="90"/>
        <v>15</v>
      </c>
      <c r="V104" s="100">
        <f t="shared" si="91"/>
        <v>0.97000000000000008</v>
      </c>
      <c r="W104" s="99">
        <f t="shared" si="92"/>
        <v>2</v>
      </c>
      <c r="X104" s="97">
        <f t="shared" si="93"/>
        <v>0.75</v>
      </c>
      <c r="Y104" s="100">
        <f t="shared" si="149"/>
        <v>0.25</v>
      </c>
      <c r="Z104" s="99">
        <f t="shared" si="95"/>
        <v>0.45000000000000007</v>
      </c>
      <c r="AA104" s="97">
        <f t="shared" si="125"/>
        <v>1.1950000000000001</v>
      </c>
      <c r="AB104" s="97">
        <f t="shared" si="126"/>
        <v>0.97865979788688584</v>
      </c>
      <c r="AC104" s="97">
        <v>0</v>
      </c>
      <c r="AD104" s="97">
        <f t="shared" si="96"/>
        <v>9.5777500000000029E-3</v>
      </c>
      <c r="AE104" s="100">
        <f t="shared" si="127"/>
        <v>9.5777500000000029E-3</v>
      </c>
      <c r="AF104" s="99">
        <f t="shared" si="150"/>
        <v>0.72750000000000004</v>
      </c>
      <c r="AG104" s="97">
        <f t="shared" si="151"/>
        <v>0.84754424663258732</v>
      </c>
      <c r="AH104" s="97">
        <f t="shared" si="99"/>
        <v>3.7226096331666673E-2</v>
      </c>
      <c r="AI104" s="97">
        <f t="shared" ref="AI104:AI135" si="173">((S104*V104)/2)*Fsw*(tr_sw_fix+tf_sw_fix)</f>
        <v>1.0185</v>
      </c>
      <c r="AJ104" s="100">
        <f t="shared" si="129"/>
        <v>1.0557260963316666</v>
      </c>
      <c r="AK104" s="99">
        <f t="shared" si="152"/>
        <v>0.24250000000000002</v>
      </c>
      <c r="AL104" s="97">
        <f t="shared" si="153"/>
        <v>0.48932989894344292</v>
      </c>
      <c r="AM104" s="97">
        <f t="shared" si="154"/>
        <v>8.1479999999999997E-2</v>
      </c>
      <c r="AN104" s="97">
        <f t="shared" si="155"/>
        <v>0.75525000000000009</v>
      </c>
      <c r="AO104" s="100">
        <f t="shared" si="130"/>
        <v>0.83673000000000008</v>
      </c>
      <c r="AP104" s="99">
        <f t="shared" si="131"/>
        <v>0</v>
      </c>
      <c r="AQ104" s="97">
        <f t="shared" si="104"/>
        <v>8.7499999999999994E-2</v>
      </c>
      <c r="AR104" s="100">
        <f t="shared" si="156"/>
        <v>1.155E-2</v>
      </c>
      <c r="AS104" s="99">
        <f t="shared" si="148"/>
        <v>1.1547760963316664</v>
      </c>
      <c r="AT104" s="215">
        <f t="shared" si="157"/>
        <v>94.286565779899988</v>
      </c>
      <c r="AU104" s="216">
        <f t="shared" si="158"/>
        <v>7.0157089126762426E-2</v>
      </c>
      <c r="AV104" s="97">
        <f t="shared" si="159"/>
        <v>11.64</v>
      </c>
      <c r="AW104" s="100">
        <f t="shared" si="132"/>
        <v>90.974628335522439</v>
      </c>
      <c r="AX104" s="32"/>
      <c r="AY104" s="99">
        <f t="shared" si="109"/>
        <v>60</v>
      </c>
      <c r="AZ104" s="97">
        <f t="shared" si="160"/>
        <v>0.19400000000000001</v>
      </c>
      <c r="BA104" s="97">
        <f t="shared" si="111"/>
        <v>15</v>
      </c>
      <c r="BB104" s="100">
        <f t="shared" si="161"/>
        <v>0.97000000000000008</v>
      </c>
      <c r="BC104" s="99">
        <f t="shared" si="162"/>
        <v>2</v>
      </c>
      <c r="BD104" s="97">
        <f t="shared" si="163"/>
        <v>0.75</v>
      </c>
      <c r="BE104" s="100">
        <f t="shared" si="164"/>
        <v>0.25</v>
      </c>
      <c r="BF104" s="99">
        <f t="shared" si="165"/>
        <v>0.45000000000000007</v>
      </c>
      <c r="BG104" s="97">
        <f t="shared" si="146"/>
        <v>1.1950000000000001</v>
      </c>
      <c r="BH104" s="97">
        <f t="shared" si="147"/>
        <v>0.97865979788688584</v>
      </c>
      <c r="BI104" s="97">
        <v>0</v>
      </c>
      <c r="BJ104" s="97">
        <f t="shared" si="166"/>
        <v>9.5777500000000029E-3</v>
      </c>
      <c r="BK104" s="100">
        <f t="shared" si="133"/>
        <v>9.5777500000000029E-3</v>
      </c>
      <c r="BL104" s="99">
        <f t="shared" si="145"/>
        <v>0.72750000000000004</v>
      </c>
      <c r="BM104" s="97">
        <f t="shared" si="134"/>
        <v>0.84754424663258732</v>
      </c>
      <c r="BN104" s="97">
        <f t="shared" si="135"/>
        <v>5.0396029528788661E-2</v>
      </c>
      <c r="BO104" s="97">
        <f t="shared" ref="BO104:BO135" si="174">((AY104*BB104)/2)*Fsw*(tr_sw_fix+tf_sw_fix)</f>
        <v>1.0185</v>
      </c>
      <c r="BP104" s="100">
        <f t="shared" si="137"/>
        <v>1.0688960295287886</v>
      </c>
      <c r="BQ104" s="99">
        <f t="shared" si="138"/>
        <v>0.24250000000000002</v>
      </c>
      <c r="BR104" s="97">
        <f t="shared" si="167"/>
        <v>0.48932989894344292</v>
      </c>
      <c r="BS104" s="97">
        <f t="shared" si="168"/>
        <v>8.1479999999999997E-2</v>
      </c>
      <c r="BT104" s="97">
        <f t="shared" si="169"/>
        <v>0.75525000000000009</v>
      </c>
      <c r="BU104" s="100">
        <f t="shared" si="139"/>
        <v>0.83673000000000008</v>
      </c>
      <c r="BV104" s="99">
        <f t="shared" si="140"/>
        <v>0</v>
      </c>
      <c r="BW104" s="97">
        <f t="shared" si="170"/>
        <v>8.7499999999999994E-2</v>
      </c>
      <c r="BX104" s="100">
        <f t="shared" si="171"/>
        <v>1.155E-2</v>
      </c>
      <c r="BY104" s="99">
        <f t="shared" si="141"/>
        <v>2.0142537795287887</v>
      </c>
      <c r="BZ104" s="97">
        <f t="shared" si="142"/>
        <v>11.64</v>
      </c>
      <c r="CA104" s="100">
        <f t="shared" si="143"/>
        <v>85.248159203334367</v>
      </c>
      <c r="CB104" s="51">
        <f t="shared" si="144"/>
        <v>1.1679460295287885</v>
      </c>
      <c r="CC104" s="32">
        <f t="shared" si="172"/>
        <v>65.878111033507594</v>
      </c>
    </row>
    <row r="105" spans="17:81" x14ac:dyDescent="0.3">
      <c r="Q105" s="32">
        <v>98</v>
      </c>
      <c r="S105" s="99">
        <f t="shared" si="89"/>
        <v>60</v>
      </c>
      <c r="T105" s="97">
        <f t="shared" si="124"/>
        <v>0.19600000000000001</v>
      </c>
      <c r="U105" s="97">
        <f t="shared" si="90"/>
        <v>15</v>
      </c>
      <c r="V105" s="100">
        <f t="shared" si="91"/>
        <v>0.98</v>
      </c>
      <c r="W105" s="99">
        <f t="shared" si="92"/>
        <v>2</v>
      </c>
      <c r="X105" s="97">
        <f t="shared" si="93"/>
        <v>0.75</v>
      </c>
      <c r="Y105" s="100">
        <f t="shared" si="149"/>
        <v>0.25</v>
      </c>
      <c r="Z105" s="99">
        <f t="shared" si="95"/>
        <v>0.45000000000000007</v>
      </c>
      <c r="AA105" s="97">
        <f t="shared" si="125"/>
        <v>1.2050000000000001</v>
      </c>
      <c r="AB105" s="97">
        <f t="shared" si="126"/>
        <v>0.98857220272471746</v>
      </c>
      <c r="AC105" s="97">
        <v>0</v>
      </c>
      <c r="AD105" s="97">
        <f t="shared" si="96"/>
        <v>9.7727499999999985E-3</v>
      </c>
      <c r="AE105" s="100">
        <f t="shared" si="127"/>
        <v>9.7727499999999985E-3</v>
      </c>
      <c r="AF105" s="99">
        <f t="shared" si="150"/>
        <v>0.73499999999999999</v>
      </c>
      <c r="AG105" s="97">
        <f t="shared" si="151"/>
        <v>0.85612864103474551</v>
      </c>
      <c r="AH105" s="97">
        <f t="shared" si="99"/>
        <v>3.7984008031666683E-2</v>
      </c>
      <c r="AI105" s="97">
        <f t="shared" si="173"/>
        <v>1.0289999999999999</v>
      </c>
      <c r="AJ105" s="100">
        <f t="shared" si="129"/>
        <v>1.0669840080316666</v>
      </c>
      <c r="AK105" s="99">
        <f t="shared" si="152"/>
        <v>0.245</v>
      </c>
      <c r="AL105" s="97">
        <f t="shared" si="153"/>
        <v>0.49428610136235879</v>
      </c>
      <c r="AM105" s="97">
        <f t="shared" si="154"/>
        <v>8.2320000000000004E-2</v>
      </c>
      <c r="AN105" s="97">
        <f t="shared" si="155"/>
        <v>0.75525000000000009</v>
      </c>
      <c r="AO105" s="100">
        <f t="shared" si="130"/>
        <v>0.83757000000000015</v>
      </c>
      <c r="AP105" s="99">
        <f t="shared" si="131"/>
        <v>0</v>
      </c>
      <c r="AQ105" s="97">
        <f t="shared" si="104"/>
        <v>8.7499999999999994E-2</v>
      </c>
      <c r="AR105" s="100">
        <f t="shared" si="156"/>
        <v>1.155E-2</v>
      </c>
      <c r="AS105" s="99">
        <f t="shared" si="148"/>
        <v>1.1660340080316665</v>
      </c>
      <c r="AT105" s="215">
        <f t="shared" si="157"/>
        <v>94.96204048189999</v>
      </c>
      <c r="AU105" s="216">
        <f t="shared" si="158"/>
        <v>7.0321978205529212E-2</v>
      </c>
      <c r="AV105" s="97">
        <f t="shared" si="159"/>
        <v>11.76</v>
      </c>
      <c r="AW105" s="100">
        <f t="shared" si="132"/>
        <v>90.979181957070949</v>
      </c>
      <c r="AX105" s="32"/>
      <c r="AY105" s="99">
        <f t="shared" si="109"/>
        <v>60</v>
      </c>
      <c r="AZ105" s="97">
        <f t="shared" si="160"/>
        <v>0.19600000000000001</v>
      </c>
      <c r="BA105" s="97">
        <f t="shared" si="111"/>
        <v>15</v>
      </c>
      <c r="BB105" s="100">
        <f t="shared" si="161"/>
        <v>0.98</v>
      </c>
      <c r="BC105" s="99">
        <f t="shared" si="162"/>
        <v>2</v>
      </c>
      <c r="BD105" s="97">
        <f t="shared" si="163"/>
        <v>0.75</v>
      </c>
      <c r="BE105" s="100">
        <f t="shared" si="164"/>
        <v>0.25</v>
      </c>
      <c r="BF105" s="99">
        <f t="shared" si="165"/>
        <v>0.45000000000000007</v>
      </c>
      <c r="BG105" s="97">
        <f t="shared" si="146"/>
        <v>1.2050000000000001</v>
      </c>
      <c r="BH105" s="97">
        <f t="shared" si="147"/>
        <v>0.98857220272471746</v>
      </c>
      <c r="BI105" s="97">
        <v>0</v>
      </c>
      <c r="BJ105" s="97">
        <f t="shared" si="166"/>
        <v>9.7727499999999985E-3</v>
      </c>
      <c r="BK105" s="100">
        <f t="shared" si="133"/>
        <v>9.7727499999999985E-3</v>
      </c>
      <c r="BL105" s="99">
        <f t="shared" si="145"/>
        <v>0.73499999999999999</v>
      </c>
      <c r="BM105" s="97">
        <f t="shared" si="134"/>
        <v>0.85612864103474551</v>
      </c>
      <c r="BN105" s="97">
        <f t="shared" si="135"/>
        <v>5.1542933438106425E-2</v>
      </c>
      <c r="BO105" s="97">
        <f t="shared" si="174"/>
        <v>1.0289999999999999</v>
      </c>
      <c r="BP105" s="100">
        <f t="shared" si="137"/>
        <v>1.0805429334381063</v>
      </c>
      <c r="BQ105" s="99">
        <f t="shared" si="138"/>
        <v>0.245</v>
      </c>
      <c r="BR105" s="97">
        <f t="shared" si="167"/>
        <v>0.49428610136235879</v>
      </c>
      <c r="BS105" s="97">
        <f t="shared" si="168"/>
        <v>8.2320000000000004E-2</v>
      </c>
      <c r="BT105" s="97">
        <f t="shared" si="169"/>
        <v>0.75525000000000009</v>
      </c>
      <c r="BU105" s="100">
        <f t="shared" si="139"/>
        <v>0.83757000000000015</v>
      </c>
      <c r="BV105" s="99">
        <f t="shared" si="140"/>
        <v>0</v>
      </c>
      <c r="BW105" s="97">
        <f t="shared" si="170"/>
        <v>8.7499999999999994E-2</v>
      </c>
      <c r="BX105" s="100">
        <f t="shared" si="171"/>
        <v>1.155E-2</v>
      </c>
      <c r="BY105" s="99">
        <f t="shared" si="141"/>
        <v>2.0269356834381065</v>
      </c>
      <c r="BZ105" s="97">
        <f t="shared" si="142"/>
        <v>11.76</v>
      </c>
      <c r="CA105" s="100">
        <f t="shared" si="143"/>
        <v>85.298142168944679</v>
      </c>
      <c r="CB105" s="51">
        <f t="shared" si="144"/>
        <v>1.1795929334381061</v>
      </c>
      <c r="CC105" s="32">
        <f t="shared" si="172"/>
        <v>66.285752670333721</v>
      </c>
    </row>
    <row r="106" spans="17:81" x14ac:dyDescent="0.3">
      <c r="Q106" s="32">
        <v>99</v>
      </c>
      <c r="S106" s="99">
        <f t="shared" si="89"/>
        <v>60</v>
      </c>
      <c r="T106" s="97">
        <f t="shared" si="124"/>
        <v>0.19800000000000001</v>
      </c>
      <c r="U106" s="97">
        <f t="shared" si="90"/>
        <v>15</v>
      </c>
      <c r="V106" s="100">
        <f t="shared" si="91"/>
        <v>0.9900000000000001</v>
      </c>
      <c r="W106" s="99">
        <f t="shared" si="92"/>
        <v>2</v>
      </c>
      <c r="X106" s="97">
        <f t="shared" si="93"/>
        <v>0.75</v>
      </c>
      <c r="Y106" s="100">
        <f t="shared" si="149"/>
        <v>0.25</v>
      </c>
      <c r="Z106" s="99">
        <f t="shared" si="95"/>
        <v>0.45000000000000007</v>
      </c>
      <c r="AA106" s="97">
        <f t="shared" si="125"/>
        <v>1.2150000000000001</v>
      </c>
      <c r="AB106" s="97">
        <f t="shared" si="126"/>
        <v>0.99848635443855727</v>
      </c>
      <c r="AC106" s="97">
        <v>0</v>
      </c>
      <c r="AD106" s="97">
        <f t="shared" si="96"/>
        <v>9.9697500000000012E-3</v>
      </c>
      <c r="AE106" s="100">
        <f t="shared" si="127"/>
        <v>9.9697500000000012E-3</v>
      </c>
      <c r="AF106" s="99">
        <f t="shared" si="150"/>
        <v>0.74250000000000005</v>
      </c>
      <c r="AG106" s="97">
        <f t="shared" si="151"/>
        <v>0.86471454827590366</v>
      </c>
      <c r="AH106" s="97">
        <f t="shared" si="99"/>
        <v>3.8749693185000017E-2</v>
      </c>
      <c r="AI106" s="97">
        <f t="shared" si="173"/>
        <v>1.0394999999999999</v>
      </c>
      <c r="AJ106" s="100">
        <f t="shared" si="129"/>
        <v>1.0782496931849999</v>
      </c>
      <c r="AK106" s="99">
        <f t="shared" si="152"/>
        <v>0.24750000000000003</v>
      </c>
      <c r="AL106" s="97">
        <f t="shared" si="153"/>
        <v>0.49924317721927863</v>
      </c>
      <c r="AM106" s="97">
        <f t="shared" si="154"/>
        <v>8.3159999999999998E-2</v>
      </c>
      <c r="AN106" s="97">
        <f t="shared" si="155"/>
        <v>0.75525000000000009</v>
      </c>
      <c r="AO106" s="100">
        <f t="shared" si="130"/>
        <v>0.8384100000000001</v>
      </c>
      <c r="AP106" s="99">
        <f t="shared" si="131"/>
        <v>0</v>
      </c>
      <c r="AQ106" s="97">
        <f t="shared" si="104"/>
        <v>8.7499999999999994E-2</v>
      </c>
      <c r="AR106" s="100">
        <f t="shared" si="156"/>
        <v>1.155E-2</v>
      </c>
      <c r="AS106" s="99">
        <f t="shared" si="148"/>
        <v>1.1772996931849997</v>
      </c>
      <c r="AT106" s="215">
        <f t="shared" si="157"/>
        <v>95.637981591099987</v>
      </c>
      <c r="AU106" s="216">
        <f t="shared" si="158"/>
        <v>7.0486981138232083E-2</v>
      </c>
      <c r="AV106" s="97">
        <f t="shared" si="159"/>
        <v>11.88</v>
      </c>
      <c r="AW106" s="100">
        <f t="shared" si="132"/>
        <v>90.983589862768724</v>
      </c>
      <c r="AX106" s="32"/>
      <c r="AY106" s="99">
        <f t="shared" si="109"/>
        <v>60</v>
      </c>
      <c r="AZ106" s="97">
        <f t="shared" si="160"/>
        <v>0.19800000000000001</v>
      </c>
      <c r="BA106" s="97">
        <f t="shared" si="111"/>
        <v>15</v>
      </c>
      <c r="BB106" s="100">
        <f t="shared" si="161"/>
        <v>0.9900000000000001</v>
      </c>
      <c r="BC106" s="99">
        <f t="shared" si="162"/>
        <v>2</v>
      </c>
      <c r="BD106" s="97">
        <f t="shared" si="163"/>
        <v>0.75</v>
      </c>
      <c r="BE106" s="100">
        <f t="shared" si="164"/>
        <v>0.25</v>
      </c>
      <c r="BF106" s="99">
        <f t="shared" si="165"/>
        <v>0.45000000000000007</v>
      </c>
      <c r="BG106" s="97">
        <f t="shared" si="146"/>
        <v>1.2150000000000001</v>
      </c>
      <c r="BH106" s="97">
        <f t="shared" si="147"/>
        <v>0.99848635443855727</v>
      </c>
      <c r="BI106" s="97">
        <v>0</v>
      </c>
      <c r="BJ106" s="97">
        <f t="shared" si="166"/>
        <v>9.9697500000000012E-3</v>
      </c>
      <c r="BK106" s="100">
        <f t="shared" si="133"/>
        <v>9.9697500000000012E-3</v>
      </c>
      <c r="BL106" s="99">
        <f t="shared" si="145"/>
        <v>0.74250000000000005</v>
      </c>
      <c r="BM106" s="97">
        <f t="shared" si="134"/>
        <v>0.86471454827590366</v>
      </c>
      <c r="BN106" s="97">
        <f t="shared" si="135"/>
        <v>5.2705318515216704E-2</v>
      </c>
      <c r="BO106" s="97">
        <f t="shared" si="174"/>
        <v>1.0394999999999999</v>
      </c>
      <c r="BP106" s="100">
        <f t="shared" si="137"/>
        <v>1.0922053185152165</v>
      </c>
      <c r="BQ106" s="99">
        <f t="shared" si="138"/>
        <v>0.24750000000000003</v>
      </c>
      <c r="BR106" s="97">
        <f t="shared" si="167"/>
        <v>0.49924317721927863</v>
      </c>
      <c r="BS106" s="97">
        <f t="shared" si="168"/>
        <v>8.3159999999999998E-2</v>
      </c>
      <c r="BT106" s="97">
        <f t="shared" si="169"/>
        <v>0.75525000000000009</v>
      </c>
      <c r="BU106" s="100">
        <f t="shared" si="139"/>
        <v>0.8384100000000001</v>
      </c>
      <c r="BV106" s="99">
        <f t="shared" si="140"/>
        <v>0</v>
      </c>
      <c r="BW106" s="97">
        <f t="shared" si="170"/>
        <v>8.7499999999999994E-2</v>
      </c>
      <c r="BX106" s="100">
        <f t="shared" si="171"/>
        <v>1.155E-2</v>
      </c>
      <c r="BY106" s="99">
        <f t="shared" si="141"/>
        <v>2.0396350685152167</v>
      </c>
      <c r="BZ106" s="97">
        <f t="shared" si="142"/>
        <v>11.88</v>
      </c>
      <c r="CA106" s="100">
        <f t="shared" si="143"/>
        <v>85.347065074078969</v>
      </c>
      <c r="CB106" s="51">
        <f t="shared" si="144"/>
        <v>1.1912553185152164</v>
      </c>
      <c r="CC106" s="32">
        <f t="shared" si="172"/>
        <v>66.693936148032577</v>
      </c>
    </row>
    <row r="107" spans="17:81" x14ac:dyDescent="0.3">
      <c r="Q107" s="32">
        <v>100</v>
      </c>
      <c r="S107" s="99">
        <f t="shared" si="89"/>
        <v>60</v>
      </c>
      <c r="T107" s="97">
        <f t="shared" si="124"/>
        <v>0.2</v>
      </c>
      <c r="U107" s="97">
        <f t="shared" si="90"/>
        <v>15</v>
      </c>
      <c r="V107" s="100">
        <f t="shared" si="91"/>
        <v>1</v>
      </c>
      <c r="W107" s="99">
        <f t="shared" si="92"/>
        <v>2</v>
      </c>
      <c r="X107" s="97">
        <f t="shared" si="93"/>
        <v>0.75</v>
      </c>
      <c r="Y107" s="100">
        <f t="shared" si="149"/>
        <v>0.25</v>
      </c>
      <c r="Z107" s="99">
        <f t="shared" si="95"/>
        <v>0.45000000000000007</v>
      </c>
      <c r="AA107" s="97">
        <f t="shared" si="125"/>
        <v>1.2250000000000001</v>
      </c>
      <c r="AB107" s="97">
        <f t="shared" si="126"/>
        <v>1.0084022015049352</v>
      </c>
      <c r="AC107" s="97">
        <v>0</v>
      </c>
      <c r="AD107" s="97">
        <f t="shared" si="96"/>
        <v>1.0168750000000001E-2</v>
      </c>
      <c r="AE107" s="100">
        <f t="shared" si="127"/>
        <v>1.0168750000000001E-2</v>
      </c>
      <c r="AF107" s="99">
        <f t="shared" si="150"/>
        <v>0.75</v>
      </c>
      <c r="AG107" s="97">
        <f t="shared" si="151"/>
        <v>0.87330192373542848</v>
      </c>
      <c r="AH107" s="97">
        <f t="shared" si="99"/>
        <v>3.9523151791666683E-2</v>
      </c>
      <c r="AI107" s="97">
        <f t="shared" si="173"/>
        <v>1.05</v>
      </c>
      <c r="AJ107" s="100">
        <f t="shared" si="129"/>
        <v>1.0895231517916668</v>
      </c>
      <c r="AK107" s="99">
        <f t="shared" si="152"/>
        <v>0.25</v>
      </c>
      <c r="AL107" s="97">
        <f t="shared" si="153"/>
        <v>0.50420110075246771</v>
      </c>
      <c r="AM107" s="97">
        <f t="shared" si="154"/>
        <v>8.4000000000000005E-2</v>
      </c>
      <c r="AN107" s="97">
        <f t="shared" si="155"/>
        <v>0.75525000000000009</v>
      </c>
      <c r="AO107" s="100">
        <f t="shared" si="130"/>
        <v>0.83925000000000005</v>
      </c>
      <c r="AP107" s="99">
        <f t="shared" si="131"/>
        <v>0</v>
      </c>
      <c r="AQ107" s="97">
        <f t="shared" si="104"/>
        <v>8.7499999999999994E-2</v>
      </c>
      <c r="AR107" s="100">
        <f t="shared" si="156"/>
        <v>1.155E-2</v>
      </c>
      <c r="AS107" s="99">
        <f t="shared" si="148"/>
        <v>1.1885731517916667</v>
      </c>
      <c r="AT107" s="215">
        <f t="shared" si="157"/>
        <v>96.314389107500006</v>
      </c>
      <c r="AU107" s="216">
        <f t="shared" si="158"/>
        <v>7.0652097924871024E-2</v>
      </c>
      <c r="AV107" s="97">
        <f t="shared" si="159"/>
        <v>12</v>
      </c>
      <c r="AW107" s="100">
        <f t="shared" si="132"/>
        <v>90.987856395745141</v>
      </c>
      <c r="AX107" s="32"/>
      <c r="AY107" s="99">
        <f t="shared" si="109"/>
        <v>60</v>
      </c>
      <c r="AZ107" s="97">
        <f t="shared" si="160"/>
        <v>0.2</v>
      </c>
      <c r="BA107" s="97">
        <f t="shared" si="111"/>
        <v>15</v>
      </c>
      <c r="BB107" s="100">
        <f t="shared" si="161"/>
        <v>1</v>
      </c>
      <c r="BC107" s="99">
        <f t="shared" si="162"/>
        <v>2</v>
      </c>
      <c r="BD107" s="97">
        <f t="shared" si="163"/>
        <v>0.75</v>
      </c>
      <c r="BE107" s="100">
        <f t="shared" si="164"/>
        <v>0.25</v>
      </c>
      <c r="BF107" s="99">
        <f t="shared" si="165"/>
        <v>0.45000000000000007</v>
      </c>
      <c r="BG107" s="97">
        <f t="shared" si="146"/>
        <v>1.2250000000000001</v>
      </c>
      <c r="BH107" s="97">
        <f t="shared" si="147"/>
        <v>1.0084022015049352</v>
      </c>
      <c r="BI107" s="97">
        <v>0</v>
      </c>
      <c r="BJ107" s="97">
        <f t="shared" si="166"/>
        <v>1.0168750000000001E-2</v>
      </c>
      <c r="BK107" s="100">
        <f t="shared" si="133"/>
        <v>1.0168750000000001E-2</v>
      </c>
      <c r="BL107" s="99">
        <f t="shared" si="145"/>
        <v>0.75</v>
      </c>
      <c r="BM107" s="97">
        <f t="shared" si="134"/>
        <v>0.87330192373542848</v>
      </c>
      <c r="BN107" s="97">
        <f t="shared" si="135"/>
        <v>5.3883264058014926E-2</v>
      </c>
      <c r="BO107" s="97">
        <f t="shared" si="174"/>
        <v>1.05</v>
      </c>
      <c r="BP107" s="100">
        <f t="shared" si="137"/>
        <v>1.103883264058015</v>
      </c>
      <c r="BQ107" s="99">
        <f t="shared" si="138"/>
        <v>0.25</v>
      </c>
      <c r="BR107" s="97">
        <f t="shared" si="167"/>
        <v>0.50420110075246771</v>
      </c>
      <c r="BS107" s="97">
        <f t="shared" si="168"/>
        <v>8.4000000000000005E-2</v>
      </c>
      <c r="BT107" s="97">
        <f t="shared" si="169"/>
        <v>0.75525000000000009</v>
      </c>
      <c r="BU107" s="100">
        <f t="shared" si="139"/>
        <v>0.83925000000000005</v>
      </c>
      <c r="BV107" s="99">
        <f t="shared" si="140"/>
        <v>0</v>
      </c>
      <c r="BW107" s="97">
        <f t="shared" si="170"/>
        <v>8.7499999999999994E-2</v>
      </c>
      <c r="BX107" s="100">
        <f t="shared" si="171"/>
        <v>1.155E-2</v>
      </c>
      <c r="BY107" s="99">
        <f t="shared" si="141"/>
        <v>2.0523520140580152</v>
      </c>
      <c r="BZ107" s="97">
        <f t="shared" si="142"/>
        <v>12</v>
      </c>
      <c r="CA107" s="100">
        <f t="shared" si="143"/>
        <v>85.394957285407898</v>
      </c>
      <c r="CB107" s="51">
        <f t="shared" si="144"/>
        <v>1.2029332640580148</v>
      </c>
      <c r="CC107" s="32">
        <f t="shared" si="172"/>
        <v>67.102664242030528</v>
      </c>
    </row>
    <row r="108" spans="17:81" x14ac:dyDescent="0.3">
      <c r="Q108" s="32">
        <v>101</v>
      </c>
      <c r="S108" s="99">
        <f t="shared" si="89"/>
        <v>60</v>
      </c>
      <c r="T108" s="97">
        <f t="shared" si="124"/>
        <v>0.20200000000000001</v>
      </c>
      <c r="U108" s="97">
        <f t="shared" si="90"/>
        <v>15</v>
      </c>
      <c r="V108" s="100">
        <f t="shared" si="91"/>
        <v>1.01</v>
      </c>
      <c r="W108" s="99">
        <f t="shared" si="92"/>
        <v>2</v>
      </c>
      <c r="X108" s="97">
        <f t="shared" si="93"/>
        <v>0.75</v>
      </c>
      <c r="Y108" s="100">
        <f t="shared" si="149"/>
        <v>0.25</v>
      </c>
      <c r="Z108" s="99">
        <f t="shared" si="95"/>
        <v>0.45000000000000007</v>
      </c>
      <c r="AA108" s="97">
        <f t="shared" si="125"/>
        <v>1.2350000000000001</v>
      </c>
      <c r="AB108" s="97">
        <f t="shared" si="126"/>
        <v>1.0183196943985715</v>
      </c>
      <c r="AC108" s="97">
        <v>0</v>
      </c>
      <c r="AD108" s="97">
        <f t="shared" si="96"/>
        <v>1.036975E-2</v>
      </c>
      <c r="AE108" s="100">
        <f t="shared" si="127"/>
        <v>1.036975E-2</v>
      </c>
      <c r="AF108" s="99">
        <f t="shared" si="150"/>
        <v>0.75750000000000006</v>
      </c>
      <c r="AG108" s="97">
        <f t="shared" si="151"/>
        <v>0.88189072452316919</v>
      </c>
      <c r="AH108" s="97">
        <f t="shared" si="99"/>
        <v>4.0304383851666695E-2</v>
      </c>
      <c r="AI108" s="97">
        <f t="shared" si="173"/>
        <v>1.0605</v>
      </c>
      <c r="AJ108" s="100">
        <f t="shared" si="129"/>
        <v>1.1008043838516668</v>
      </c>
      <c r="AK108" s="99">
        <f t="shared" si="152"/>
        <v>0.2525</v>
      </c>
      <c r="AL108" s="97">
        <f t="shared" si="153"/>
        <v>0.50915984719928586</v>
      </c>
      <c r="AM108" s="97">
        <f t="shared" si="154"/>
        <v>8.4839999999999999E-2</v>
      </c>
      <c r="AN108" s="97">
        <f t="shared" si="155"/>
        <v>0.75525000000000009</v>
      </c>
      <c r="AO108" s="100">
        <f t="shared" si="130"/>
        <v>0.84009000000000011</v>
      </c>
      <c r="AP108" s="99">
        <f t="shared" si="131"/>
        <v>0</v>
      </c>
      <c r="AQ108" s="97">
        <f t="shared" si="104"/>
        <v>8.7499999999999994E-2</v>
      </c>
      <c r="AR108" s="100">
        <f t="shared" si="156"/>
        <v>1.155E-2</v>
      </c>
      <c r="AS108" s="99">
        <f t="shared" si="148"/>
        <v>1.1998543838516667</v>
      </c>
      <c r="AT108" s="215">
        <f t="shared" si="157"/>
        <v>96.991263031100004</v>
      </c>
      <c r="AU108" s="216">
        <f t="shared" si="158"/>
        <v>7.0817328565446022E-2</v>
      </c>
      <c r="AV108" s="97">
        <f t="shared" si="159"/>
        <v>12.120000000000001</v>
      </c>
      <c r="AW108" s="100">
        <f t="shared" si="132"/>
        <v>90.99198572841523</v>
      </c>
      <c r="AX108" s="32"/>
      <c r="AY108" s="99">
        <f t="shared" si="109"/>
        <v>60</v>
      </c>
      <c r="AZ108" s="97">
        <f t="shared" si="160"/>
        <v>0.20200000000000001</v>
      </c>
      <c r="BA108" s="97">
        <f t="shared" si="111"/>
        <v>15</v>
      </c>
      <c r="BB108" s="100">
        <f t="shared" si="161"/>
        <v>1.01</v>
      </c>
      <c r="BC108" s="99">
        <f t="shared" si="162"/>
        <v>2</v>
      </c>
      <c r="BD108" s="97">
        <f t="shared" si="163"/>
        <v>0.75</v>
      </c>
      <c r="BE108" s="100">
        <f t="shared" si="164"/>
        <v>0.25</v>
      </c>
      <c r="BF108" s="99">
        <f t="shared" si="165"/>
        <v>0.45000000000000007</v>
      </c>
      <c r="BG108" s="97">
        <f t="shared" si="146"/>
        <v>1.2350000000000001</v>
      </c>
      <c r="BH108" s="97">
        <f t="shared" si="147"/>
        <v>1.0183196943985715</v>
      </c>
      <c r="BI108" s="97">
        <v>0</v>
      </c>
      <c r="BJ108" s="97">
        <f t="shared" si="166"/>
        <v>1.036975E-2</v>
      </c>
      <c r="BK108" s="100">
        <f t="shared" si="133"/>
        <v>1.036975E-2</v>
      </c>
      <c r="BL108" s="99">
        <f t="shared" si="145"/>
        <v>0.75750000000000006</v>
      </c>
      <c r="BM108" s="97">
        <f t="shared" si="134"/>
        <v>0.88189072452316919</v>
      </c>
      <c r="BN108" s="97">
        <f t="shared" si="135"/>
        <v>5.5076849466865065E-2</v>
      </c>
      <c r="BO108" s="97">
        <f t="shared" si="174"/>
        <v>1.0605</v>
      </c>
      <c r="BP108" s="100">
        <f t="shared" si="137"/>
        <v>1.115576849466865</v>
      </c>
      <c r="BQ108" s="99">
        <f t="shared" si="138"/>
        <v>0.2525</v>
      </c>
      <c r="BR108" s="97">
        <f t="shared" si="167"/>
        <v>0.50915984719928586</v>
      </c>
      <c r="BS108" s="97">
        <f t="shared" si="168"/>
        <v>8.4839999999999999E-2</v>
      </c>
      <c r="BT108" s="97">
        <f t="shared" si="169"/>
        <v>0.75525000000000009</v>
      </c>
      <c r="BU108" s="100">
        <f t="shared" si="139"/>
        <v>0.84009000000000011</v>
      </c>
      <c r="BV108" s="99">
        <f t="shared" si="140"/>
        <v>0</v>
      </c>
      <c r="BW108" s="97">
        <f t="shared" si="170"/>
        <v>8.7499999999999994E-2</v>
      </c>
      <c r="BX108" s="100">
        <f t="shared" si="171"/>
        <v>1.155E-2</v>
      </c>
      <c r="BY108" s="99">
        <f t="shared" si="141"/>
        <v>2.0650865994668655</v>
      </c>
      <c r="BZ108" s="97">
        <f t="shared" si="142"/>
        <v>12.120000000000001</v>
      </c>
      <c r="CA108" s="100">
        <f t="shared" si="143"/>
        <v>85.44184707660169</v>
      </c>
      <c r="CB108" s="51">
        <f t="shared" si="144"/>
        <v>1.2146268494668648</v>
      </c>
      <c r="CC108" s="32">
        <f t="shared" si="172"/>
        <v>67.511939731340277</v>
      </c>
    </row>
    <row r="109" spans="17:81" x14ac:dyDescent="0.3">
      <c r="Q109" s="32">
        <v>102</v>
      </c>
      <c r="S109" s="99">
        <f t="shared" si="89"/>
        <v>60</v>
      </c>
      <c r="T109" s="97">
        <f t="shared" si="124"/>
        <v>0.20400000000000001</v>
      </c>
      <c r="U109" s="97">
        <f t="shared" si="90"/>
        <v>15</v>
      </c>
      <c r="V109" s="100">
        <f t="shared" si="91"/>
        <v>1.02</v>
      </c>
      <c r="W109" s="99">
        <f t="shared" si="92"/>
        <v>2</v>
      </c>
      <c r="X109" s="97">
        <f t="shared" si="93"/>
        <v>0.75</v>
      </c>
      <c r="Y109" s="100">
        <f t="shared" si="149"/>
        <v>0.25</v>
      </c>
      <c r="Z109" s="99">
        <f t="shared" si="95"/>
        <v>0.45000000000000007</v>
      </c>
      <c r="AA109" s="97">
        <f t="shared" si="125"/>
        <v>1.2450000000000001</v>
      </c>
      <c r="AB109" s="97">
        <f t="shared" si="126"/>
        <v>1.028238785496832</v>
      </c>
      <c r="AC109" s="97">
        <v>0</v>
      </c>
      <c r="AD109" s="97">
        <f t="shared" si="96"/>
        <v>1.0572750000000002E-2</v>
      </c>
      <c r="AE109" s="100">
        <f t="shared" si="127"/>
        <v>1.0572750000000002E-2</v>
      </c>
      <c r="AF109" s="99">
        <f t="shared" si="150"/>
        <v>0.76500000000000001</v>
      </c>
      <c r="AG109" s="97">
        <f t="shared" si="151"/>
        <v>0.89048090939671476</v>
      </c>
      <c r="AH109" s="97">
        <f t="shared" si="99"/>
        <v>4.1093389365000017E-2</v>
      </c>
      <c r="AI109" s="97">
        <f t="shared" si="173"/>
        <v>1.071</v>
      </c>
      <c r="AJ109" s="100">
        <f t="shared" si="129"/>
        <v>1.112093389365</v>
      </c>
      <c r="AK109" s="99">
        <f t="shared" si="152"/>
        <v>0.255</v>
      </c>
      <c r="AL109" s="97">
        <f t="shared" si="153"/>
        <v>0.514119392748416</v>
      </c>
      <c r="AM109" s="97">
        <f t="shared" si="154"/>
        <v>8.5680000000000006E-2</v>
      </c>
      <c r="AN109" s="97">
        <f t="shared" si="155"/>
        <v>0.75525000000000009</v>
      </c>
      <c r="AO109" s="100">
        <f t="shared" si="130"/>
        <v>0.84093000000000007</v>
      </c>
      <c r="AP109" s="99">
        <f t="shared" si="131"/>
        <v>0</v>
      </c>
      <c r="AQ109" s="97">
        <f t="shared" si="104"/>
        <v>8.7499999999999994E-2</v>
      </c>
      <c r="AR109" s="100">
        <f t="shared" si="156"/>
        <v>1.155E-2</v>
      </c>
      <c r="AS109" s="99">
        <f t="shared" si="148"/>
        <v>1.2111433893649999</v>
      </c>
      <c r="AT109" s="215">
        <f t="shared" si="157"/>
        <v>97.668603361899997</v>
      </c>
      <c r="AU109" s="216">
        <f t="shared" si="158"/>
        <v>7.0982673059957091E-2</v>
      </c>
      <c r="AV109" s="97">
        <f t="shared" si="159"/>
        <v>12.24</v>
      </c>
      <c r="AW109" s="100">
        <f t="shared" si="132"/>
        <v>90.995981870785954</v>
      </c>
      <c r="AX109" s="32"/>
      <c r="AY109" s="99">
        <f t="shared" si="109"/>
        <v>60</v>
      </c>
      <c r="AZ109" s="97">
        <f t="shared" si="160"/>
        <v>0.20400000000000001</v>
      </c>
      <c r="BA109" s="97">
        <f t="shared" si="111"/>
        <v>15</v>
      </c>
      <c r="BB109" s="100">
        <f t="shared" si="161"/>
        <v>1.02</v>
      </c>
      <c r="BC109" s="99">
        <f t="shared" si="162"/>
        <v>2</v>
      </c>
      <c r="BD109" s="97">
        <f t="shared" si="163"/>
        <v>0.75</v>
      </c>
      <c r="BE109" s="100">
        <f t="shared" si="164"/>
        <v>0.25</v>
      </c>
      <c r="BF109" s="99">
        <f t="shared" si="165"/>
        <v>0.45000000000000007</v>
      </c>
      <c r="BG109" s="97">
        <f t="shared" si="146"/>
        <v>1.2450000000000001</v>
      </c>
      <c r="BH109" s="97">
        <f t="shared" si="147"/>
        <v>1.028238785496832</v>
      </c>
      <c r="BI109" s="97">
        <v>0</v>
      </c>
      <c r="BJ109" s="97">
        <f t="shared" si="166"/>
        <v>1.0572750000000002E-2</v>
      </c>
      <c r="BK109" s="100">
        <f t="shared" si="133"/>
        <v>1.0572750000000002E-2</v>
      </c>
      <c r="BL109" s="99">
        <f t="shared" si="145"/>
        <v>0.76500000000000001</v>
      </c>
      <c r="BM109" s="97">
        <f t="shared" si="134"/>
        <v>0.89048090939671476</v>
      </c>
      <c r="BN109" s="97">
        <f t="shared" si="135"/>
        <v>5.6286154244599609E-2</v>
      </c>
      <c r="BO109" s="97">
        <f t="shared" si="174"/>
        <v>1.071</v>
      </c>
      <c r="BP109" s="100">
        <f t="shared" si="137"/>
        <v>1.1272861542445995</v>
      </c>
      <c r="BQ109" s="99">
        <f t="shared" si="138"/>
        <v>0.255</v>
      </c>
      <c r="BR109" s="97">
        <f t="shared" si="167"/>
        <v>0.514119392748416</v>
      </c>
      <c r="BS109" s="97">
        <f t="shared" si="168"/>
        <v>8.5680000000000006E-2</v>
      </c>
      <c r="BT109" s="97">
        <f t="shared" si="169"/>
        <v>0.75525000000000009</v>
      </c>
      <c r="BU109" s="100">
        <f t="shared" si="139"/>
        <v>0.84093000000000007</v>
      </c>
      <c r="BV109" s="99">
        <f t="shared" si="140"/>
        <v>0</v>
      </c>
      <c r="BW109" s="97">
        <f t="shared" si="170"/>
        <v>8.7499999999999994E-2</v>
      </c>
      <c r="BX109" s="100">
        <f t="shared" si="171"/>
        <v>1.155E-2</v>
      </c>
      <c r="BY109" s="99">
        <f t="shared" si="141"/>
        <v>2.0778389042445999</v>
      </c>
      <c r="BZ109" s="97">
        <f t="shared" si="142"/>
        <v>12.24</v>
      </c>
      <c r="CA109" s="100">
        <f t="shared" si="143"/>
        <v>85.487761678694312</v>
      </c>
      <c r="CB109" s="51">
        <f t="shared" si="144"/>
        <v>1.2263361542445994</v>
      </c>
      <c r="CC109" s="32">
        <f t="shared" si="172"/>
        <v>67.921765398560979</v>
      </c>
    </row>
    <row r="110" spans="17:81" x14ac:dyDescent="0.3">
      <c r="Q110" s="32">
        <v>103</v>
      </c>
      <c r="S110" s="99">
        <f t="shared" si="89"/>
        <v>60</v>
      </c>
      <c r="T110" s="97">
        <f t="shared" si="124"/>
        <v>0.20600000000000002</v>
      </c>
      <c r="U110" s="97">
        <f t="shared" si="90"/>
        <v>15</v>
      </c>
      <c r="V110" s="100">
        <f t="shared" si="91"/>
        <v>1.03</v>
      </c>
      <c r="W110" s="99">
        <f t="shared" si="92"/>
        <v>2</v>
      </c>
      <c r="X110" s="97">
        <f t="shared" si="93"/>
        <v>0.75</v>
      </c>
      <c r="Y110" s="100">
        <f t="shared" si="149"/>
        <v>0.25</v>
      </c>
      <c r="Z110" s="99">
        <f t="shared" si="95"/>
        <v>0.45000000000000007</v>
      </c>
      <c r="AA110" s="97">
        <f t="shared" si="125"/>
        <v>1.2550000000000001</v>
      </c>
      <c r="AB110" s="97">
        <f t="shared" si="126"/>
        <v>1.0381594289895941</v>
      </c>
      <c r="AC110" s="97">
        <v>0</v>
      </c>
      <c r="AD110" s="97">
        <f t="shared" si="96"/>
        <v>1.0777750000000001E-2</v>
      </c>
      <c r="AE110" s="100">
        <f t="shared" si="127"/>
        <v>1.0777750000000001E-2</v>
      </c>
      <c r="AF110" s="99">
        <f t="shared" si="150"/>
        <v>0.77249999999999996</v>
      </c>
      <c r="AG110" s="97">
        <f t="shared" si="151"/>
        <v>0.89907243868333564</v>
      </c>
      <c r="AH110" s="97">
        <f t="shared" si="99"/>
        <v>4.1890168331666693E-2</v>
      </c>
      <c r="AI110" s="97">
        <f t="shared" si="173"/>
        <v>1.0814999999999999</v>
      </c>
      <c r="AJ110" s="100">
        <f t="shared" si="129"/>
        <v>1.1233901683316665</v>
      </c>
      <c r="AK110" s="99">
        <f t="shared" si="152"/>
        <v>0.25750000000000001</v>
      </c>
      <c r="AL110" s="97">
        <f t="shared" si="153"/>
        <v>0.51907971449479717</v>
      </c>
      <c r="AM110" s="97">
        <f t="shared" si="154"/>
        <v>8.652E-2</v>
      </c>
      <c r="AN110" s="97">
        <f t="shared" si="155"/>
        <v>0.75525000000000009</v>
      </c>
      <c r="AO110" s="100">
        <f t="shared" si="130"/>
        <v>0.84177000000000013</v>
      </c>
      <c r="AP110" s="99">
        <f t="shared" si="131"/>
        <v>0</v>
      </c>
      <c r="AQ110" s="97">
        <f t="shared" si="104"/>
        <v>8.7499999999999994E-2</v>
      </c>
      <c r="AR110" s="100">
        <f t="shared" si="156"/>
        <v>1.155E-2</v>
      </c>
      <c r="AS110" s="99">
        <f t="shared" si="148"/>
        <v>1.2224401683316664</v>
      </c>
      <c r="AT110" s="215">
        <f t="shared" si="157"/>
        <v>98.346410099899984</v>
      </c>
      <c r="AU110" s="216">
        <f t="shared" si="158"/>
        <v>7.1148131408404244E-2</v>
      </c>
      <c r="AV110" s="97">
        <f t="shared" si="159"/>
        <v>12.360000000000001</v>
      </c>
      <c r="AW110" s="100">
        <f t="shared" si="132"/>
        <v>90.99984867828195</v>
      </c>
      <c r="AX110" s="32"/>
      <c r="AY110" s="99">
        <f t="shared" si="109"/>
        <v>60</v>
      </c>
      <c r="AZ110" s="97">
        <f t="shared" si="160"/>
        <v>0.20600000000000002</v>
      </c>
      <c r="BA110" s="97">
        <f t="shared" si="111"/>
        <v>15</v>
      </c>
      <c r="BB110" s="100">
        <f t="shared" si="161"/>
        <v>1.03</v>
      </c>
      <c r="BC110" s="99">
        <f t="shared" si="162"/>
        <v>2</v>
      </c>
      <c r="BD110" s="97">
        <f t="shared" si="163"/>
        <v>0.75</v>
      </c>
      <c r="BE110" s="100">
        <f t="shared" si="164"/>
        <v>0.25</v>
      </c>
      <c r="BF110" s="99">
        <f t="shared" si="165"/>
        <v>0.45000000000000007</v>
      </c>
      <c r="BG110" s="97">
        <f t="shared" si="146"/>
        <v>1.2550000000000001</v>
      </c>
      <c r="BH110" s="97">
        <f t="shared" si="147"/>
        <v>1.0381594289895941</v>
      </c>
      <c r="BI110" s="97">
        <v>0</v>
      </c>
      <c r="BJ110" s="97">
        <f t="shared" si="166"/>
        <v>1.0777750000000001E-2</v>
      </c>
      <c r="BK110" s="100">
        <f t="shared" si="133"/>
        <v>1.0777750000000001E-2</v>
      </c>
      <c r="BL110" s="99">
        <f t="shared" si="145"/>
        <v>0.77249999999999996</v>
      </c>
      <c r="BM110" s="97">
        <f t="shared" si="134"/>
        <v>0.89907243868333564</v>
      </c>
      <c r="BN110" s="97">
        <f t="shared" si="135"/>
        <v>5.7511257996519682E-2</v>
      </c>
      <c r="BO110" s="97">
        <f t="shared" si="174"/>
        <v>1.0814999999999999</v>
      </c>
      <c r="BP110" s="100">
        <f t="shared" si="137"/>
        <v>1.1390112579965197</v>
      </c>
      <c r="BQ110" s="99">
        <f t="shared" si="138"/>
        <v>0.25750000000000001</v>
      </c>
      <c r="BR110" s="97">
        <f t="shared" si="167"/>
        <v>0.51907971449479717</v>
      </c>
      <c r="BS110" s="97">
        <f t="shared" si="168"/>
        <v>8.652E-2</v>
      </c>
      <c r="BT110" s="97">
        <f t="shared" si="169"/>
        <v>0.75525000000000009</v>
      </c>
      <c r="BU110" s="100">
        <f t="shared" si="139"/>
        <v>0.84177000000000013</v>
      </c>
      <c r="BV110" s="99">
        <f t="shared" si="140"/>
        <v>0</v>
      </c>
      <c r="BW110" s="97">
        <f t="shared" si="170"/>
        <v>8.7499999999999994E-2</v>
      </c>
      <c r="BX110" s="100">
        <f t="shared" si="171"/>
        <v>1.155E-2</v>
      </c>
      <c r="BY110" s="99">
        <f t="shared" si="141"/>
        <v>2.0906090079965201</v>
      </c>
      <c r="BZ110" s="97">
        <f t="shared" si="142"/>
        <v>12.360000000000001</v>
      </c>
      <c r="CA110" s="100">
        <f t="shared" si="143"/>
        <v>85.532727327688121</v>
      </c>
      <c r="CB110" s="51">
        <f t="shared" si="144"/>
        <v>1.2380612579965196</v>
      </c>
      <c r="CC110" s="32">
        <f t="shared" si="172"/>
        <v>68.332144029878179</v>
      </c>
    </row>
    <row r="111" spans="17:81" x14ac:dyDescent="0.3">
      <c r="Q111" s="32">
        <v>104</v>
      </c>
      <c r="S111" s="99">
        <f t="shared" si="89"/>
        <v>60</v>
      </c>
      <c r="T111" s="97">
        <f t="shared" si="124"/>
        <v>0.20800000000000002</v>
      </c>
      <c r="U111" s="97">
        <f t="shared" si="90"/>
        <v>15</v>
      </c>
      <c r="V111" s="100">
        <f t="shared" si="91"/>
        <v>1.04</v>
      </c>
      <c r="W111" s="99">
        <f t="shared" si="92"/>
        <v>2</v>
      </c>
      <c r="X111" s="97">
        <f t="shared" si="93"/>
        <v>0.75</v>
      </c>
      <c r="Y111" s="100">
        <f t="shared" si="149"/>
        <v>0.25</v>
      </c>
      <c r="Z111" s="99">
        <f t="shared" si="95"/>
        <v>0.45000000000000007</v>
      </c>
      <c r="AA111" s="97">
        <f t="shared" si="125"/>
        <v>1.2650000000000001</v>
      </c>
      <c r="AB111" s="97">
        <f t="shared" si="126"/>
        <v>1.048081580794167</v>
      </c>
      <c r="AC111" s="97">
        <v>0</v>
      </c>
      <c r="AD111" s="97">
        <f t="shared" si="96"/>
        <v>1.0984750000000001E-2</v>
      </c>
      <c r="AE111" s="100">
        <f t="shared" si="127"/>
        <v>1.0984750000000001E-2</v>
      </c>
      <c r="AF111" s="99">
        <f t="shared" si="150"/>
        <v>0.78</v>
      </c>
      <c r="AG111" s="97">
        <f t="shared" si="151"/>
        <v>0.90766527420630128</v>
      </c>
      <c r="AH111" s="97">
        <f t="shared" si="99"/>
        <v>4.2694720751666686E-2</v>
      </c>
      <c r="AI111" s="97">
        <f t="shared" si="173"/>
        <v>1.0920000000000001</v>
      </c>
      <c r="AJ111" s="100">
        <f t="shared" si="129"/>
        <v>1.1346947207516667</v>
      </c>
      <c r="AK111" s="99">
        <f t="shared" si="152"/>
        <v>0.26</v>
      </c>
      <c r="AL111" s="97">
        <f t="shared" si="153"/>
        <v>0.52404079039708351</v>
      </c>
      <c r="AM111" s="97">
        <f t="shared" si="154"/>
        <v>8.7360000000000007E-2</v>
      </c>
      <c r="AN111" s="97">
        <f t="shared" si="155"/>
        <v>0.75525000000000009</v>
      </c>
      <c r="AO111" s="100">
        <f t="shared" si="130"/>
        <v>0.84261000000000008</v>
      </c>
      <c r="AP111" s="99">
        <f t="shared" si="131"/>
        <v>0</v>
      </c>
      <c r="AQ111" s="97">
        <f t="shared" si="104"/>
        <v>8.7499999999999994E-2</v>
      </c>
      <c r="AR111" s="100">
        <f t="shared" si="156"/>
        <v>1.155E-2</v>
      </c>
      <c r="AS111" s="99">
        <f t="shared" si="148"/>
        <v>1.2337447207516665</v>
      </c>
      <c r="AT111" s="215">
        <f t="shared" si="157"/>
        <v>99.024683245099993</v>
      </c>
      <c r="AU111" s="216">
        <f t="shared" si="158"/>
        <v>7.1313703610787441E-2</v>
      </c>
      <c r="AV111" s="97">
        <f t="shared" si="159"/>
        <v>12.48</v>
      </c>
      <c r="AW111" s="100">
        <f t="shared" si="132"/>
        <v>91.003589859123153</v>
      </c>
      <c r="AX111" s="32"/>
      <c r="AY111" s="99">
        <f t="shared" si="109"/>
        <v>60</v>
      </c>
      <c r="AZ111" s="97">
        <f t="shared" si="160"/>
        <v>0.20800000000000002</v>
      </c>
      <c r="BA111" s="97">
        <f t="shared" si="111"/>
        <v>15</v>
      </c>
      <c r="BB111" s="100">
        <f t="shared" si="161"/>
        <v>1.04</v>
      </c>
      <c r="BC111" s="99">
        <f t="shared" si="162"/>
        <v>2</v>
      </c>
      <c r="BD111" s="97">
        <f t="shared" si="163"/>
        <v>0.75</v>
      </c>
      <c r="BE111" s="100">
        <f t="shared" si="164"/>
        <v>0.25</v>
      </c>
      <c r="BF111" s="99">
        <f t="shared" si="165"/>
        <v>0.45000000000000007</v>
      </c>
      <c r="BG111" s="97">
        <f t="shared" si="146"/>
        <v>1.2650000000000001</v>
      </c>
      <c r="BH111" s="97">
        <f t="shared" si="147"/>
        <v>1.048081580794167</v>
      </c>
      <c r="BI111" s="97">
        <v>0</v>
      </c>
      <c r="BJ111" s="97">
        <f t="shared" si="166"/>
        <v>1.0984750000000001E-2</v>
      </c>
      <c r="BK111" s="100">
        <f t="shared" si="133"/>
        <v>1.0984750000000001E-2</v>
      </c>
      <c r="BL111" s="99">
        <f t="shared" si="145"/>
        <v>0.78</v>
      </c>
      <c r="BM111" s="97">
        <f t="shared" si="134"/>
        <v>0.90766527420630128</v>
      </c>
      <c r="BN111" s="97">
        <f t="shared" si="135"/>
        <v>5.8752240430394807E-2</v>
      </c>
      <c r="BO111" s="97">
        <f t="shared" si="174"/>
        <v>1.0920000000000001</v>
      </c>
      <c r="BP111" s="100">
        <f t="shared" si="137"/>
        <v>1.1507522404303949</v>
      </c>
      <c r="BQ111" s="99">
        <f t="shared" si="138"/>
        <v>0.26</v>
      </c>
      <c r="BR111" s="97">
        <f t="shared" si="167"/>
        <v>0.52404079039708351</v>
      </c>
      <c r="BS111" s="97">
        <f t="shared" si="168"/>
        <v>8.7360000000000007E-2</v>
      </c>
      <c r="BT111" s="97">
        <f t="shared" si="169"/>
        <v>0.75525000000000009</v>
      </c>
      <c r="BU111" s="100">
        <f t="shared" si="139"/>
        <v>0.84261000000000008</v>
      </c>
      <c r="BV111" s="99">
        <f t="shared" si="140"/>
        <v>0</v>
      </c>
      <c r="BW111" s="97">
        <f t="shared" si="170"/>
        <v>8.7499999999999994E-2</v>
      </c>
      <c r="BX111" s="100">
        <f t="shared" si="171"/>
        <v>1.155E-2</v>
      </c>
      <c r="BY111" s="99">
        <f t="shared" si="141"/>
        <v>2.1033969904303951</v>
      </c>
      <c r="BZ111" s="97">
        <f t="shared" si="142"/>
        <v>12.48</v>
      </c>
      <c r="CA111" s="100">
        <f t="shared" si="143"/>
        <v>85.576769309574146</v>
      </c>
      <c r="CB111" s="51">
        <f t="shared" si="144"/>
        <v>1.2498022404303948</v>
      </c>
      <c r="CC111" s="32">
        <f t="shared" si="172"/>
        <v>68.74307841506382</v>
      </c>
    </row>
    <row r="112" spans="17:81" x14ac:dyDescent="0.3">
      <c r="Q112" s="32">
        <v>105</v>
      </c>
      <c r="S112" s="99">
        <f t="shared" si="89"/>
        <v>60</v>
      </c>
      <c r="T112" s="97">
        <f t="shared" si="124"/>
        <v>0.21</v>
      </c>
      <c r="U112" s="97">
        <f t="shared" si="90"/>
        <v>15</v>
      </c>
      <c r="V112" s="100">
        <f t="shared" si="91"/>
        <v>1.05</v>
      </c>
      <c r="W112" s="99">
        <f t="shared" si="92"/>
        <v>2</v>
      </c>
      <c r="X112" s="97">
        <f t="shared" si="93"/>
        <v>0.75</v>
      </c>
      <c r="Y112" s="100">
        <f t="shared" si="149"/>
        <v>0.25</v>
      </c>
      <c r="Z112" s="99">
        <f t="shared" si="95"/>
        <v>0.45000000000000007</v>
      </c>
      <c r="AA112" s="97">
        <f t="shared" si="125"/>
        <v>1.2750000000000001</v>
      </c>
      <c r="AB112" s="97">
        <f t="shared" si="126"/>
        <v>1.0580051984749412</v>
      </c>
      <c r="AC112" s="97">
        <v>0</v>
      </c>
      <c r="AD112" s="97">
        <f t="shared" si="96"/>
        <v>1.1193749999999999E-2</v>
      </c>
      <c r="AE112" s="100">
        <f t="shared" si="127"/>
        <v>1.1193749999999999E-2</v>
      </c>
      <c r="AF112" s="99">
        <f t="shared" si="150"/>
        <v>0.78750000000000009</v>
      </c>
      <c r="AG112" s="97">
        <f t="shared" si="151"/>
        <v>0.91625937921529632</v>
      </c>
      <c r="AH112" s="97">
        <f t="shared" si="99"/>
        <v>4.3507046625000025E-2</v>
      </c>
      <c r="AI112" s="97">
        <f t="shared" si="173"/>
        <v>1.1025</v>
      </c>
      <c r="AJ112" s="100">
        <f t="shared" si="129"/>
        <v>1.1460070466250001</v>
      </c>
      <c r="AK112" s="99">
        <f t="shared" si="152"/>
        <v>0.26250000000000001</v>
      </c>
      <c r="AL112" s="97">
        <f t="shared" si="153"/>
        <v>0.52900259923747073</v>
      </c>
      <c r="AM112" s="97">
        <f t="shared" si="154"/>
        <v>8.8199999999999987E-2</v>
      </c>
      <c r="AN112" s="97">
        <f t="shared" si="155"/>
        <v>0.75525000000000009</v>
      </c>
      <c r="AO112" s="100">
        <f t="shared" si="130"/>
        <v>0.84345000000000003</v>
      </c>
      <c r="AP112" s="99">
        <f t="shared" si="131"/>
        <v>0</v>
      </c>
      <c r="AQ112" s="97">
        <f t="shared" si="104"/>
        <v>8.7499999999999994E-2</v>
      </c>
      <c r="AR112" s="100">
        <f t="shared" si="156"/>
        <v>1.155E-2</v>
      </c>
      <c r="AS112" s="99">
        <f t="shared" si="148"/>
        <v>1.2450570466249999</v>
      </c>
      <c r="AT112" s="215">
        <f t="shared" si="157"/>
        <v>99.703422797499996</v>
      </c>
      <c r="AU112" s="216">
        <f t="shared" si="158"/>
        <v>7.1479389667106721E-2</v>
      </c>
      <c r="AV112" s="97">
        <f t="shared" si="159"/>
        <v>12.6</v>
      </c>
      <c r="AW112" s="100">
        <f t="shared" si="132"/>
        <v>91.007208981283995</v>
      </c>
      <c r="AX112" s="32"/>
      <c r="AY112" s="99">
        <f t="shared" si="109"/>
        <v>60</v>
      </c>
      <c r="AZ112" s="97">
        <f t="shared" si="160"/>
        <v>0.21</v>
      </c>
      <c r="BA112" s="97">
        <f t="shared" si="111"/>
        <v>15</v>
      </c>
      <c r="BB112" s="100">
        <f t="shared" si="161"/>
        <v>1.05</v>
      </c>
      <c r="BC112" s="99">
        <f t="shared" si="162"/>
        <v>2</v>
      </c>
      <c r="BD112" s="97">
        <f t="shared" si="163"/>
        <v>0.75</v>
      </c>
      <c r="BE112" s="100">
        <f t="shared" si="164"/>
        <v>0.25</v>
      </c>
      <c r="BF112" s="99">
        <f t="shared" si="165"/>
        <v>0.45000000000000007</v>
      </c>
      <c r="BG112" s="97">
        <f t="shared" si="146"/>
        <v>1.2750000000000001</v>
      </c>
      <c r="BH112" s="97">
        <f t="shared" si="147"/>
        <v>1.0580051984749412</v>
      </c>
      <c r="BI112" s="97">
        <v>0</v>
      </c>
      <c r="BJ112" s="97">
        <f t="shared" si="166"/>
        <v>1.1193749999999999E-2</v>
      </c>
      <c r="BK112" s="100">
        <f t="shared" si="133"/>
        <v>1.1193749999999999E-2</v>
      </c>
      <c r="BL112" s="99">
        <f t="shared" si="145"/>
        <v>0.78750000000000009</v>
      </c>
      <c r="BM112" s="97">
        <f t="shared" si="134"/>
        <v>0.91625937921529632</v>
      </c>
      <c r="BN112" s="97">
        <f t="shared" si="135"/>
        <v>6.0009181356463201E-2</v>
      </c>
      <c r="BO112" s="97">
        <f t="shared" si="174"/>
        <v>1.1025</v>
      </c>
      <c r="BP112" s="100">
        <f t="shared" si="137"/>
        <v>1.1625091813564632</v>
      </c>
      <c r="BQ112" s="99">
        <f t="shared" si="138"/>
        <v>0.26250000000000001</v>
      </c>
      <c r="BR112" s="97">
        <f t="shared" si="167"/>
        <v>0.52900259923747073</v>
      </c>
      <c r="BS112" s="97">
        <f t="shared" si="168"/>
        <v>8.8199999999999987E-2</v>
      </c>
      <c r="BT112" s="97">
        <f t="shared" si="169"/>
        <v>0.75525000000000009</v>
      </c>
      <c r="BU112" s="100">
        <f t="shared" si="139"/>
        <v>0.84345000000000003</v>
      </c>
      <c r="BV112" s="99">
        <f t="shared" si="140"/>
        <v>0</v>
      </c>
      <c r="BW112" s="97">
        <f t="shared" si="170"/>
        <v>8.7499999999999994E-2</v>
      </c>
      <c r="BX112" s="100">
        <f t="shared" si="171"/>
        <v>1.155E-2</v>
      </c>
      <c r="BY112" s="99">
        <f t="shared" si="141"/>
        <v>2.116202931356463</v>
      </c>
      <c r="BZ112" s="97">
        <f t="shared" si="142"/>
        <v>12.6</v>
      </c>
      <c r="CA112" s="100">
        <f t="shared" si="143"/>
        <v>85.619912002929937</v>
      </c>
      <c r="CB112" s="51">
        <f t="shared" si="144"/>
        <v>1.2615591813564631</v>
      </c>
      <c r="CC112" s="32">
        <f t="shared" si="172"/>
        <v>69.154571347476207</v>
      </c>
    </row>
    <row r="113" spans="17:81" x14ac:dyDescent="0.3">
      <c r="Q113" s="32">
        <v>106</v>
      </c>
      <c r="S113" s="99">
        <f t="shared" si="89"/>
        <v>60</v>
      </c>
      <c r="T113" s="97">
        <f t="shared" si="124"/>
        <v>0.21199999999999999</v>
      </c>
      <c r="U113" s="97">
        <f t="shared" si="90"/>
        <v>15</v>
      </c>
      <c r="V113" s="100">
        <f t="shared" si="91"/>
        <v>1.0599999999999998</v>
      </c>
      <c r="W113" s="99">
        <f t="shared" si="92"/>
        <v>2</v>
      </c>
      <c r="X113" s="97">
        <f t="shared" si="93"/>
        <v>0.75</v>
      </c>
      <c r="Y113" s="100">
        <f t="shared" si="149"/>
        <v>0.25</v>
      </c>
      <c r="Z113" s="99">
        <f t="shared" si="95"/>
        <v>0.45000000000000007</v>
      </c>
      <c r="AA113" s="97">
        <f t="shared" si="125"/>
        <v>1.2849999999999999</v>
      </c>
      <c r="AB113" s="97">
        <f t="shared" si="126"/>
        <v>1.0679302411674649</v>
      </c>
      <c r="AC113" s="97">
        <v>0</v>
      </c>
      <c r="AD113" s="97">
        <f t="shared" si="96"/>
        <v>1.140475E-2</v>
      </c>
      <c r="AE113" s="100">
        <f t="shared" si="127"/>
        <v>1.140475E-2</v>
      </c>
      <c r="AF113" s="99">
        <f t="shared" si="150"/>
        <v>0.79499999999999993</v>
      </c>
      <c r="AG113" s="97">
        <f t="shared" si="151"/>
        <v>0.92485471832066679</v>
      </c>
      <c r="AH113" s="97">
        <f t="shared" si="99"/>
        <v>4.4327145951666674E-2</v>
      </c>
      <c r="AI113" s="97">
        <f t="shared" si="173"/>
        <v>1.1129999999999998</v>
      </c>
      <c r="AJ113" s="100">
        <f t="shared" si="129"/>
        <v>1.1573271459516665</v>
      </c>
      <c r="AK113" s="99">
        <f t="shared" si="152"/>
        <v>0.26499999999999996</v>
      </c>
      <c r="AL113" s="97">
        <f t="shared" si="153"/>
        <v>0.53396512058373247</v>
      </c>
      <c r="AM113" s="97">
        <f t="shared" si="154"/>
        <v>8.9039999999999994E-2</v>
      </c>
      <c r="AN113" s="97">
        <f t="shared" si="155"/>
        <v>0.75525000000000009</v>
      </c>
      <c r="AO113" s="100">
        <f t="shared" si="130"/>
        <v>0.8442900000000001</v>
      </c>
      <c r="AP113" s="99">
        <f t="shared" si="131"/>
        <v>0</v>
      </c>
      <c r="AQ113" s="97">
        <f t="shared" si="104"/>
        <v>8.7499999999999994E-2</v>
      </c>
      <c r="AR113" s="100">
        <f t="shared" si="156"/>
        <v>1.155E-2</v>
      </c>
      <c r="AS113" s="99">
        <f t="shared" si="148"/>
        <v>1.2563771459516664</v>
      </c>
      <c r="AT113" s="215">
        <f t="shared" si="157"/>
        <v>100.38262875709998</v>
      </c>
      <c r="AU113" s="216">
        <f t="shared" si="158"/>
        <v>7.1645189577362073E-2</v>
      </c>
      <c r="AV113" s="97">
        <f t="shared" si="159"/>
        <v>12.719999999999999</v>
      </c>
      <c r="AW113" s="100">
        <f t="shared" si="132"/>
        <v>91.010709479061362</v>
      </c>
      <c r="AX113" s="32"/>
      <c r="AY113" s="99">
        <f t="shared" si="109"/>
        <v>60</v>
      </c>
      <c r="AZ113" s="97">
        <f t="shared" si="160"/>
        <v>0.21199999999999999</v>
      </c>
      <c r="BA113" s="97">
        <f t="shared" si="111"/>
        <v>15</v>
      </c>
      <c r="BB113" s="100">
        <f t="shared" si="161"/>
        <v>1.0599999999999998</v>
      </c>
      <c r="BC113" s="99">
        <f t="shared" si="162"/>
        <v>2</v>
      </c>
      <c r="BD113" s="97">
        <f t="shared" si="163"/>
        <v>0.75</v>
      </c>
      <c r="BE113" s="100">
        <f t="shared" si="164"/>
        <v>0.25</v>
      </c>
      <c r="BF113" s="99">
        <f t="shared" si="165"/>
        <v>0.45000000000000007</v>
      </c>
      <c r="BG113" s="97">
        <f t="shared" si="146"/>
        <v>1.2849999999999999</v>
      </c>
      <c r="BH113" s="97">
        <f t="shared" si="147"/>
        <v>1.0679302411674649</v>
      </c>
      <c r="BI113" s="97">
        <v>0</v>
      </c>
      <c r="BJ113" s="97">
        <f t="shared" si="166"/>
        <v>1.140475E-2</v>
      </c>
      <c r="BK113" s="100">
        <f t="shared" si="133"/>
        <v>1.140475E-2</v>
      </c>
      <c r="BL113" s="99">
        <f t="shared" si="145"/>
        <v>0.79499999999999993</v>
      </c>
      <c r="BM113" s="97">
        <f t="shared" si="134"/>
        <v>0.92485471832066679</v>
      </c>
      <c r="BN113" s="97">
        <f t="shared" si="135"/>
        <v>6.1282160687431503E-2</v>
      </c>
      <c r="BO113" s="97">
        <f t="shared" si="174"/>
        <v>1.1129999999999998</v>
      </c>
      <c r="BP113" s="100">
        <f t="shared" si="137"/>
        <v>1.1742821606874312</v>
      </c>
      <c r="BQ113" s="99">
        <f t="shared" si="138"/>
        <v>0.26499999999999996</v>
      </c>
      <c r="BR113" s="97">
        <f t="shared" si="167"/>
        <v>0.53396512058373247</v>
      </c>
      <c r="BS113" s="97">
        <f t="shared" si="168"/>
        <v>8.9039999999999994E-2</v>
      </c>
      <c r="BT113" s="97">
        <f t="shared" si="169"/>
        <v>0.75525000000000009</v>
      </c>
      <c r="BU113" s="100">
        <f t="shared" si="139"/>
        <v>0.8442900000000001</v>
      </c>
      <c r="BV113" s="99">
        <f t="shared" si="140"/>
        <v>0</v>
      </c>
      <c r="BW113" s="97">
        <f t="shared" si="170"/>
        <v>8.7499999999999994E-2</v>
      </c>
      <c r="BX113" s="100">
        <f t="shared" si="171"/>
        <v>1.155E-2</v>
      </c>
      <c r="BY113" s="99">
        <f t="shared" si="141"/>
        <v>2.1290269106874313</v>
      </c>
      <c r="BZ113" s="97">
        <f t="shared" si="142"/>
        <v>12.719999999999999</v>
      </c>
      <c r="CA113" s="100">
        <f t="shared" si="143"/>
        <v>85.662178919245633</v>
      </c>
      <c r="CB113" s="51">
        <f t="shared" si="144"/>
        <v>1.273332160687431</v>
      </c>
      <c r="CC113" s="32">
        <f t="shared" si="172"/>
        <v>69.566625624060094</v>
      </c>
    </row>
    <row r="114" spans="17:81" x14ac:dyDescent="0.3">
      <c r="Q114" s="32">
        <v>107</v>
      </c>
      <c r="S114" s="99">
        <f t="shared" si="89"/>
        <v>60</v>
      </c>
      <c r="T114" s="97">
        <f t="shared" si="124"/>
        <v>0.214</v>
      </c>
      <c r="U114" s="97">
        <f t="shared" si="90"/>
        <v>15</v>
      </c>
      <c r="V114" s="100">
        <f t="shared" si="91"/>
        <v>1.07</v>
      </c>
      <c r="W114" s="99">
        <f t="shared" si="92"/>
        <v>2</v>
      </c>
      <c r="X114" s="97">
        <f t="shared" si="93"/>
        <v>0.75</v>
      </c>
      <c r="Y114" s="100">
        <f t="shared" si="149"/>
        <v>0.25</v>
      </c>
      <c r="Z114" s="99">
        <f t="shared" si="95"/>
        <v>0.45000000000000007</v>
      </c>
      <c r="AA114" s="97">
        <f t="shared" si="125"/>
        <v>1.2950000000000002</v>
      </c>
      <c r="AB114" s="97">
        <f t="shared" si="126"/>
        <v>1.0778566695066649</v>
      </c>
      <c r="AC114" s="97">
        <v>0</v>
      </c>
      <c r="AD114" s="97">
        <f t="shared" si="96"/>
        <v>1.1617749999999998E-2</v>
      </c>
      <c r="AE114" s="100">
        <f t="shared" si="127"/>
        <v>1.1617749999999998E-2</v>
      </c>
      <c r="AF114" s="99">
        <f t="shared" si="150"/>
        <v>0.80249999999999999</v>
      </c>
      <c r="AG114" s="97">
        <f t="shared" si="151"/>
        <v>0.9334512574312599</v>
      </c>
      <c r="AH114" s="97">
        <f t="shared" si="99"/>
        <v>4.5155018731666691E-2</v>
      </c>
      <c r="AI114" s="97">
        <f t="shared" si="173"/>
        <v>1.1234999999999999</v>
      </c>
      <c r="AJ114" s="100">
        <f t="shared" si="129"/>
        <v>1.1686550187316667</v>
      </c>
      <c r="AK114" s="99">
        <f t="shared" si="152"/>
        <v>0.26750000000000002</v>
      </c>
      <c r="AL114" s="97">
        <f t="shared" si="153"/>
        <v>0.53892833475333257</v>
      </c>
      <c r="AM114" s="97">
        <f t="shared" si="154"/>
        <v>8.9880000000000002E-2</v>
      </c>
      <c r="AN114" s="97">
        <f t="shared" si="155"/>
        <v>0.75525000000000009</v>
      </c>
      <c r="AO114" s="100">
        <f t="shared" si="130"/>
        <v>0.84513000000000005</v>
      </c>
      <c r="AP114" s="99">
        <f t="shared" si="131"/>
        <v>0</v>
      </c>
      <c r="AQ114" s="97">
        <f t="shared" si="104"/>
        <v>8.7499999999999994E-2</v>
      </c>
      <c r="AR114" s="100">
        <f t="shared" si="156"/>
        <v>1.155E-2</v>
      </c>
      <c r="AS114" s="99">
        <f t="shared" si="148"/>
        <v>1.2677050187316665</v>
      </c>
      <c r="AT114" s="215">
        <f t="shared" si="157"/>
        <v>101.06230112389999</v>
      </c>
      <c r="AU114" s="216">
        <f t="shared" si="158"/>
        <v>7.1811103341553509E-2</v>
      </c>
      <c r="AV114" s="97">
        <f t="shared" si="159"/>
        <v>12.84</v>
      </c>
      <c r="AW114" s="100">
        <f t="shared" si="132"/>
        <v>91.014094659276921</v>
      </c>
      <c r="AX114" s="32"/>
      <c r="AY114" s="99">
        <f t="shared" si="109"/>
        <v>60</v>
      </c>
      <c r="AZ114" s="97">
        <f t="shared" si="160"/>
        <v>0.214</v>
      </c>
      <c r="BA114" s="97">
        <f t="shared" si="111"/>
        <v>15</v>
      </c>
      <c r="BB114" s="100">
        <f t="shared" si="161"/>
        <v>1.07</v>
      </c>
      <c r="BC114" s="99">
        <f t="shared" si="162"/>
        <v>2</v>
      </c>
      <c r="BD114" s="97">
        <f t="shared" si="163"/>
        <v>0.75</v>
      </c>
      <c r="BE114" s="100">
        <f t="shared" si="164"/>
        <v>0.25</v>
      </c>
      <c r="BF114" s="99">
        <f t="shared" si="165"/>
        <v>0.45000000000000007</v>
      </c>
      <c r="BG114" s="97">
        <f t="shared" si="146"/>
        <v>1.2950000000000002</v>
      </c>
      <c r="BH114" s="97">
        <f t="shared" si="147"/>
        <v>1.0778566695066649</v>
      </c>
      <c r="BI114" s="97">
        <v>0</v>
      </c>
      <c r="BJ114" s="97">
        <f t="shared" si="166"/>
        <v>1.1617749999999998E-2</v>
      </c>
      <c r="BK114" s="100">
        <f t="shared" si="133"/>
        <v>1.1617749999999998E-2</v>
      </c>
      <c r="BL114" s="99">
        <f t="shared" si="145"/>
        <v>0.80249999999999999</v>
      </c>
      <c r="BM114" s="97">
        <f t="shared" si="134"/>
        <v>0.9334512574312599</v>
      </c>
      <c r="BN114" s="97">
        <f t="shared" si="135"/>
        <v>6.2571258438475011E-2</v>
      </c>
      <c r="BO114" s="97">
        <f t="shared" si="174"/>
        <v>1.1234999999999999</v>
      </c>
      <c r="BP114" s="100">
        <f t="shared" si="137"/>
        <v>1.1860712584384749</v>
      </c>
      <c r="BQ114" s="99">
        <f t="shared" si="138"/>
        <v>0.26750000000000002</v>
      </c>
      <c r="BR114" s="97">
        <f t="shared" si="167"/>
        <v>0.53892833475333257</v>
      </c>
      <c r="BS114" s="97">
        <f t="shared" si="168"/>
        <v>8.9880000000000002E-2</v>
      </c>
      <c r="BT114" s="97">
        <f t="shared" si="169"/>
        <v>0.75525000000000009</v>
      </c>
      <c r="BU114" s="100">
        <f t="shared" si="139"/>
        <v>0.84513000000000005</v>
      </c>
      <c r="BV114" s="99">
        <f t="shared" si="140"/>
        <v>0</v>
      </c>
      <c r="BW114" s="97">
        <f t="shared" si="170"/>
        <v>8.7499999999999994E-2</v>
      </c>
      <c r="BX114" s="100">
        <f t="shared" si="171"/>
        <v>1.155E-2</v>
      </c>
      <c r="BY114" s="99">
        <f t="shared" si="141"/>
        <v>2.1418690084384751</v>
      </c>
      <c r="BZ114" s="97">
        <f t="shared" si="142"/>
        <v>12.84</v>
      </c>
      <c r="CA114" s="100">
        <f t="shared" si="143"/>
        <v>85.703592741118769</v>
      </c>
      <c r="CB114" s="51">
        <f t="shared" si="144"/>
        <v>1.2851212584384748</v>
      </c>
      <c r="CC114" s="32">
        <f t="shared" si="172"/>
        <v>69.979244045346618</v>
      </c>
    </row>
    <row r="115" spans="17:81" x14ac:dyDescent="0.3">
      <c r="Q115" s="32">
        <v>108</v>
      </c>
      <c r="S115" s="99">
        <f t="shared" si="89"/>
        <v>60</v>
      </c>
      <c r="T115" s="97">
        <f t="shared" si="124"/>
        <v>0.216</v>
      </c>
      <c r="U115" s="97">
        <f t="shared" si="90"/>
        <v>15</v>
      </c>
      <c r="V115" s="100">
        <f t="shared" si="91"/>
        <v>1.0799999999999998</v>
      </c>
      <c r="W115" s="99">
        <f t="shared" si="92"/>
        <v>2</v>
      </c>
      <c r="X115" s="97">
        <f t="shared" si="93"/>
        <v>0.75</v>
      </c>
      <c r="Y115" s="100">
        <f t="shared" si="149"/>
        <v>0.25</v>
      </c>
      <c r="Z115" s="99">
        <f t="shared" si="95"/>
        <v>0.45000000000000007</v>
      </c>
      <c r="AA115" s="97">
        <f t="shared" si="125"/>
        <v>1.3049999999999999</v>
      </c>
      <c r="AB115" s="97">
        <f t="shared" si="126"/>
        <v>1.0877844455589534</v>
      </c>
      <c r="AC115" s="97">
        <v>0</v>
      </c>
      <c r="AD115" s="97">
        <f t="shared" si="96"/>
        <v>1.1832749999999996E-2</v>
      </c>
      <c r="AE115" s="100">
        <f t="shared" si="127"/>
        <v>1.1832749999999996E-2</v>
      </c>
      <c r="AF115" s="99">
        <f t="shared" si="150"/>
        <v>0.80999999999999983</v>
      </c>
      <c r="AG115" s="97">
        <f t="shared" si="151"/>
        <v>0.94204896369562441</v>
      </c>
      <c r="AH115" s="97">
        <f t="shared" si="99"/>
        <v>4.5990664965000004E-2</v>
      </c>
      <c r="AI115" s="97">
        <f t="shared" si="173"/>
        <v>1.1339999999999999</v>
      </c>
      <c r="AJ115" s="100">
        <f t="shared" si="129"/>
        <v>1.1799906649649998</v>
      </c>
      <c r="AK115" s="99">
        <f t="shared" si="152"/>
        <v>0.26999999999999996</v>
      </c>
      <c r="AL115" s="97">
        <f t="shared" si="153"/>
        <v>0.5438922227794768</v>
      </c>
      <c r="AM115" s="97">
        <f t="shared" si="154"/>
        <v>9.0719999999999995E-2</v>
      </c>
      <c r="AN115" s="97">
        <f t="shared" si="155"/>
        <v>0.75525000000000009</v>
      </c>
      <c r="AO115" s="100">
        <f t="shared" si="130"/>
        <v>0.84597000000000011</v>
      </c>
      <c r="AP115" s="99">
        <f t="shared" si="131"/>
        <v>0</v>
      </c>
      <c r="AQ115" s="97">
        <f t="shared" si="104"/>
        <v>8.7499999999999994E-2</v>
      </c>
      <c r="AR115" s="100">
        <f t="shared" si="156"/>
        <v>1.155E-2</v>
      </c>
      <c r="AS115" s="99">
        <f t="shared" si="148"/>
        <v>1.2790406649649997</v>
      </c>
      <c r="AT115" s="215">
        <f t="shared" si="157"/>
        <v>101.74243989789998</v>
      </c>
      <c r="AU115" s="216">
        <f t="shared" si="158"/>
        <v>7.1977130959680988E-2</v>
      </c>
      <c r="AV115" s="97">
        <f t="shared" si="159"/>
        <v>12.959999999999999</v>
      </c>
      <c r="AW115" s="100">
        <f t="shared" si="132"/>
        <v>91.017367707137282</v>
      </c>
      <c r="AX115" s="32"/>
      <c r="AY115" s="99">
        <f t="shared" si="109"/>
        <v>60</v>
      </c>
      <c r="AZ115" s="97">
        <f t="shared" si="160"/>
        <v>0.216</v>
      </c>
      <c r="BA115" s="97">
        <f t="shared" si="111"/>
        <v>15</v>
      </c>
      <c r="BB115" s="100">
        <f t="shared" si="161"/>
        <v>1.0799999999999998</v>
      </c>
      <c r="BC115" s="99">
        <f t="shared" si="162"/>
        <v>2</v>
      </c>
      <c r="BD115" s="97">
        <f t="shared" si="163"/>
        <v>0.75</v>
      </c>
      <c r="BE115" s="100">
        <f t="shared" si="164"/>
        <v>0.25</v>
      </c>
      <c r="BF115" s="99">
        <f t="shared" si="165"/>
        <v>0.45000000000000007</v>
      </c>
      <c r="BG115" s="97">
        <f t="shared" si="146"/>
        <v>1.3049999999999999</v>
      </c>
      <c r="BH115" s="97">
        <f t="shared" si="147"/>
        <v>1.0877844455589534</v>
      </c>
      <c r="BI115" s="97">
        <v>0</v>
      </c>
      <c r="BJ115" s="97">
        <f t="shared" si="166"/>
        <v>1.1832749999999996E-2</v>
      </c>
      <c r="BK115" s="100">
        <f t="shared" si="133"/>
        <v>1.1832749999999996E-2</v>
      </c>
      <c r="BL115" s="99">
        <f t="shared" si="145"/>
        <v>0.80999999999999983</v>
      </c>
      <c r="BM115" s="97">
        <f t="shared" si="134"/>
        <v>0.94204896369562441</v>
      </c>
      <c r="BN115" s="97">
        <f t="shared" si="135"/>
        <v>6.3876554727237383E-2</v>
      </c>
      <c r="BO115" s="97">
        <f t="shared" si="174"/>
        <v>1.1339999999999999</v>
      </c>
      <c r="BP115" s="100">
        <f t="shared" si="137"/>
        <v>1.1978765547272372</v>
      </c>
      <c r="BQ115" s="99">
        <f t="shared" si="138"/>
        <v>0.26999999999999996</v>
      </c>
      <c r="BR115" s="97">
        <f t="shared" si="167"/>
        <v>0.5438922227794768</v>
      </c>
      <c r="BS115" s="97">
        <f t="shared" si="168"/>
        <v>9.0719999999999995E-2</v>
      </c>
      <c r="BT115" s="97">
        <f t="shared" si="169"/>
        <v>0.75525000000000009</v>
      </c>
      <c r="BU115" s="100">
        <f t="shared" si="139"/>
        <v>0.84597000000000011</v>
      </c>
      <c r="BV115" s="99">
        <f t="shared" si="140"/>
        <v>0</v>
      </c>
      <c r="BW115" s="97">
        <f t="shared" si="170"/>
        <v>8.7499999999999994E-2</v>
      </c>
      <c r="BX115" s="100">
        <f t="shared" si="171"/>
        <v>1.155E-2</v>
      </c>
      <c r="BY115" s="99">
        <f t="shared" si="141"/>
        <v>2.1547293047272373</v>
      </c>
      <c r="BZ115" s="97">
        <f t="shared" si="142"/>
        <v>12.959999999999999</v>
      </c>
      <c r="CA115" s="100">
        <f t="shared" si="143"/>
        <v>85.744175358447677</v>
      </c>
      <c r="CB115" s="51">
        <f t="shared" si="144"/>
        <v>1.2969265547272371</v>
      </c>
      <c r="CC115" s="32">
        <f t="shared" si="172"/>
        <v>70.392429415453307</v>
      </c>
    </row>
    <row r="116" spans="17:81" x14ac:dyDescent="0.3">
      <c r="Q116" s="32">
        <v>109</v>
      </c>
      <c r="S116" s="99">
        <f t="shared" si="89"/>
        <v>60</v>
      </c>
      <c r="T116" s="97">
        <f t="shared" si="124"/>
        <v>0.218</v>
      </c>
      <c r="U116" s="97">
        <f t="shared" si="90"/>
        <v>15</v>
      </c>
      <c r="V116" s="100">
        <f t="shared" si="91"/>
        <v>1.0900000000000001</v>
      </c>
      <c r="W116" s="99">
        <f t="shared" si="92"/>
        <v>2</v>
      </c>
      <c r="X116" s="97">
        <f t="shared" si="93"/>
        <v>0.75</v>
      </c>
      <c r="Y116" s="100">
        <f t="shared" si="149"/>
        <v>0.25</v>
      </c>
      <c r="Z116" s="99">
        <f t="shared" si="95"/>
        <v>0.45000000000000007</v>
      </c>
      <c r="AA116" s="97">
        <f t="shared" si="125"/>
        <v>1.3150000000000002</v>
      </c>
      <c r="AB116" s="97">
        <f t="shared" si="126"/>
        <v>1.0977135327579779</v>
      </c>
      <c r="AC116" s="97">
        <v>0</v>
      </c>
      <c r="AD116" s="97">
        <f t="shared" si="96"/>
        <v>1.2049750000000001E-2</v>
      </c>
      <c r="AE116" s="100">
        <f t="shared" si="127"/>
        <v>1.2049750000000001E-2</v>
      </c>
      <c r="AF116" s="99">
        <f t="shared" si="150"/>
        <v>0.81750000000000012</v>
      </c>
      <c r="AG116" s="97">
        <f t="shared" si="151"/>
        <v>0.95064780544637062</v>
      </c>
      <c r="AH116" s="97">
        <f t="shared" si="99"/>
        <v>4.6834084651666705E-2</v>
      </c>
      <c r="AI116" s="97">
        <f t="shared" si="173"/>
        <v>1.1445000000000001</v>
      </c>
      <c r="AJ116" s="100">
        <f t="shared" si="129"/>
        <v>1.1913340846516667</v>
      </c>
      <c r="AK116" s="99">
        <f t="shared" si="152"/>
        <v>0.27250000000000002</v>
      </c>
      <c r="AL116" s="97">
        <f t="shared" si="153"/>
        <v>0.54885676637898906</v>
      </c>
      <c r="AM116" s="97">
        <f t="shared" si="154"/>
        <v>9.1560000000000002E-2</v>
      </c>
      <c r="AN116" s="97">
        <f t="shared" si="155"/>
        <v>0.75525000000000009</v>
      </c>
      <c r="AO116" s="100">
        <f t="shared" si="130"/>
        <v>0.84681000000000006</v>
      </c>
      <c r="AP116" s="99">
        <f t="shared" si="131"/>
        <v>0</v>
      </c>
      <c r="AQ116" s="97">
        <f t="shared" si="104"/>
        <v>8.7499999999999994E-2</v>
      </c>
      <c r="AR116" s="100">
        <f t="shared" si="156"/>
        <v>1.155E-2</v>
      </c>
      <c r="AS116" s="99">
        <f t="shared" si="148"/>
        <v>1.2903840846516665</v>
      </c>
      <c r="AT116" s="215">
        <f t="shared" si="157"/>
        <v>102.42304507909999</v>
      </c>
      <c r="AU116" s="216">
        <f t="shared" si="158"/>
        <v>7.2143272431744565E-2</v>
      </c>
      <c r="AV116" s="97">
        <f t="shared" si="159"/>
        <v>13.08</v>
      </c>
      <c r="AW116" s="100">
        <f t="shared" si="132"/>
        <v>91.020531691773883</v>
      </c>
      <c r="AX116" s="32"/>
      <c r="AY116" s="99">
        <f t="shared" si="109"/>
        <v>60</v>
      </c>
      <c r="AZ116" s="97">
        <f t="shared" si="160"/>
        <v>0.218</v>
      </c>
      <c r="BA116" s="97">
        <f t="shared" si="111"/>
        <v>15</v>
      </c>
      <c r="BB116" s="100">
        <f t="shared" si="161"/>
        <v>1.0900000000000001</v>
      </c>
      <c r="BC116" s="99">
        <f t="shared" si="162"/>
        <v>2</v>
      </c>
      <c r="BD116" s="97">
        <f t="shared" si="163"/>
        <v>0.75</v>
      </c>
      <c r="BE116" s="100">
        <f t="shared" si="164"/>
        <v>0.25</v>
      </c>
      <c r="BF116" s="99">
        <f t="shared" si="165"/>
        <v>0.45000000000000007</v>
      </c>
      <c r="BG116" s="97">
        <f t="shared" si="146"/>
        <v>1.3150000000000002</v>
      </c>
      <c r="BH116" s="97">
        <f t="shared" si="147"/>
        <v>1.0977135327579779</v>
      </c>
      <c r="BI116" s="97">
        <v>0</v>
      </c>
      <c r="BJ116" s="97">
        <f t="shared" si="166"/>
        <v>1.2049750000000001E-2</v>
      </c>
      <c r="BK116" s="100">
        <f t="shared" si="133"/>
        <v>1.2049750000000001E-2</v>
      </c>
      <c r="BL116" s="99">
        <f t="shared" si="145"/>
        <v>0.81750000000000012</v>
      </c>
      <c r="BM116" s="97">
        <f t="shared" si="134"/>
        <v>0.95064780544637062</v>
      </c>
      <c r="BN116" s="97">
        <f t="shared" si="135"/>
        <v>6.519812977383109E-2</v>
      </c>
      <c r="BO116" s="97">
        <f t="shared" si="174"/>
        <v>1.1445000000000001</v>
      </c>
      <c r="BP116" s="100">
        <f t="shared" si="137"/>
        <v>1.2096981297738312</v>
      </c>
      <c r="BQ116" s="99">
        <f t="shared" si="138"/>
        <v>0.27250000000000002</v>
      </c>
      <c r="BR116" s="97">
        <f t="shared" si="167"/>
        <v>0.54885676637898906</v>
      </c>
      <c r="BS116" s="97">
        <f t="shared" si="168"/>
        <v>9.1560000000000002E-2</v>
      </c>
      <c r="BT116" s="97">
        <f t="shared" si="169"/>
        <v>0.75525000000000009</v>
      </c>
      <c r="BU116" s="100">
        <f t="shared" si="139"/>
        <v>0.84681000000000006</v>
      </c>
      <c r="BV116" s="99">
        <f t="shared" si="140"/>
        <v>0</v>
      </c>
      <c r="BW116" s="97">
        <f t="shared" si="170"/>
        <v>8.7499999999999994E-2</v>
      </c>
      <c r="BX116" s="100">
        <f t="shared" si="171"/>
        <v>1.155E-2</v>
      </c>
      <c r="BY116" s="99">
        <f t="shared" si="141"/>
        <v>2.1676078797738314</v>
      </c>
      <c r="BZ116" s="97">
        <f t="shared" si="142"/>
        <v>13.08</v>
      </c>
      <c r="CA116" s="100">
        <f t="shared" si="143"/>
        <v>85.783947902744842</v>
      </c>
      <c r="CB116" s="51">
        <f t="shared" si="144"/>
        <v>1.308748129773831</v>
      </c>
      <c r="CC116" s="32">
        <f t="shared" si="172"/>
        <v>70.806184542084083</v>
      </c>
    </row>
    <row r="117" spans="17:81" x14ac:dyDescent="0.3">
      <c r="Q117" s="32">
        <v>110</v>
      </c>
      <c r="S117" s="99">
        <f t="shared" si="89"/>
        <v>60</v>
      </c>
      <c r="T117" s="97">
        <f t="shared" si="124"/>
        <v>0.22</v>
      </c>
      <c r="U117" s="97">
        <f t="shared" si="90"/>
        <v>15</v>
      </c>
      <c r="V117" s="100">
        <f t="shared" si="91"/>
        <v>1.0999999999999999</v>
      </c>
      <c r="W117" s="99">
        <f t="shared" si="92"/>
        <v>2</v>
      </c>
      <c r="X117" s="97">
        <f t="shared" si="93"/>
        <v>0.75</v>
      </c>
      <c r="Y117" s="100">
        <f t="shared" si="149"/>
        <v>0.25</v>
      </c>
      <c r="Z117" s="99">
        <f t="shared" si="95"/>
        <v>0.45000000000000007</v>
      </c>
      <c r="AA117" s="97">
        <f t="shared" si="125"/>
        <v>1.325</v>
      </c>
      <c r="AB117" s="97">
        <f t="shared" si="126"/>
        <v>1.107643895843786</v>
      </c>
      <c r="AC117" s="97">
        <v>0</v>
      </c>
      <c r="AD117" s="97">
        <f t="shared" si="96"/>
        <v>1.2268749999999997E-2</v>
      </c>
      <c r="AE117" s="100">
        <f t="shared" si="127"/>
        <v>1.2268749999999997E-2</v>
      </c>
      <c r="AF117" s="99">
        <f t="shared" si="150"/>
        <v>0.82499999999999996</v>
      </c>
      <c r="AG117" s="97">
        <f t="shared" si="151"/>
        <v>0.95924775214748359</v>
      </c>
      <c r="AH117" s="97">
        <f t="shared" si="99"/>
        <v>4.7685277791666689E-2</v>
      </c>
      <c r="AI117" s="97">
        <f t="shared" si="173"/>
        <v>1.1549999999999998</v>
      </c>
      <c r="AJ117" s="100">
        <f t="shared" si="129"/>
        <v>1.2026852777916666</v>
      </c>
      <c r="AK117" s="99">
        <f t="shared" si="152"/>
        <v>0.27499999999999997</v>
      </c>
      <c r="AL117" s="97">
        <f t="shared" si="153"/>
        <v>0.5538219479218931</v>
      </c>
      <c r="AM117" s="97">
        <f t="shared" si="154"/>
        <v>9.2399999999999996E-2</v>
      </c>
      <c r="AN117" s="97">
        <f t="shared" si="155"/>
        <v>0.75525000000000009</v>
      </c>
      <c r="AO117" s="100">
        <f t="shared" si="130"/>
        <v>0.84765000000000013</v>
      </c>
      <c r="AP117" s="99">
        <f t="shared" si="131"/>
        <v>0</v>
      </c>
      <c r="AQ117" s="97">
        <f t="shared" si="104"/>
        <v>8.7499999999999994E-2</v>
      </c>
      <c r="AR117" s="100">
        <f t="shared" si="156"/>
        <v>1.155E-2</v>
      </c>
      <c r="AS117" s="99">
        <f t="shared" si="148"/>
        <v>1.3017352777916664</v>
      </c>
      <c r="AT117" s="215">
        <f t="shared" si="157"/>
        <v>103.10411666749998</v>
      </c>
      <c r="AU117" s="216">
        <f t="shared" si="158"/>
        <v>7.2309527757744185E-2</v>
      </c>
      <c r="AV117" s="97">
        <f t="shared" si="159"/>
        <v>13.2</v>
      </c>
      <c r="AW117" s="100">
        <f t="shared" si="132"/>
        <v>91.023589571482674</v>
      </c>
      <c r="AX117" s="32"/>
      <c r="AY117" s="99">
        <f t="shared" si="109"/>
        <v>60</v>
      </c>
      <c r="AZ117" s="97">
        <f t="shared" si="160"/>
        <v>0.22</v>
      </c>
      <c r="BA117" s="97">
        <f t="shared" si="111"/>
        <v>15</v>
      </c>
      <c r="BB117" s="100">
        <f t="shared" si="161"/>
        <v>1.0999999999999999</v>
      </c>
      <c r="BC117" s="99">
        <f t="shared" si="162"/>
        <v>2</v>
      </c>
      <c r="BD117" s="97">
        <f t="shared" si="163"/>
        <v>0.75</v>
      </c>
      <c r="BE117" s="100">
        <f t="shared" si="164"/>
        <v>0.25</v>
      </c>
      <c r="BF117" s="99">
        <f t="shared" si="165"/>
        <v>0.45000000000000007</v>
      </c>
      <c r="BG117" s="97">
        <f t="shared" si="146"/>
        <v>1.325</v>
      </c>
      <c r="BH117" s="97">
        <f t="shared" si="147"/>
        <v>1.107643895843786</v>
      </c>
      <c r="BI117" s="97">
        <v>0</v>
      </c>
      <c r="BJ117" s="97">
        <f t="shared" si="166"/>
        <v>1.2268749999999997E-2</v>
      </c>
      <c r="BK117" s="100">
        <f t="shared" si="133"/>
        <v>1.2268749999999997E-2</v>
      </c>
      <c r="BL117" s="99">
        <f t="shared" si="145"/>
        <v>0.82499999999999996</v>
      </c>
      <c r="BM117" s="97">
        <f t="shared" si="134"/>
        <v>0.95924775214748359</v>
      </c>
      <c r="BN117" s="97">
        <f t="shared" si="135"/>
        <v>6.65360639008368E-2</v>
      </c>
      <c r="BO117" s="97">
        <f t="shared" si="174"/>
        <v>1.1549999999999998</v>
      </c>
      <c r="BP117" s="100">
        <f t="shared" si="137"/>
        <v>1.2215360639008366</v>
      </c>
      <c r="BQ117" s="99">
        <f t="shared" si="138"/>
        <v>0.27499999999999997</v>
      </c>
      <c r="BR117" s="97">
        <f t="shared" si="167"/>
        <v>0.5538219479218931</v>
      </c>
      <c r="BS117" s="97">
        <f t="shared" si="168"/>
        <v>9.2399999999999996E-2</v>
      </c>
      <c r="BT117" s="97">
        <f t="shared" si="169"/>
        <v>0.75525000000000009</v>
      </c>
      <c r="BU117" s="100">
        <f t="shared" si="139"/>
        <v>0.84765000000000013</v>
      </c>
      <c r="BV117" s="99">
        <f t="shared" si="140"/>
        <v>0</v>
      </c>
      <c r="BW117" s="97">
        <f t="shared" si="170"/>
        <v>8.7499999999999994E-2</v>
      </c>
      <c r="BX117" s="100">
        <f t="shared" si="171"/>
        <v>1.155E-2</v>
      </c>
      <c r="BY117" s="99">
        <f t="shared" si="141"/>
        <v>2.1805048139008369</v>
      </c>
      <c r="BZ117" s="97">
        <f t="shared" si="142"/>
        <v>13.2</v>
      </c>
      <c r="CA117" s="100">
        <f t="shared" si="143"/>
        <v>85.822930779683475</v>
      </c>
      <c r="CB117" s="51">
        <f t="shared" si="144"/>
        <v>1.3205860639008364</v>
      </c>
      <c r="CC117" s="32">
        <f t="shared" si="172"/>
        <v>71.220512236529274</v>
      </c>
    </row>
    <row r="118" spans="17:81" x14ac:dyDescent="0.3">
      <c r="Q118" s="32">
        <v>111</v>
      </c>
      <c r="S118" s="99">
        <f t="shared" si="89"/>
        <v>60</v>
      </c>
      <c r="T118" s="97">
        <f t="shared" si="124"/>
        <v>0.222</v>
      </c>
      <c r="U118" s="97">
        <f t="shared" si="90"/>
        <v>15</v>
      </c>
      <c r="V118" s="100">
        <f t="shared" si="91"/>
        <v>1.1100000000000001</v>
      </c>
      <c r="W118" s="99">
        <f t="shared" si="92"/>
        <v>2</v>
      </c>
      <c r="X118" s="97">
        <f t="shared" si="93"/>
        <v>0.75</v>
      </c>
      <c r="Y118" s="100">
        <f t="shared" si="149"/>
        <v>0.25</v>
      </c>
      <c r="Z118" s="99">
        <f t="shared" si="95"/>
        <v>0.45000000000000007</v>
      </c>
      <c r="AA118" s="97">
        <f t="shared" si="125"/>
        <v>1.3350000000000002</v>
      </c>
      <c r="AB118" s="97">
        <f t="shared" si="126"/>
        <v>1.1175755008052028</v>
      </c>
      <c r="AC118" s="97">
        <v>0</v>
      </c>
      <c r="AD118" s="97">
        <f t="shared" si="96"/>
        <v>1.2489749999999999E-2</v>
      </c>
      <c r="AE118" s="100">
        <f t="shared" si="127"/>
        <v>1.2489749999999999E-2</v>
      </c>
      <c r="AF118" s="99">
        <f t="shared" si="150"/>
        <v>0.83250000000000002</v>
      </c>
      <c r="AG118" s="97">
        <f t="shared" si="151"/>
        <v>0.96784877434442207</v>
      </c>
      <c r="AH118" s="97">
        <f t="shared" si="99"/>
        <v>4.8544244385000011E-2</v>
      </c>
      <c r="AI118" s="97">
        <f t="shared" si="173"/>
        <v>1.1655000000000002</v>
      </c>
      <c r="AJ118" s="100">
        <f t="shared" si="129"/>
        <v>1.2140442443850001</v>
      </c>
      <c r="AK118" s="99">
        <f t="shared" si="152"/>
        <v>0.27750000000000002</v>
      </c>
      <c r="AL118" s="97">
        <f t="shared" si="153"/>
        <v>0.55878775040260142</v>
      </c>
      <c r="AM118" s="97">
        <f t="shared" si="154"/>
        <v>9.3240000000000003E-2</v>
      </c>
      <c r="AN118" s="97">
        <f t="shared" si="155"/>
        <v>0.75525000000000009</v>
      </c>
      <c r="AO118" s="100">
        <f t="shared" si="130"/>
        <v>0.84849000000000008</v>
      </c>
      <c r="AP118" s="99">
        <f t="shared" si="131"/>
        <v>0</v>
      </c>
      <c r="AQ118" s="97">
        <f t="shared" si="104"/>
        <v>8.7499999999999994E-2</v>
      </c>
      <c r="AR118" s="100">
        <f t="shared" si="156"/>
        <v>1.155E-2</v>
      </c>
      <c r="AS118" s="99">
        <f t="shared" si="148"/>
        <v>1.313094244385</v>
      </c>
      <c r="AT118" s="215">
        <f t="shared" si="157"/>
        <v>103.7856546631</v>
      </c>
      <c r="AU118" s="216">
        <f t="shared" si="158"/>
        <v>7.247589693767989E-2</v>
      </c>
      <c r="AV118" s="97">
        <f t="shared" si="159"/>
        <v>13.32</v>
      </c>
      <c r="AW118" s="100">
        <f t="shared" si="132"/>
        <v>91.026544198682657</v>
      </c>
      <c r="AX118" s="32"/>
      <c r="AY118" s="99">
        <f t="shared" si="109"/>
        <v>60</v>
      </c>
      <c r="AZ118" s="97">
        <f t="shared" si="160"/>
        <v>0.222</v>
      </c>
      <c r="BA118" s="97">
        <f t="shared" si="111"/>
        <v>15</v>
      </c>
      <c r="BB118" s="100">
        <f t="shared" si="161"/>
        <v>1.1100000000000001</v>
      </c>
      <c r="BC118" s="99">
        <f t="shared" si="162"/>
        <v>2</v>
      </c>
      <c r="BD118" s="97">
        <f t="shared" si="163"/>
        <v>0.75</v>
      </c>
      <c r="BE118" s="100">
        <f t="shared" si="164"/>
        <v>0.25</v>
      </c>
      <c r="BF118" s="99">
        <f t="shared" si="165"/>
        <v>0.45000000000000007</v>
      </c>
      <c r="BG118" s="97">
        <f t="shared" si="146"/>
        <v>1.3350000000000002</v>
      </c>
      <c r="BH118" s="97">
        <f t="shared" si="147"/>
        <v>1.1175755008052028</v>
      </c>
      <c r="BI118" s="97">
        <v>0</v>
      </c>
      <c r="BJ118" s="97">
        <f t="shared" si="166"/>
        <v>1.2489749999999999E-2</v>
      </c>
      <c r="BK118" s="100">
        <f t="shared" si="133"/>
        <v>1.2489749999999999E-2</v>
      </c>
      <c r="BL118" s="99">
        <f t="shared" si="145"/>
        <v>0.83250000000000002</v>
      </c>
      <c r="BM118" s="97">
        <f t="shared" si="134"/>
        <v>0.96784877434442207</v>
      </c>
      <c r="BN118" s="97">
        <f t="shared" si="135"/>
        <v>6.7890437533304052E-2</v>
      </c>
      <c r="BO118" s="97">
        <f t="shared" si="174"/>
        <v>1.1655000000000002</v>
      </c>
      <c r="BP118" s="100">
        <f t="shared" si="137"/>
        <v>1.2333904375333042</v>
      </c>
      <c r="BQ118" s="99">
        <f t="shared" si="138"/>
        <v>0.27750000000000002</v>
      </c>
      <c r="BR118" s="97">
        <f t="shared" si="167"/>
        <v>0.55878775040260142</v>
      </c>
      <c r="BS118" s="97">
        <f t="shared" si="168"/>
        <v>9.3240000000000003E-2</v>
      </c>
      <c r="BT118" s="97">
        <f t="shared" si="169"/>
        <v>0.75525000000000009</v>
      </c>
      <c r="BU118" s="100">
        <f t="shared" si="139"/>
        <v>0.84849000000000008</v>
      </c>
      <c r="BV118" s="99">
        <f t="shared" si="140"/>
        <v>0</v>
      </c>
      <c r="BW118" s="97">
        <f t="shared" si="170"/>
        <v>8.7499999999999994E-2</v>
      </c>
      <c r="BX118" s="100">
        <f t="shared" si="171"/>
        <v>1.155E-2</v>
      </c>
      <c r="BY118" s="99">
        <f t="shared" si="141"/>
        <v>2.1934201875333041</v>
      </c>
      <c r="BZ118" s="97">
        <f t="shared" si="142"/>
        <v>13.32</v>
      </c>
      <c r="CA118" s="100">
        <f t="shared" si="143"/>
        <v>85.86114369998208</v>
      </c>
      <c r="CB118" s="51">
        <f t="shared" si="144"/>
        <v>1.3324404375333041</v>
      </c>
      <c r="CC118" s="32">
        <f t="shared" si="172"/>
        <v>71.635415313665646</v>
      </c>
    </row>
    <row r="119" spans="17:81" x14ac:dyDescent="0.3">
      <c r="Q119" s="32">
        <v>112</v>
      </c>
      <c r="S119" s="99">
        <f t="shared" si="89"/>
        <v>60</v>
      </c>
      <c r="T119" s="97">
        <f t="shared" si="124"/>
        <v>0.224</v>
      </c>
      <c r="U119" s="97">
        <f t="shared" si="90"/>
        <v>15</v>
      </c>
      <c r="V119" s="100">
        <f t="shared" si="91"/>
        <v>1.1199999999999999</v>
      </c>
      <c r="W119" s="99">
        <f t="shared" si="92"/>
        <v>2</v>
      </c>
      <c r="X119" s="97">
        <f t="shared" si="93"/>
        <v>0.75</v>
      </c>
      <c r="Y119" s="100">
        <f t="shared" si="149"/>
        <v>0.25</v>
      </c>
      <c r="Z119" s="99">
        <f t="shared" si="95"/>
        <v>0.45000000000000007</v>
      </c>
      <c r="AA119" s="97">
        <f t="shared" si="125"/>
        <v>1.345</v>
      </c>
      <c r="AB119" s="97">
        <f t="shared" si="126"/>
        <v>1.1275083148252165</v>
      </c>
      <c r="AC119" s="97">
        <v>0</v>
      </c>
      <c r="AD119" s="97">
        <f t="shared" si="96"/>
        <v>1.2712749999999995E-2</v>
      </c>
      <c r="AE119" s="100">
        <f t="shared" si="127"/>
        <v>1.2712749999999995E-2</v>
      </c>
      <c r="AF119" s="99">
        <f t="shared" si="150"/>
        <v>0.83999999999999986</v>
      </c>
      <c r="AG119" s="97">
        <f t="shared" si="151"/>
        <v>0.97645084361682022</v>
      </c>
      <c r="AH119" s="97">
        <f t="shared" si="99"/>
        <v>4.9410984431666673E-2</v>
      </c>
      <c r="AI119" s="97">
        <f t="shared" si="173"/>
        <v>1.1759999999999997</v>
      </c>
      <c r="AJ119" s="100">
        <f t="shared" si="129"/>
        <v>1.2254109844316663</v>
      </c>
      <c r="AK119" s="99">
        <f t="shared" si="152"/>
        <v>0.27999999999999997</v>
      </c>
      <c r="AL119" s="97">
        <f t="shared" si="153"/>
        <v>0.56375415741260837</v>
      </c>
      <c r="AM119" s="97">
        <f t="shared" si="154"/>
        <v>9.4079999999999997E-2</v>
      </c>
      <c r="AN119" s="97">
        <f t="shared" si="155"/>
        <v>0.75525000000000009</v>
      </c>
      <c r="AO119" s="100">
        <f t="shared" si="130"/>
        <v>0.84933000000000014</v>
      </c>
      <c r="AP119" s="99">
        <f t="shared" si="131"/>
        <v>0</v>
      </c>
      <c r="AQ119" s="97">
        <f t="shared" si="104"/>
        <v>8.7499999999999994E-2</v>
      </c>
      <c r="AR119" s="100">
        <f t="shared" si="156"/>
        <v>1.155E-2</v>
      </c>
      <c r="AS119" s="99">
        <f t="shared" si="148"/>
        <v>1.3244609844316662</v>
      </c>
      <c r="AT119" s="215">
        <f t="shared" si="157"/>
        <v>104.46765906589997</v>
      </c>
      <c r="AU119" s="216">
        <f t="shared" si="158"/>
        <v>7.2642379971551652E-2</v>
      </c>
      <c r="AV119" s="97">
        <f t="shared" si="159"/>
        <v>13.44</v>
      </c>
      <c r="AW119" s="100">
        <f t="shared" si="132"/>
        <v>91.02939832461044</v>
      </c>
      <c r="AX119" s="32"/>
      <c r="AY119" s="99">
        <f t="shared" si="109"/>
        <v>60</v>
      </c>
      <c r="AZ119" s="97">
        <f t="shared" si="160"/>
        <v>0.224</v>
      </c>
      <c r="BA119" s="97">
        <f t="shared" si="111"/>
        <v>15</v>
      </c>
      <c r="BB119" s="100">
        <f t="shared" si="161"/>
        <v>1.1199999999999999</v>
      </c>
      <c r="BC119" s="99">
        <f t="shared" si="162"/>
        <v>2</v>
      </c>
      <c r="BD119" s="97">
        <f t="shared" si="163"/>
        <v>0.75</v>
      </c>
      <c r="BE119" s="100">
        <f t="shared" si="164"/>
        <v>0.25</v>
      </c>
      <c r="BF119" s="99">
        <f t="shared" si="165"/>
        <v>0.45000000000000007</v>
      </c>
      <c r="BG119" s="97">
        <f t="shared" si="146"/>
        <v>1.345</v>
      </c>
      <c r="BH119" s="97">
        <f t="shared" si="147"/>
        <v>1.1275083148252165</v>
      </c>
      <c r="BI119" s="97">
        <v>0</v>
      </c>
      <c r="BJ119" s="97">
        <f t="shared" si="166"/>
        <v>1.2712749999999995E-2</v>
      </c>
      <c r="BK119" s="100">
        <f t="shared" si="133"/>
        <v>1.2712749999999995E-2</v>
      </c>
      <c r="BL119" s="99">
        <f t="shared" si="145"/>
        <v>0.83999999999999986</v>
      </c>
      <c r="BM119" s="97">
        <f t="shared" si="134"/>
        <v>0.97645084361682022</v>
      </c>
      <c r="BN119" s="97">
        <f t="shared" si="135"/>
        <v>6.9261331198750734E-2</v>
      </c>
      <c r="BO119" s="97">
        <f t="shared" si="174"/>
        <v>1.1759999999999997</v>
      </c>
      <c r="BP119" s="100">
        <f t="shared" si="137"/>
        <v>1.2452613311987504</v>
      </c>
      <c r="BQ119" s="99">
        <f t="shared" si="138"/>
        <v>0.27999999999999997</v>
      </c>
      <c r="BR119" s="97">
        <f t="shared" si="167"/>
        <v>0.56375415741260837</v>
      </c>
      <c r="BS119" s="97">
        <f t="shared" si="168"/>
        <v>9.4079999999999997E-2</v>
      </c>
      <c r="BT119" s="97">
        <f t="shared" si="169"/>
        <v>0.75525000000000009</v>
      </c>
      <c r="BU119" s="100">
        <f t="shared" si="139"/>
        <v>0.84933000000000014</v>
      </c>
      <c r="BV119" s="99">
        <f t="shared" si="140"/>
        <v>0</v>
      </c>
      <c r="BW119" s="97">
        <f t="shared" si="170"/>
        <v>8.7499999999999994E-2</v>
      </c>
      <c r="BX119" s="100">
        <f t="shared" si="171"/>
        <v>1.155E-2</v>
      </c>
      <c r="BY119" s="99">
        <f t="shared" si="141"/>
        <v>2.2063540811987505</v>
      </c>
      <c r="BZ119" s="97">
        <f t="shared" si="142"/>
        <v>13.44</v>
      </c>
      <c r="CA119" s="100">
        <f t="shared" si="143"/>
        <v>85.898605708725526</v>
      </c>
      <c r="CB119" s="51">
        <f t="shared" si="144"/>
        <v>1.3443113311987502</v>
      </c>
      <c r="CC119" s="32">
        <f t="shared" si="172"/>
        <v>72.05089659195626</v>
      </c>
    </row>
    <row r="120" spans="17:81" x14ac:dyDescent="0.3">
      <c r="Q120" s="32">
        <v>113</v>
      </c>
      <c r="S120" s="99">
        <f t="shared" si="89"/>
        <v>60</v>
      </c>
      <c r="T120" s="97">
        <f t="shared" si="124"/>
        <v>0.22600000000000001</v>
      </c>
      <c r="U120" s="97">
        <f t="shared" si="90"/>
        <v>15</v>
      </c>
      <c r="V120" s="100">
        <f t="shared" si="91"/>
        <v>1.1300000000000001</v>
      </c>
      <c r="W120" s="99">
        <f t="shared" si="92"/>
        <v>2</v>
      </c>
      <c r="X120" s="97">
        <f t="shared" si="93"/>
        <v>0.75</v>
      </c>
      <c r="Y120" s="100">
        <f t="shared" si="149"/>
        <v>0.25</v>
      </c>
      <c r="Z120" s="99">
        <f t="shared" si="95"/>
        <v>0.45000000000000007</v>
      </c>
      <c r="AA120" s="97">
        <f t="shared" si="125"/>
        <v>1.3550000000000002</v>
      </c>
      <c r="AB120" s="97">
        <f t="shared" si="126"/>
        <v>1.1374423062291996</v>
      </c>
      <c r="AC120" s="97">
        <v>0</v>
      </c>
      <c r="AD120" s="97">
        <f t="shared" si="96"/>
        <v>1.2937750000000003E-2</v>
      </c>
      <c r="AE120" s="100">
        <f t="shared" si="127"/>
        <v>1.2937750000000003E-2</v>
      </c>
      <c r="AF120" s="99">
        <f t="shared" si="150"/>
        <v>0.84750000000000014</v>
      </c>
      <c r="AG120" s="97">
        <f t="shared" si="151"/>
        <v>0.9850539325336457</v>
      </c>
      <c r="AH120" s="97">
        <f t="shared" si="99"/>
        <v>5.0285497931666694E-2</v>
      </c>
      <c r="AI120" s="97">
        <f t="shared" si="173"/>
        <v>1.1865000000000001</v>
      </c>
      <c r="AJ120" s="100">
        <f t="shared" si="129"/>
        <v>1.2367854979316668</v>
      </c>
      <c r="AK120" s="99">
        <f t="shared" si="152"/>
        <v>0.28250000000000003</v>
      </c>
      <c r="AL120" s="97">
        <f t="shared" si="153"/>
        <v>0.56872115311459981</v>
      </c>
      <c r="AM120" s="97">
        <f t="shared" si="154"/>
        <v>9.4920000000000004E-2</v>
      </c>
      <c r="AN120" s="97">
        <f t="shared" si="155"/>
        <v>0.75525000000000009</v>
      </c>
      <c r="AO120" s="100">
        <f t="shared" si="130"/>
        <v>0.85017000000000009</v>
      </c>
      <c r="AP120" s="99">
        <f t="shared" si="131"/>
        <v>0</v>
      </c>
      <c r="AQ120" s="97">
        <f t="shared" si="104"/>
        <v>8.7499999999999994E-2</v>
      </c>
      <c r="AR120" s="100">
        <f t="shared" si="156"/>
        <v>1.155E-2</v>
      </c>
      <c r="AS120" s="99">
        <f t="shared" si="148"/>
        <v>1.3358354979316667</v>
      </c>
      <c r="AT120" s="215">
        <f t="shared" si="157"/>
        <v>105.15012987590001</v>
      </c>
      <c r="AU120" s="216">
        <f t="shared" si="158"/>
        <v>7.2808976859359498E-2</v>
      </c>
      <c r="AV120" s="97">
        <f t="shared" si="159"/>
        <v>13.56</v>
      </c>
      <c r="AW120" s="100">
        <f t="shared" si="132"/>
        <v>91.032154603767268</v>
      </c>
      <c r="AX120" s="32"/>
      <c r="AY120" s="99">
        <f t="shared" si="109"/>
        <v>60</v>
      </c>
      <c r="AZ120" s="97">
        <f t="shared" si="160"/>
        <v>0.22600000000000001</v>
      </c>
      <c r="BA120" s="97">
        <f t="shared" si="111"/>
        <v>15</v>
      </c>
      <c r="BB120" s="100">
        <f t="shared" si="161"/>
        <v>1.1300000000000001</v>
      </c>
      <c r="BC120" s="99">
        <f t="shared" si="162"/>
        <v>2</v>
      </c>
      <c r="BD120" s="97">
        <f t="shared" si="163"/>
        <v>0.75</v>
      </c>
      <c r="BE120" s="100">
        <f t="shared" si="164"/>
        <v>0.25</v>
      </c>
      <c r="BF120" s="99">
        <f t="shared" si="165"/>
        <v>0.45000000000000007</v>
      </c>
      <c r="BG120" s="97">
        <f t="shared" si="146"/>
        <v>1.3550000000000002</v>
      </c>
      <c r="BH120" s="97">
        <f t="shared" si="147"/>
        <v>1.1374423062291996</v>
      </c>
      <c r="BI120" s="97">
        <v>0</v>
      </c>
      <c r="BJ120" s="97">
        <f t="shared" si="166"/>
        <v>1.2937750000000003E-2</v>
      </c>
      <c r="BK120" s="100">
        <f t="shared" si="133"/>
        <v>1.2937750000000003E-2</v>
      </c>
      <c r="BL120" s="99">
        <f t="shared" si="145"/>
        <v>0.84750000000000014</v>
      </c>
      <c r="BM120" s="97">
        <f t="shared" si="134"/>
        <v>0.9850539325336457</v>
      </c>
      <c r="BN120" s="97">
        <f t="shared" si="135"/>
        <v>7.0648825527163395E-2</v>
      </c>
      <c r="BO120" s="97">
        <f t="shared" si="174"/>
        <v>1.1865000000000001</v>
      </c>
      <c r="BP120" s="100">
        <f t="shared" si="137"/>
        <v>1.2571488255271634</v>
      </c>
      <c r="BQ120" s="99">
        <f t="shared" si="138"/>
        <v>0.28250000000000003</v>
      </c>
      <c r="BR120" s="97">
        <f t="shared" si="167"/>
        <v>0.56872115311459981</v>
      </c>
      <c r="BS120" s="97">
        <f t="shared" si="168"/>
        <v>9.4920000000000004E-2</v>
      </c>
      <c r="BT120" s="97">
        <f t="shared" si="169"/>
        <v>0.75525000000000009</v>
      </c>
      <c r="BU120" s="100">
        <f t="shared" si="139"/>
        <v>0.85017000000000009</v>
      </c>
      <c r="BV120" s="99">
        <f t="shared" si="140"/>
        <v>0</v>
      </c>
      <c r="BW120" s="97">
        <f t="shared" si="170"/>
        <v>8.7499999999999994E-2</v>
      </c>
      <c r="BX120" s="100">
        <f t="shared" si="171"/>
        <v>1.155E-2</v>
      </c>
      <c r="BY120" s="99">
        <f t="shared" si="141"/>
        <v>2.2193065755271633</v>
      </c>
      <c r="BZ120" s="97">
        <f t="shared" si="142"/>
        <v>13.56</v>
      </c>
      <c r="CA120" s="100">
        <f t="shared" si="143"/>
        <v>85.935335213214074</v>
      </c>
      <c r="CB120" s="51">
        <f t="shared" si="144"/>
        <v>1.3561988255271633</v>
      </c>
      <c r="CC120" s="32">
        <f t="shared" si="172"/>
        <v>72.466958893450709</v>
      </c>
    </row>
    <row r="121" spans="17:81" x14ac:dyDescent="0.3">
      <c r="Q121" s="32">
        <v>114</v>
      </c>
      <c r="S121" s="99">
        <f t="shared" si="89"/>
        <v>60</v>
      </c>
      <c r="T121" s="97">
        <f t="shared" si="124"/>
        <v>0.22800000000000001</v>
      </c>
      <c r="U121" s="97">
        <f t="shared" si="90"/>
        <v>15</v>
      </c>
      <c r="V121" s="100">
        <f t="shared" si="91"/>
        <v>1.1399999999999999</v>
      </c>
      <c r="W121" s="99">
        <f t="shared" si="92"/>
        <v>2</v>
      </c>
      <c r="X121" s="97">
        <f t="shared" si="93"/>
        <v>0.75</v>
      </c>
      <c r="Y121" s="100">
        <f t="shared" si="149"/>
        <v>0.25</v>
      </c>
      <c r="Z121" s="99">
        <f t="shared" si="95"/>
        <v>0.45000000000000007</v>
      </c>
      <c r="AA121" s="97">
        <f t="shared" si="125"/>
        <v>1.365</v>
      </c>
      <c r="AB121" s="97">
        <f t="shared" si="126"/>
        <v>1.147377444435788</v>
      </c>
      <c r="AC121" s="97">
        <v>0</v>
      </c>
      <c r="AD121" s="97">
        <f t="shared" si="96"/>
        <v>1.3164749999999999E-2</v>
      </c>
      <c r="AE121" s="100">
        <f t="shared" si="127"/>
        <v>1.3164749999999999E-2</v>
      </c>
      <c r="AF121" s="99">
        <f t="shared" si="150"/>
        <v>0.85499999999999998</v>
      </c>
      <c r="AG121" s="97">
        <f t="shared" si="151"/>
        <v>0.99365801461066072</v>
      </c>
      <c r="AH121" s="97">
        <f t="shared" si="99"/>
        <v>5.1167784885000019E-2</v>
      </c>
      <c r="AI121" s="97">
        <f t="shared" si="173"/>
        <v>1.1969999999999998</v>
      </c>
      <c r="AJ121" s="100">
        <f t="shared" si="129"/>
        <v>1.2481677848849999</v>
      </c>
      <c r="AK121" s="99">
        <f t="shared" si="152"/>
        <v>0.28499999999999998</v>
      </c>
      <c r="AL121" s="97">
        <f t="shared" si="153"/>
        <v>0.57368872221789402</v>
      </c>
      <c r="AM121" s="97">
        <f t="shared" si="154"/>
        <v>9.5759999999999998E-2</v>
      </c>
      <c r="AN121" s="97">
        <f t="shared" si="155"/>
        <v>0.75525000000000009</v>
      </c>
      <c r="AO121" s="100">
        <f t="shared" si="130"/>
        <v>0.85101000000000004</v>
      </c>
      <c r="AP121" s="99">
        <f t="shared" si="131"/>
        <v>0</v>
      </c>
      <c r="AQ121" s="97">
        <f t="shared" si="104"/>
        <v>8.7499999999999994E-2</v>
      </c>
      <c r="AR121" s="100">
        <f t="shared" si="156"/>
        <v>1.155E-2</v>
      </c>
      <c r="AS121" s="99">
        <f t="shared" si="148"/>
        <v>1.3472177848849998</v>
      </c>
      <c r="AT121" s="215">
        <f t="shared" si="157"/>
        <v>105.83306709309998</v>
      </c>
      <c r="AU121" s="216">
        <f t="shared" si="158"/>
        <v>7.2975687601103414E-2</v>
      </c>
      <c r="AV121" s="97">
        <f t="shared" si="159"/>
        <v>13.68</v>
      </c>
      <c r="AW121" s="100">
        <f t="shared" si="132"/>
        <v>91.034815598133619</v>
      </c>
      <c r="AX121" s="32"/>
      <c r="AY121" s="99">
        <f t="shared" si="109"/>
        <v>60</v>
      </c>
      <c r="AZ121" s="97">
        <f t="shared" si="160"/>
        <v>0.22800000000000001</v>
      </c>
      <c r="BA121" s="97">
        <f t="shared" si="111"/>
        <v>15</v>
      </c>
      <c r="BB121" s="100">
        <f t="shared" si="161"/>
        <v>1.1399999999999999</v>
      </c>
      <c r="BC121" s="99">
        <f t="shared" si="162"/>
        <v>2</v>
      </c>
      <c r="BD121" s="97">
        <f t="shared" si="163"/>
        <v>0.75</v>
      </c>
      <c r="BE121" s="100">
        <f t="shared" si="164"/>
        <v>0.25</v>
      </c>
      <c r="BF121" s="99">
        <f t="shared" si="165"/>
        <v>0.45000000000000007</v>
      </c>
      <c r="BG121" s="97">
        <f t="shared" si="146"/>
        <v>1.365</v>
      </c>
      <c r="BH121" s="97">
        <f t="shared" si="147"/>
        <v>1.147377444435788</v>
      </c>
      <c r="BI121" s="97">
        <v>0</v>
      </c>
      <c r="BJ121" s="97">
        <f t="shared" si="166"/>
        <v>1.3164749999999999E-2</v>
      </c>
      <c r="BK121" s="100">
        <f t="shared" si="133"/>
        <v>1.3164749999999999E-2</v>
      </c>
      <c r="BL121" s="99">
        <f t="shared" si="145"/>
        <v>0.85499999999999998</v>
      </c>
      <c r="BM121" s="97">
        <f t="shared" si="134"/>
        <v>0.99365801461066072</v>
      </c>
      <c r="BN121" s="97">
        <f t="shared" si="135"/>
        <v>7.2053001250996965E-2</v>
      </c>
      <c r="BO121" s="97">
        <f t="shared" si="174"/>
        <v>1.1969999999999998</v>
      </c>
      <c r="BP121" s="100">
        <f t="shared" si="137"/>
        <v>1.2690530012509968</v>
      </c>
      <c r="BQ121" s="99">
        <f t="shared" si="138"/>
        <v>0.28499999999999998</v>
      </c>
      <c r="BR121" s="97">
        <f t="shared" si="167"/>
        <v>0.57368872221789402</v>
      </c>
      <c r="BS121" s="97">
        <f t="shared" si="168"/>
        <v>9.5759999999999998E-2</v>
      </c>
      <c r="BT121" s="97">
        <f t="shared" si="169"/>
        <v>0.75525000000000009</v>
      </c>
      <c r="BU121" s="100">
        <f t="shared" si="139"/>
        <v>0.85101000000000004</v>
      </c>
      <c r="BV121" s="99">
        <f t="shared" si="140"/>
        <v>0</v>
      </c>
      <c r="BW121" s="97">
        <f t="shared" si="170"/>
        <v>8.7499999999999994E-2</v>
      </c>
      <c r="BX121" s="100">
        <f t="shared" si="171"/>
        <v>1.155E-2</v>
      </c>
      <c r="BY121" s="99">
        <f t="shared" si="141"/>
        <v>2.2322777512509968</v>
      </c>
      <c r="BZ121" s="97">
        <f t="shared" si="142"/>
        <v>13.68</v>
      </c>
      <c r="CA121" s="100">
        <f t="shared" si="143"/>
        <v>85.971350009425905</v>
      </c>
      <c r="CB121" s="51">
        <f t="shared" si="144"/>
        <v>1.3681030012509967</v>
      </c>
      <c r="CC121" s="32">
        <f t="shared" si="172"/>
        <v>72.883605043784883</v>
      </c>
    </row>
    <row r="122" spans="17:81" x14ac:dyDescent="0.3">
      <c r="Q122" s="32">
        <v>115</v>
      </c>
      <c r="S122" s="99">
        <f t="shared" si="89"/>
        <v>60</v>
      </c>
      <c r="T122" s="97">
        <f t="shared" si="124"/>
        <v>0.23</v>
      </c>
      <c r="U122" s="97">
        <f t="shared" si="90"/>
        <v>15</v>
      </c>
      <c r="V122" s="100">
        <f t="shared" si="91"/>
        <v>1.1500000000000001</v>
      </c>
      <c r="W122" s="99">
        <f t="shared" si="92"/>
        <v>2</v>
      </c>
      <c r="X122" s="97">
        <f t="shared" si="93"/>
        <v>0.75</v>
      </c>
      <c r="Y122" s="100">
        <f t="shared" si="149"/>
        <v>0.25</v>
      </c>
      <c r="Z122" s="99">
        <f t="shared" si="95"/>
        <v>0.45000000000000007</v>
      </c>
      <c r="AA122" s="97">
        <f t="shared" si="125"/>
        <v>1.3750000000000002</v>
      </c>
      <c r="AB122" s="97">
        <f t="shared" si="126"/>
        <v>1.1573136999102707</v>
      </c>
      <c r="AC122" s="97">
        <v>0</v>
      </c>
      <c r="AD122" s="97">
        <f t="shared" si="96"/>
        <v>1.3393749999999999E-2</v>
      </c>
      <c r="AE122" s="100">
        <f t="shared" si="127"/>
        <v>1.3393749999999999E-2</v>
      </c>
      <c r="AF122" s="99">
        <f t="shared" si="150"/>
        <v>0.86250000000000004</v>
      </c>
      <c r="AG122" s="97">
        <f t="shared" si="151"/>
        <v>1.002263064270055</v>
      </c>
      <c r="AH122" s="97">
        <f t="shared" si="99"/>
        <v>5.2057845291666696E-2</v>
      </c>
      <c r="AI122" s="97">
        <f t="shared" si="173"/>
        <v>1.2075000000000002</v>
      </c>
      <c r="AJ122" s="100">
        <f t="shared" si="129"/>
        <v>1.2595578452916669</v>
      </c>
      <c r="AK122" s="99">
        <f t="shared" si="152"/>
        <v>0.28750000000000003</v>
      </c>
      <c r="AL122" s="97">
        <f t="shared" si="153"/>
        <v>0.57865684995513544</v>
      </c>
      <c r="AM122" s="97">
        <f t="shared" si="154"/>
        <v>9.6600000000000005E-2</v>
      </c>
      <c r="AN122" s="97">
        <f t="shared" si="155"/>
        <v>0.75525000000000009</v>
      </c>
      <c r="AO122" s="100">
        <f t="shared" si="130"/>
        <v>0.85185000000000011</v>
      </c>
      <c r="AP122" s="99">
        <f t="shared" si="131"/>
        <v>0</v>
      </c>
      <c r="AQ122" s="97">
        <f t="shared" si="104"/>
        <v>8.7499999999999994E-2</v>
      </c>
      <c r="AR122" s="100">
        <f t="shared" si="156"/>
        <v>1.155E-2</v>
      </c>
      <c r="AS122" s="99">
        <f t="shared" si="148"/>
        <v>1.3586078452916668</v>
      </c>
      <c r="AT122" s="215">
        <f t="shared" si="157"/>
        <v>106.51647071750001</v>
      </c>
      <c r="AU122" s="216">
        <f t="shared" si="158"/>
        <v>7.3142512196783388E-2</v>
      </c>
      <c r="AV122" s="97">
        <f t="shared" si="159"/>
        <v>13.8</v>
      </c>
      <c r="AW122" s="100">
        <f t="shared" si="132"/>
        <v>91.037383781165261</v>
      </c>
      <c r="AX122" s="32"/>
      <c r="AY122" s="99">
        <f t="shared" si="109"/>
        <v>60</v>
      </c>
      <c r="AZ122" s="97">
        <f t="shared" si="160"/>
        <v>0.23</v>
      </c>
      <c r="BA122" s="97">
        <f t="shared" si="111"/>
        <v>15</v>
      </c>
      <c r="BB122" s="100">
        <f t="shared" si="161"/>
        <v>1.1500000000000001</v>
      </c>
      <c r="BC122" s="99">
        <f t="shared" si="162"/>
        <v>2</v>
      </c>
      <c r="BD122" s="97">
        <f t="shared" si="163"/>
        <v>0.75</v>
      </c>
      <c r="BE122" s="100">
        <f t="shared" si="164"/>
        <v>0.25</v>
      </c>
      <c r="BF122" s="99">
        <f t="shared" si="165"/>
        <v>0.45000000000000007</v>
      </c>
      <c r="BG122" s="97">
        <f t="shared" si="146"/>
        <v>1.3750000000000002</v>
      </c>
      <c r="BH122" s="97">
        <f t="shared" si="147"/>
        <v>1.1573136999102707</v>
      </c>
      <c r="BI122" s="97">
        <v>0</v>
      </c>
      <c r="BJ122" s="97">
        <f t="shared" si="166"/>
        <v>1.3393749999999999E-2</v>
      </c>
      <c r="BK122" s="100">
        <f t="shared" si="133"/>
        <v>1.3393749999999999E-2</v>
      </c>
      <c r="BL122" s="99">
        <f t="shared" si="145"/>
        <v>0.86250000000000004</v>
      </c>
      <c r="BM122" s="97">
        <f t="shared" si="134"/>
        <v>1.002263064270055</v>
      </c>
      <c r="BN122" s="97">
        <f t="shared" si="135"/>
        <v>7.3473939205175087E-2</v>
      </c>
      <c r="BO122" s="97">
        <f t="shared" si="174"/>
        <v>1.2075000000000002</v>
      </c>
      <c r="BP122" s="100">
        <f t="shared" si="137"/>
        <v>1.2809739392051753</v>
      </c>
      <c r="BQ122" s="99">
        <f t="shared" si="138"/>
        <v>0.28750000000000003</v>
      </c>
      <c r="BR122" s="97">
        <f t="shared" si="167"/>
        <v>0.57865684995513544</v>
      </c>
      <c r="BS122" s="97">
        <f t="shared" si="168"/>
        <v>9.6600000000000005E-2</v>
      </c>
      <c r="BT122" s="97">
        <f t="shared" si="169"/>
        <v>0.75525000000000009</v>
      </c>
      <c r="BU122" s="100">
        <f t="shared" si="139"/>
        <v>0.85185000000000011</v>
      </c>
      <c r="BV122" s="99">
        <f t="shared" si="140"/>
        <v>0</v>
      </c>
      <c r="BW122" s="97">
        <f t="shared" si="170"/>
        <v>8.7499999999999994E-2</v>
      </c>
      <c r="BX122" s="100">
        <f t="shared" si="171"/>
        <v>1.155E-2</v>
      </c>
      <c r="BY122" s="99">
        <f t="shared" si="141"/>
        <v>2.2452676892051757</v>
      </c>
      <c r="BZ122" s="97">
        <f t="shared" si="142"/>
        <v>13.8</v>
      </c>
      <c r="CA122" s="100">
        <f t="shared" si="143"/>
        <v>86.006667307172876</v>
      </c>
      <c r="CB122" s="51">
        <f t="shared" si="144"/>
        <v>1.3800239392051752</v>
      </c>
      <c r="CC122" s="32">
        <f t="shared" si="172"/>
        <v>73.300837872181134</v>
      </c>
    </row>
    <row r="123" spans="17:81" x14ac:dyDescent="0.3">
      <c r="Q123" s="32">
        <v>116</v>
      </c>
      <c r="S123" s="99">
        <f t="shared" si="89"/>
        <v>60</v>
      </c>
      <c r="T123" s="97">
        <f t="shared" si="124"/>
        <v>0.23200000000000001</v>
      </c>
      <c r="U123" s="97">
        <f t="shared" si="90"/>
        <v>15</v>
      </c>
      <c r="V123" s="100">
        <f t="shared" si="91"/>
        <v>1.1599999999999999</v>
      </c>
      <c r="W123" s="99">
        <f t="shared" si="92"/>
        <v>2</v>
      </c>
      <c r="X123" s="97">
        <f t="shared" si="93"/>
        <v>0.75</v>
      </c>
      <c r="Y123" s="100">
        <f t="shared" si="149"/>
        <v>0.25</v>
      </c>
      <c r="Z123" s="99">
        <f t="shared" si="95"/>
        <v>0.45000000000000007</v>
      </c>
      <c r="AA123" s="97">
        <f t="shared" si="125"/>
        <v>1.385</v>
      </c>
      <c r="AB123" s="97">
        <f t="shared" si="126"/>
        <v>1.1672510441203297</v>
      </c>
      <c r="AC123" s="97">
        <v>0</v>
      </c>
      <c r="AD123" s="97">
        <f t="shared" si="96"/>
        <v>1.3624749999999996E-2</v>
      </c>
      <c r="AE123" s="100">
        <f t="shared" si="127"/>
        <v>1.3624749999999996E-2</v>
      </c>
      <c r="AF123" s="99">
        <f t="shared" si="150"/>
        <v>0.86999999999999988</v>
      </c>
      <c r="AG123" s="97">
        <f t="shared" si="151"/>
        <v>1.0108690568021164</v>
      </c>
      <c r="AH123" s="97">
        <f t="shared" si="99"/>
        <v>5.2955679151666699E-2</v>
      </c>
      <c r="AI123" s="97">
        <f t="shared" si="173"/>
        <v>1.218</v>
      </c>
      <c r="AJ123" s="100">
        <f t="shared" si="129"/>
        <v>1.2709556791516667</v>
      </c>
      <c r="AK123" s="99">
        <f t="shared" si="152"/>
        <v>0.28999999999999998</v>
      </c>
      <c r="AL123" s="97">
        <f t="shared" si="153"/>
        <v>0.58362552206016494</v>
      </c>
      <c r="AM123" s="97">
        <f t="shared" si="154"/>
        <v>9.7439999999999999E-2</v>
      </c>
      <c r="AN123" s="97">
        <f t="shared" si="155"/>
        <v>0.75525000000000009</v>
      </c>
      <c r="AO123" s="100">
        <f t="shared" si="130"/>
        <v>0.85269000000000006</v>
      </c>
      <c r="AP123" s="99">
        <f t="shared" si="131"/>
        <v>0</v>
      </c>
      <c r="AQ123" s="97">
        <f t="shared" si="104"/>
        <v>8.7499999999999994E-2</v>
      </c>
      <c r="AR123" s="100">
        <f t="shared" si="156"/>
        <v>1.155E-2</v>
      </c>
      <c r="AS123" s="99">
        <f t="shared" si="148"/>
        <v>1.3700056791516666</v>
      </c>
      <c r="AT123" s="215">
        <f t="shared" si="157"/>
        <v>107.20034074909999</v>
      </c>
      <c r="AU123" s="216">
        <f t="shared" si="158"/>
        <v>7.3309450646399432E-2</v>
      </c>
      <c r="AV123" s="97">
        <f t="shared" si="159"/>
        <v>13.92</v>
      </c>
      <c r="AW123" s="100">
        <f t="shared" si="132"/>
        <v>91.039861541583946</v>
      </c>
      <c r="AX123" s="32"/>
      <c r="AY123" s="99">
        <f t="shared" si="109"/>
        <v>60</v>
      </c>
      <c r="AZ123" s="97">
        <f t="shared" si="160"/>
        <v>0.23200000000000001</v>
      </c>
      <c r="BA123" s="97">
        <f t="shared" si="111"/>
        <v>15</v>
      </c>
      <c r="BB123" s="100">
        <f t="shared" si="161"/>
        <v>1.1599999999999999</v>
      </c>
      <c r="BC123" s="99">
        <f t="shared" si="162"/>
        <v>2</v>
      </c>
      <c r="BD123" s="97">
        <f t="shared" si="163"/>
        <v>0.75</v>
      </c>
      <c r="BE123" s="100">
        <f t="shared" si="164"/>
        <v>0.25</v>
      </c>
      <c r="BF123" s="99">
        <f t="shared" si="165"/>
        <v>0.45000000000000007</v>
      </c>
      <c r="BG123" s="97">
        <f t="shared" si="146"/>
        <v>1.385</v>
      </c>
      <c r="BH123" s="97">
        <f t="shared" si="147"/>
        <v>1.1672510441203297</v>
      </c>
      <c r="BI123" s="97">
        <v>0</v>
      </c>
      <c r="BJ123" s="97">
        <f t="shared" si="166"/>
        <v>1.3624749999999996E-2</v>
      </c>
      <c r="BK123" s="100">
        <f t="shared" si="133"/>
        <v>1.3624749999999996E-2</v>
      </c>
      <c r="BL123" s="99">
        <f t="shared" si="145"/>
        <v>0.86999999999999988</v>
      </c>
      <c r="BM123" s="97">
        <f t="shared" si="134"/>
        <v>1.0108690568021164</v>
      </c>
      <c r="BN123" s="97">
        <f t="shared" si="135"/>
        <v>7.4911720327089829E-2</v>
      </c>
      <c r="BO123" s="97">
        <f t="shared" si="174"/>
        <v>1.218</v>
      </c>
      <c r="BP123" s="100">
        <f t="shared" si="137"/>
        <v>1.2929117203270899</v>
      </c>
      <c r="BQ123" s="99">
        <f t="shared" si="138"/>
        <v>0.28999999999999998</v>
      </c>
      <c r="BR123" s="97">
        <f t="shared" si="167"/>
        <v>0.58362552206016494</v>
      </c>
      <c r="BS123" s="97">
        <f t="shared" si="168"/>
        <v>9.7439999999999999E-2</v>
      </c>
      <c r="BT123" s="97">
        <f t="shared" si="169"/>
        <v>0.75525000000000009</v>
      </c>
      <c r="BU123" s="100">
        <f t="shared" si="139"/>
        <v>0.85269000000000006</v>
      </c>
      <c r="BV123" s="99">
        <f t="shared" si="140"/>
        <v>0</v>
      </c>
      <c r="BW123" s="97">
        <f t="shared" si="170"/>
        <v>8.7499999999999994E-2</v>
      </c>
      <c r="BX123" s="100">
        <f t="shared" si="171"/>
        <v>1.155E-2</v>
      </c>
      <c r="BY123" s="99">
        <f t="shared" si="141"/>
        <v>2.2582764703270901</v>
      </c>
      <c r="BZ123" s="97">
        <f t="shared" si="142"/>
        <v>13.92</v>
      </c>
      <c r="CA123" s="100">
        <f t="shared" si="143"/>
        <v>86.041303754024469</v>
      </c>
      <c r="CB123" s="51">
        <f t="shared" si="144"/>
        <v>1.3919617203270898</v>
      </c>
      <c r="CC123" s="32">
        <f t="shared" si="172"/>
        <v>73.718660211448139</v>
      </c>
    </row>
    <row r="124" spans="17:81" x14ac:dyDescent="0.3">
      <c r="Q124" s="32">
        <v>117</v>
      </c>
      <c r="S124" s="99">
        <f t="shared" si="89"/>
        <v>60</v>
      </c>
      <c r="T124" s="97">
        <f t="shared" si="124"/>
        <v>0.23400000000000001</v>
      </c>
      <c r="U124" s="97">
        <f t="shared" si="90"/>
        <v>15</v>
      </c>
      <c r="V124" s="100">
        <f t="shared" si="91"/>
        <v>1.1700000000000002</v>
      </c>
      <c r="W124" s="99">
        <f t="shared" si="92"/>
        <v>2</v>
      </c>
      <c r="X124" s="97">
        <f t="shared" si="93"/>
        <v>0.75</v>
      </c>
      <c r="Y124" s="100">
        <f t="shared" si="149"/>
        <v>0.25</v>
      </c>
      <c r="Z124" s="99">
        <f t="shared" si="95"/>
        <v>0.45000000000000007</v>
      </c>
      <c r="AA124" s="97">
        <f t="shared" si="125"/>
        <v>1.3950000000000002</v>
      </c>
      <c r="AB124" s="97">
        <f t="shared" si="126"/>
        <v>1.1771894494940058</v>
      </c>
      <c r="AC124" s="97">
        <v>0</v>
      </c>
      <c r="AD124" s="97">
        <f t="shared" si="96"/>
        <v>1.3857750000000004E-2</v>
      </c>
      <c r="AE124" s="100">
        <f t="shared" si="127"/>
        <v>1.3857750000000004E-2</v>
      </c>
      <c r="AF124" s="99">
        <f t="shared" si="150"/>
        <v>0.87750000000000017</v>
      </c>
      <c r="AG124" s="97">
        <f t="shared" si="151"/>
        <v>1.0194759683288273</v>
      </c>
      <c r="AH124" s="97">
        <f t="shared" si="99"/>
        <v>5.3861286465000019E-2</v>
      </c>
      <c r="AI124" s="97">
        <f t="shared" si="173"/>
        <v>1.2284999999999999</v>
      </c>
      <c r="AJ124" s="100">
        <f t="shared" si="129"/>
        <v>1.282361286465</v>
      </c>
      <c r="AK124" s="99">
        <f t="shared" si="152"/>
        <v>0.29250000000000004</v>
      </c>
      <c r="AL124" s="97">
        <f t="shared" si="153"/>
        <v>0.58859472474700281</v>
      </c>
      <c r="AM124" s="97">
        <f t="shared" si="154"/>
        <v>9.8280000000000006E-2</v>
      </c>
      <c r="AN124" s="97">
        <f t="shared" si="155"/>
        <v>0.75525000000000009</v>
      </c>
      <c r="AO124" s="100">
        <f t="shared" si="130"/>
        <v>0.85353000000000012</v>
      </c>
      <c r="AP124" s="99">
        <f t="shared" si="131"/>
        <v>0</v>
      </c>
      <c r="AQ124" s="97">
        <f t="shared" si="104"/>
        <v>8.7499999999999994E-2</v>
      </c>
      <c r="AR124" s="100">
        <f t="shared" si="156"/>
        <v>1.155E-2</v>
      </c>
      <c r="AS124" s="99">
        <f t="shared" si="148"/>
        <v>1.3814112864649999</v>
      </c>
      <c r="AT124" s="215">
        <f t="shared" si="157"/>
        <v>107.8846771879</v>
      </c>
      <c r="AU124" s="216">
        <f t="shared" si="158"/>
        <v>7.3476502949951561E-2</v>
      </c>
      <c r="AV124" s="97">
        <f t="shared" si="159"/>
        <v>14.040000000000001</v>
      </c>
      <c r="AW124" s="100">
        <f t="shared" si="132"/>
        <v>91.042251186975136</v>
      </c>
      <c r="AX124" s="32"/>
      <c r="AY124" s="99">
        <f t="shared" si="109"/>
        <v>60</v>
      </c>
      <c r="AZ124" s="97">
        <f t="shared" si="160"/>
        <v>0.23400000000000001</v>
      </c>
      <c r="BA124" s="97">
        <f t="shared" si="111"/>
        <v>15</v>
      </c>
      <c r="BB124" s="100">
        <f t="shared" si="161"/>
        <v>1.1700000000000002</v>
      </c>
      <c r="BC124" s="99">
        <f t="shared" si="162"/>
        <v>2</v>
      </c>
      <c r="BD124" s="97">
        <f t="shared" si="163"/>
        <v>0.75</v>
      </c>
      <c r="BE124" s="100">
        <f t="shared" si="164"/>
        <v>0.25</v>
      </c>
      <c r="BF124" s="99">
        <f t="shared" si="165"/>
        <v>0.45000000000000007</v>
      </c>
      <c r="BG124" s="97">
        <f t="shared" si="146"/>
        <v>1.3950000000000002</v>
      </c>
      <c r="BH124" s="97">
        <f t="shared" si="147"/>
        <v>1.1771894494940058</v>
      </c>
      <c r="BI124" s="97">
        <v>0</v>
      </c>
      <c r="BJ124" s="97">
        <f t="shared" si="166"/>
        <v>1.3857750000000004E-2</v>
      </c>
      <c r="BK124" s="100">
        <f t="shared" si="133"/>
        <v>1.3857750000000004E-2</v>
      </c>
      <c r="BL124" s="99">
        <f t="shared" si="145"/>
        <v>0.87750000000000017</v>
      </c>
      <c r="BM124" s="97">
        <f t="shared" si="134"/>
        <v>1.0194759683288273</v>
      </c>
      <c r="BN124" s="97">
        <f t="shared" si="135"/>
        <v>7.6366425656601844E-2</v>
      </c>
      <c r="BO124" s="97">
        <f t="shared" si="174"/>
        <v>1.2284999999999999</v>
      </c>
      <c r="BP124" s="100">
        <f t="shared" si="137"/>
        <v>1.3048664256566018</v>
      </c>
      <c r="BQ124" s="99">
        <f t="shared" si="138"/>
        <v>0.29250000000000004</v>
      </c>
      <c r="BR124" s="97">
        <f t="shared" si="167"/>
        <v>0.58859472474700281</v>
      </c>
      <c r="BS124" s="97">
        <f t="shared" si="168"/>
        <v>9.8280000000000006E-2</v>
      </c>
      <c r="BT124" s="97">
        <f t="shared" si="169"/>
        <v>0.75525000000000009</v>
      </c>
      <c r="BU124" s="100">
        <f t="shared" si="139"/>
        <v>0.85353000000000012</v>
      </c>
      <c r="BV124" s="99">
        <f t="shared" si="140"/>
        <v>0</v>
      </c>
      <c r="BW124" s="97">
        <f t="shared" si="170"/>
        <v>8.7499999999999994E-2</v>
      </c>
      <c r="BX124" s="100">
        <f t="shared" si="171"/>
        <v>1.155E-2</v>
      </c>
      <c r="BY124" s="99">
        <f t="shared" si="141"/>
        <v>2.2713041756566024</v>
      </c>
      <c r="BZ124" s="97">
        <f t="shared" si="142"/>
        <v>14.040000000000001</v>
      </c>
      <c r="CA124" s="100">
        <f t="shared" si="143"/>
        <v>86.075275458069427</v>
      </c>
      <c r="CB124" s="51">
        <f t="shared" si="144"/>
        <v>1.4039164256566017</v>
      </c>
      <c r="CC124" s="32">
        <f t="shared" si="172"/>
        <v>74.137074897981051</v>
      </c>
    </row>
    <row r="125" spans="17:81" x14ac:dyDescent="0.3">
      <c r="Q125" s="32">
        <v>118</v>
      </c>
      <c r="S125" s="99">
        <f t="shared" si="89"/>
        <v>60</v>
      </c>
      <c r="T125" s="97">
        <f t="shared" si="124"/>
        <v>0.23600000000000002</v>
      </c>
      <c r="U125" s="97">
        <f t="shared" si="90"/>
        <v>15</v>
      </c>
      <c r="V125" s="100">
        <f t="shared" si="91"/>
        <v>1.18</v>
      </c>
      <c r="W125" s="99">
        <f t="shared" si="92"/>
        <v>2</v>
      </c>
      <c r="X125" s="97">
        <f t="shared" si="93"/>
        <v>0.75</v>
      </c>
      <c r="Y125" s="100">
        <f t="shared" si="149"/>
        <v>0.25</v>
      </c>
      <c r="Z125" s="99">
        <f t="shared" si="95"/>
        <v>0.45000000000000007</v>
      </c>
      <c r="AA125" s="97">
        <f t="shared" si="125"/>
        <v>1.405</v>
      </c>
      <c r="AB125" s="97">
        <f t="shared" si="126"/>
        <v>1.1871288893797505</v>
      </c>
      <c r="AC125" s="97">
        <v>0</v>
      </c>
      <c r="AD125" s="97">
        <f t="shared" si="96"/>
        <v>1.4092749999999999E-2</v>
      </c>
      <c r="AE125" s="100">
        <f t="shared" si="127"/>
        <v>1.4092749999999999E-2</v>
      </c>
      <c r="AF125" s="99">
        <f t="shared" si="150"/>
        <v>0.88500000000000001</v>
      </c>
      <c r="AG125" s="97">
        <f t="shared" si="151"/>
        <v>1.0280837757692707</v>
      </c>
      <c r="AH125" s="97">
        <f t="shared" si="99"/>
        <v>5.4774667231666685E-2</v>
      </c>
      <c r="AI125" s="97">
        <f t="shared" si="173"/>
        <v>1.2389999999999999</v>
      </c>
      <c r="AJ125" s="100">
        <f t="shared" si="129"/>
        <v>1.2937746672316666</v>
      </c>
      <c r="AK125" s="99">
        <f t="shared" si="152"/>
        <v>0.29499999999999998</v>
      </c>
      <c r="AL125" s="97">
        <f t="shared" si="153"/>
        <v>0.59356444468987524</v>
      </c>
      <c r="AM125" s="97">
        <f t="shared" si="154"/>
        <v>9.912E-2</v>
      </c>
      <c r="AN125" s="97">
        <f t="shared" si="155"/>
        <v>0.75525000000000009</v>
      </c>
      <c r="AO125" s="100">
        <f t="shared" si="130"/>
        <v>0.85437000000000007</v>
      </c>
      <c r="AP125" s="99">
        <f t="shared" si="131"/>
        <v>0</v>
      </c>
      <c r="AQ125" s="97">
        <f t="shared" si="104"/>
        <v>8.7499999999999994E-2</v>
      </c>
      <c r="AR125" s="100">
        <f t="shared" si="156"/>
        <v>1.155E-2</v>
      </c>
      <c r="AS125" s="99">
        <f t="shared" si="148"/>
        <v>1.3928246672316664</v>
      </c>
      <c r="AT125" s="215">
        <f t="shared" si="157"/>
        <v>108.56948003389999</v>
      </c>
      <c r="AU125" s="216">
        <f t="shared" si="158"/>
        <v>7.364366910743976E-2</v>
      </c>
      <c r="AV125" s="97">
        <f t="shared" si="159"/>
        <v>14.16</v>
      </c>
      <c r="AW125" s="100">
        <f t="shared" si="132"/>
        <v>91.044554947203792</v>
      </c>
      <c r="AX125" s="32"/>
      <c r="AY125" s="99">
        <f t="shared" si="109"/>
        <v>60</v>
      </c>
      <c r="AZ125" s="97">
        <f t="shared" si="160"/>
        <v>0.23600000000000002</v>
      </c>
      <c r="BA125" s="97">
        <f t="shared" si="111"/>
        <v>15</v>
      </c>
      <c r="BB125" s="100">
        <f t="shared" si="161"/>
        <v>1.18</v>
      </c>
      <c r="BC125" s="99">
        <f t="shared" si="162"/>
        <v>2</v>
      </c>
      <c r="BD125" s="97">
        <f t="shared" si="163"/>
        <v>0.75</v>
      </c>
      <c r="BE125" s="100">
        <f t="shared" si="164"/>
        <v>0.25</v>
      </c>
      <c r="BF125" s="99">
        <f t="shared" si="165"/>
        <v>0.45000000000000007</v>
      </c>
      <c r="BG125" s="97">
        <f t="shared" si="146"/>
        <v>1.405</v>
      </c>
      <c r="BH125" s="97">
        <f t="shared" si="147"/>
        <v>1.1871288893797505</v>
      </c>
      <c r="BI125" s="97">
        <v>0</v>
      </c>
      <c r="BJ125" s="97">
        <f t="shared" si="166"/>
        <v>1.4092749999999999E-2</v>
      </c>
      <c r="BK125" s="100">
        <f t="shared" si="133"/>
        <v>1.4092749999999999E-2</v>
      </c>
      <c r="BL125" s="99">
        <f t="shared" si="145"/>
        <v>0.88500000000000001</v>
      </c>
      <c r="BM125" s="97">
        <f t="shared" si="134"/>
        <v>1.0280837757692707</v>
      </c>
      <c r="BN125" s="97">
        <f t="shared" si="135"/>
        <v>7.7838136336040378E-2</v>
      </c>
      <c r="BO125" s="97">
        <f t="shared" si="174"/>
        <v>1.2389999999999999</v>
      </c>
      <c r="BP125" s="100">
        <f t="shared" si="137"/>
        <v>1.3168381363360402</v>
      </c>
      <c r="BQ125" s="99">
        <f t="shared" si="138"/>
        <v>0.29499999999999998</v>
      </c>
      <c r="BR125" s="97">
        <f t="shared" si="167"/>
        <v>0.59356444468987524</v>
      </c>
      <c r="BS125" s="97">
        <f t="shared" si="168"/>
        <v>9.912E-2</v>
      </c>
      <c r="BT125" s="97">
        <f t="shared" si="169"/>
        <v>0.75525000000000009</v>
      </c>
      <c r="BU125" s="100">
        <f t="shared" si="139"/>
        <v>0.85437000000000007</v>
      </c>
      <c r="BV125" s="99">
        <f t="shared" si="140"/>
        <v>0</v>
      </c>
      <c r="BW125" s="97">
        <f t="shared" si="170"/>
        <v>8.7499999999999994E-2</v>
      </c>
      <c r="BX125" s="100">
        <f t="shared" si="171"/>
        <v>1.155E-2</v>
      </c>
      <c r="BY125" s="99">
        <f t="shared" si="141"/>
        <v>2.2843508863360404</v>
      </c>
      <c r="BZ125" s="97">
        <f t="shared" si="142"/>
        <v>14.16</v>
      </c>
      <c r="CA125" s="100">
        <f t="shared" si="143"/>
        <v>86.108598009580575</v>
      </c>
      <c r="CB125" s="51">
        <f t="shared" si="144"/>
        <v>1.41588813633604</v>
      </c>
      <c r="CC125" s="32">
        <f t="shared" si="172"/>
        <v>74.556084771761405</v>
      </c>
    </row>
    <row r="126" spans="17:81" x14ac:dyDescent="0.3">
      <c r="Q126" s="32">
        <v>119</v>
      </c>
      <c r="S126" s="99">
        <f t="shared" si="89"/>
        <v>60</v>
      </c>
      <c r="T126" s="97">
        <f t="shared" si="124"/>
        <v>0.23800000000000002</v>
      </c>
      <c r="U126" s="97">
        <f t="shared" si="90"/>
        <v>15</v>
      </c>
      <c r="V126" s="100">
        <f t="shared" si="91"/>
        <v>1.1900000000000002</v>
      </c>
      <c r="W126" s="99">
        <f t="shared" si="92"/>
        <v>2</v>
      </c>
      <c r="X126" s="97">
        <f t="shared" si="93"/>
        <v>0.75</v>
      </c>
      <c r="Y126" s="100">
        <f t="shared" si="149"/>
        <v>0.25</v>
      </c>
      <c r="Z126" s="99">
        <f t="shared" si="95"/>
        <v>0.45000000000000007</v>
      </c>
      <c r="AA126" s="97">
        <f t="shared" si="125"/>
        <v>1.4150000000000003</v>
      </c>
      <c r="AB126" s="97">
        <f t="shared" si="126"/>
        <v>1.1970693380084549</v>
      </c>
      <c r="AC126" s="97">
        <v>0</v>
      </c>
      <c r="AD126" s="97">
        <f t="shared" si="96"/>
        <v>1.4329750000000006E-2</v>
      </c>
      <c r="AE126" s="100">
        <f t="shared" si="127"/>
        <v>1.4329750000000006E-2</v>
      </c>
      <c r="AF126" s="99">
        <f t="shared" si="150"/>
        <v>0.89250000000000007</v>
      </c>
      <c r="AG126" s="97">
        <f t="shared" si="151"/>
        <v>1.0366924568067428</v>
      </c>
      <c r="AH126" s="97">
        <f t="shared" si="99"/>
        <v>5.5695821451666704E-2</v>
      </c>
      <c r="AI126" s="97">
        <f t="shared" si="173"/>
        <v>1.2495000000000001</v>
      </c>
      <c r="AJ126" s="100">
        <f t="shared" si="129"/>
        <v>1.3051958214516668</v>
      </c>
      <c r="AK126" s="99">
        <f t="shared" si="152"/>
        <v>0.29750000000000004</v>
      </c>
      <c r="AL126" s="97">
        <f t="shared" si="153"/>
        <v>0.59853466900422747</v>
      </c>
      <c r="AM126" s="97">
        <f t="shared" si="154"/>
        <v>9.9960000000000007E-2</v>
      </c>
      <c r="AN126" s="97">
        <f t="shared" si="155"/>
        <v>0.75525000000000009</v>
      </c>
      <c r="AO126" s="100">
        <f t="shared" si="130"/>
        <v>0.85521000000000014</v>
      </c>
      <c r="AP126" s="99">
        <f t="shared" si="131"/>
        <v>0</v>
      </c>
      <c r="AQ126" s="97">
        <f t="shared" si="104"/>
        <v>8.7499999999999994E-2</v>
      </c>
      <c r="AR126" s="100">
        <f t="shared" si="156"/>
        <v>1.155E-2</v>
      </c>
      <c r="AS126" s="99">
        <f t="shared" si="148"/>
        <v>1.4042458214516667</v>
      </c>
      <c r="AT126" s="215">
        <f t="shared" si="157"/>
        <v>109.2547492871</v>
      </c>
      <c r="AU126" s="216">
        <f t="shared" si="158"/>
        <v>7.3810949118864003E-2</v>
      </c>
      <c r="AV126" s="97">
        <f t="shared" si="159"/>
        <v>14.280000000000001</v>
      </c>
      <c r="AW126" s="100">
        <f t="shared" si="132"/>
        <v>91.046774977659112</v>
      </c>
      <c r="AX126" s="32"/>
      <c r="AY126" s="99">
        <f t="shared" si="109"/>
        <v>60</v>
      </c>
      <c r="AZ126" s="97">
        <f t="shared" si="160"/>
        <v>0.23800000000000002</v>
      </c>
      <c r="BA126" s="97">
        <f t="shared" si="111"/>
        <v>15</v>
      </c>
      <c r="BB126" s="100">
        <f t="shared" si="161"/>
        <v>1.1900000000000002</v>
      </c>
      <c r="BC126" s="99">
        <f t="shared" si="162"/>
        <v>2</v>
      </c>
      <c r="BD126" s="97">
        <f t="shared" si="163"/>
        <v>0.75</v>
      </c>
      <c r="BE126" s="100">
        <f t="shared" si="164"/>
        <v>0.25</v>
      </c>
      <c r="BF126" s="99">
        <f t="shared" si="165"/>
        <v>0.45000000000000007</v>
      </c>
      <c r="BG126" s="97">
        <f t="shared" si="146"/>
        <v>1.4150000000000003</v>
      </c>
      <c r="BH126" s="97">
        <f t="shared" si="147"/>
        <v>1.1970693380084549</v>
      </c>
      <c r="BI126" s="97">
        <v>0</v>
      </c>
      <c r="BJ126" s="97">
        <f t="shared" si="166"/>
        <v>1.4329750000000006E-2</v>
      </c>
      <c r="BK126" s="100">
        <f t="shared" si="133"/>
        <v>1.4329750000000006E-2</v>
      </c>
      <c r="BL126" s="99">
        <f t="shared" si="145"/>
        <v>0.89250000000000007</v>
      </c>
      <c r="BM126" s="97">
        <f t="shared" si="134"/>
        <v>1.0366924568067428</v>
      </c>
      <c r="BN126" s="97">
        <f t="shared" si="135"/>
        <v>7.932693361020314E-2</v>
      </c>
      <c r="BO126" s="97">
        <f t="shared" si="174"/>
        <v>1.2495000000000001</v>
      </c>
      <c r="BP126" s="100">
        <f t="shared" si="137"/>
        <v>1.3288269336102032</v>
      </c>
      <c r="BQ126" s="99">
        <f t="shared" si="138"/>
        <v>0.29750000000000004</v>
      </c>
      <c r="BR126" s="97">
        <f t="shared" si="167"/>
        <v>0.59853466900422747</v>
      </c>
      <c r="BS126" s="97">
        <f t="shared" si="168"/>
        <v>9.9960000000000007E-2</v>
      </c>
      <c r="BT126" s="97">
        <f t="shared" si="169"/>
        <v>0.75525000000000009</v>
      </c>
      <c r="BU126" s="100">
        <f t="shared" si="139"/>
        <v>0.85521000000000014</v>
      </c>
      <c r="BV126" s="99">
        <f t="shared" si="140"/>
        <v>0</v>
      </c>
      <c r="BW126" s="97">
        <f t="shared" si="170"/>
        <v>8.7499999999999994E-2</v>
      </c>
      <c r="BX126" s="100">
        <f t="shared" si="171"/>
        <v>1.155E-2</v>
      </c>
      <c r="BY126" s="99">
        <f t="shared" si="141"/>
        <v>2.2974166836102032</v>
      </c>
      <c r="BZ126" s="97">
        <f t="shared" si="142"/>
        <v>14.280000000000001</v>
      </c>
      <c r="CA126" s="100">
        <f t="shared" si="143"/>
        <v>86.141286501644032</v>
      </c>
      <c r="CB126" s="51">
        <f t="shared" si="144"/>
        <v>1.4278769336102031</v>
      </c>
      <c r="CC126" s="32">
        <f t="shared" si="172"/>
        <v>74.975692676357113</v>
      </c>
    </row>
    <row r="127" spans="17:81" x14ac:dyDescent="0.3">
      <c r="Q127" s="32">
        <v>120</v>
      </c>
      <c r="S127" s="99">
        <f t="shared" si="89"/>
        <v>60</v>
      </c>
      <c r="T127" s="97">
        <f t="shared" si="124"/>
        <v>0.24</v>
      </c>
      <c r="U127" s="97">
        <f t="shared" si="90"/>
        <v>15</v>
      </c>
      <c r="V127" s="100">
        <f t="shared" si="91"/>
        <v>1.2</v>
      </c>
      <c r="W127" s="99">
        <f t="shared" si="92"/>
        <v>2</v>
      </c>
      <c r="X127" s="97">
        <f t="shared" si="93"/>
        <v>0.75</v>
      </c>
      <c r="Y127" s="100">
        <f t="shared" si="149"/>
        <v>0.25</v>
      </c>
      <c r="Z127" s="99">
        <f t="shared" si="95"/>
        <v>0.45000000000000007</v>
      </c>
      <c r="AA127" s="97">
        <f t="shared" si="125"/>
        <v>1.425</v>
      </c>
      <c r="AB127" s="97">
        <f t="shared" si="126"/>
        <v>1.207010770457331</v>
      </c>
      <c r="AC127" s="97">
        <v>0</v>
      </c>
      <c r="AD127" s="97">
        <f t="shared" si="96"/>
        <v>1.4568749999999997E-2</v>
      </c>
      <c r="AE127" s="100">
        <f t="shared" si="127"/>
        <v>1.4568749999999997E-2</v>
      </c>
      <c r="AF127" s="99">
        <f t="shared" si="150"/>
        <v>0.89999999999999991</v>
      </c>
      <c r="AG127" s="97">
        <f t="shared" si="151"/>
        <v>1.0453019898574765</v>
      </c>
      <c r="AH127" s="97">
        <f t="shared" si="99"/>
        <v>5.6624749125000012E-2</v>
      </c>
      <c r="AI127" s="97">
        <f t="shared" si="173"/>
        <v>1.26</v>
      </c>
      <c r="AJ127" s="100">
        <f t="shared" si="129"/>
        <v>1.316624749125</v>
      </c>
      <c r="AK127" s="99">
        <f t="shared" si="152"/>
        <v>0.3</v>
      </c>
      <c r="AL127" s="97">
        <f t="shared" si="153"/>
        <v>0.60350538522866548</v>
      </c>
      <c r="AM127" s="97">
        <f t="shared" si="154"/>
        <v>0.10079999999999999</v>
      </c>
      <c r="AN127" s="97">
        <f t="shared" si="155"/>
        <v>0.75525000000000009</v>
      </c>
      <c r="AO127" s="100">
        <f t="shared" si="130"/>
        <v>0.85605000000000009</v>
      </c>
      <c r="AP127" s="99">
        <f t="shared" si="131"/>
        <v>0</v>
      </c>
      <c r="AQ127" s="97">
        <f t="shared" si="104"/>
        <v>8.7499999999999994E-2</v>
      </c>
      <c r="AR127" s="100">
        <f t="shared" si="156"/>
        <v>1.155E-2</v>
      </c>
      <c r="AS127" s="99">
        <f t="shared" si="148"/>
        <v>1.4156747491249999</v>
      </c>
      <c r="AT127" s="215">
        <f t="shared" si="157"/>
        <v>109.9404849475</v>
      </c>
      <c r="AU127" s="216">
        <f t="shared" si="158"/>
        <v>7.397834298422433E-2</v>
      </c>
      <c r="AV127" s="97">
        <f t="shared" si="159"/>
        <v>14.399999999999999</v>
      </c>
      <c r="AW127" s="100">
        <f t="shared" si="132"/>
        <v>91.04891336233807</v>
      </c>
      <c r="AX127" s="32"/>
      <c r="AY127" s="99">
        <f t="shared" si="109"/>
        <v>60</v>
      </c>
      <c r="AZ127" s="97">
        <f t="shared" si="160"/>
        <v>0.24</v>
      </c>
      <c r="BA127" s="97">
        <f t="shared" si="111"/>
        <v>15</v>
      </c>
      <c r="BB127" s="100">
        <f t="shared" si="161"/>
        <v>1.2</v>
      </c>
      <c r="BC127" s="99">
        <f t="shared" si="162"/>
        <v>2</v>
      </c>
      <c r="BD127" s="97">
        <f t="shared" si="163"/>
        <v>0.75</v>
      </c>
      <c r="BE127" s="100">
        <f t="shared" si="164"/>
        <v>0.25</v>
      </c>
      <c r="BF127" s="99">
        <f t="shared" si="165"/>
        <v>0.45000000000000007</v>
      </c>
      <c r="BG127" s="97">
        <f t="shared" si="146"/>
        <v>1.425</v>
      </c>
      <c r="BH127" s="97">
        <f t="shared" si="147"/>
        <v>1.207010770457331</v>
      </c>
      <c r="BI127" s="97">
        <v>0</v>
      </c>
      <c r="BJ127" s="97">
        <f t="shared" si="166"/>
        <v>1.4568749999999997E-2</v>
      </c>
      <c r="BK127" s="100">
        <f t="shared" si="133"/>
        <v>1.4568749999999997E-2</v>
      </c>
      <c r="BL127" s="99">
        <f t="shared" si="145"/>
        <v>0.89999999999999991</v>
      </c>
      <c r="BM127" s="97">
        <f t="shared" si="134"/>
        <v>1.0453019898574765</v>
      </c>
      <c r="BN127" s="97">
        <f t="shared" si="135"/>
        <v>8.0832898826356359E-2</v>
      </c>
      <c r="BO127" s="97">
        <f t="shared" si="174"/>
        <v>1.26</v>
      </c>
      <c r="BP127" s="100">
        <f t="shared" si="137"/>
        <v>1.3408328988263563</v>
      </c>
      <c r="BQ127" s="99">
        <f t="shared" si="138"/>
        <v>0.3</v>
      </c>
      <c r="BR127" s="97">
        <f t="shared" si="167"/>
        <v>0.60350538522866548</v>
      </c>
      <c r="BS127" s="97">
        <f t="shared" si="168"/>
        <v>0.10079999999999999</v>
      </c>
      <c r="BT127" s="97">
        <f t="shared" si="169"/>
        <v>0.75525000000000009</v>
      </c>
      <c r="BU127" s="100">
        <f t="shared" si="139"/>
        <v>0.85605000000000009</v>
      </c>
      <c r="BV127" s="99">
        <f t="shared" si="140"/>
        <v>0</v>
      </c>
      <c r="BW127" s="97">
        <f t="shared" si="170"/>
        <v>8.7499999999999994E-2</v>
      </c>
      <c r="BX127" s="100">
        <f t="shared" si="171"/>
        <v>1.155E-2</v>
      </c>
      <c r="BY127" s="99">
        <f t="shared" si="141"/>
        <v>2.3105016488263566</v>
      </c>
      <c r="BZ127" s="97">
        <f t="shared" si="142"/>
        <v>14.399999999999999</v>
      </c>
      <c r="CA127" s="100">
        <f t="shared" si="143"/>
        <v>86.173355549809997</v>
      </c>
      <c r="CB127" s="51">
        <f t="shared" si="144"/>
        <v>1.4398828988263561</v>
      </c>
      <c r="CC127" s="32">
        <f t="shared" si="172"/>
        <v>75.395901458922467</v>
      </c>
    </row>
    <row r="128" spans="17:81" x14ac:dyDescent="0.3">
      <c r="Q128" s="32">
        <v>121</v>
      </c>
      <c r="S128" s="99">
        <f t="shared" si="89"/>
        <v>60</v>
      </c>
      <c r="T128" s="97">
        <f t="shared" si="124"/>
        <v>0.24199999999999999</v>
      </c>
      <c r="U128" s="97">
        <f t="shared" si="90"/>
        <v>15</v>
      </c>
      <c r="V128" s="100">
        <f t="shared" si="91"/>
        <v>1.21</v>
      </c>
      <c r="W128" s="99">
        <f t="shared" si="92"/>
        <v>2</v>
      </c>
      <c r="X128" s="97">
        <f t="shared" si="93"/>
        <v>0.75</v>
      </c>
      <c r="Y128" s="100">
        <f t="shared" si="149"/>
        <v>0.25</v>
      </c>
      <c r="Z128" s="99">
        <f t="shared" si="95"/>
        <v>0.45000000000000007</v>
      </c>
      <c r="AA128" s="97">
        <f t="shared" si="125"/>
        <v>1.4350000000000001</v>
      </c>
      <c r="AB128" s="97">
        <f t="shared" si="126"/>
        <v>1.2169531626155543</v>
      </c>
      <c r="AC128" s="97">
        <v>0</v>
      </c>
      <c r="AD128" s="97">
        <f t="shared" si="96"/>
        <v>1.4809749999999997E-2</v>
      </c>
      <c r="AE128" s="100">
        <f t="shared" si="127"/>
        <v>1.4809749999999997E-2</v>
      </c>
      <c r="AF128" s="99">
        <f t="shared" si="150"/>
        <v>0.90749999999999997</v>
      </c>
      <c r="AG128" s="97">
        <f t="shared" si="151"/>
        <v>1.053912354040885</v>
      </c>
      <c r="AH128" s="97">
        <f t="shared" si="99"/>
        <v>5.7561450251666667E-2</v>
      </c>
      <c r="AI128" s="97">
        <f t="shared" si="173"/>
        <v>1.2705</v>
      </c>
      <c r="AJ128" s="100">
        <f t="shared" si="129"/>
        <v>1.3280614502516666</v>
      </c>
      <c r="AK128" s="99">
        <f t="shared" si="152"/>
        <v>0.30249999999999999</v>
      </c>
      <c r="AL128" s="97">
        <f t="shared" si="153"/>
        <v>0.60847658130777715</v>
      </c>
      <c r="AM128" s="97">
        <f t="shared" si="154"/>
        <v>0.10163999999999999</v>
      </c>
      <c r="AN128" s="97">
        <f t="shared" si="155"/>
        <v>0.75525000000000009</v>
      </c>
      <c r="AO128" s="100">
        <f t="shared" si="130"/>
        <v>0.85689000000000004</v>
      </c>
      <c r="AP128" s="99">
        <f t="shared" si="131"/>
        <v>0</v>
      </c>
      <c r="AQ128" s="97">
        <f t="shared" si="104"/>
        <v>8.7499999999999994E-2</v>
      </c>
      <c r="AR128" s="100">
        <f t="shared" si="156"/>
        <v>1.155E-2</v>
      </c>
      <c r="AS128" s="99">
        <f t="shared" si="148"/>
        <v>1.4271114502516664</v>
      </c>
      <c r="AT128" s="215">
        <f t="shared" si="157"/>
        <v>110.62668701509999</v>
      </c>
      <c r="AU128" s="216">
        <f t="shared" si="158"/>
        <v>7.4145850703520727E-2</v>
      </c>
      <c r="AV128" s="97">
        <f t="shared" si="159"/>
        <v>14.52</v>
      </c>
      <c r="AW128" s="100">
        <f t="shared" si="132"/>
        <v>91.050972116777018</v>
      </c>
      <c r="AX128" s="32"/>
      <c r="AY128" s="99">
        <f t="shared" si="109"/>
        <v>60</v>
      </c>
      <c r="AZ128" s="97">
        <f t="shared" si="160"/>
        <v>0.24199999999999999</v>
      </c>
      <c r="BA128" s="97">
        <f t="shared" si="111"/>
        <v>15</v>
      </c>
      <c r="BB128" s="100">
        <f t="shared" si="161"/>
        <v>1.21</v>
      </c>
      <c r="BC128" s="99">
        <f t="shared" si="162"/>
        <v>2</v>
      </c>
      <c r="BD128" s="97">
        <f t="shared" si="163"/>
        <v>0.75</v>
      </c>
      <c r="BE128" s="100">
        <f t="shared" si="164"/>
        <v>0.25</v>
      </c>
      <c r="BF128" s="99">
        <f t="shared" si="165"/>
        <v>0.45000000000000007</v>
      </c>
      <c r="BG128" s="97">
        <f t="shared" si="146"/>
        <v>1.4350000000000001</v>
      </c>
      <c r="BH128" s="97">
        <f t="shared" si="147"/>
        <v>1.2169531626155543</v>
      </c>
      <c r="BI128" s="97">
        <v>0</v>
      </c>
      <c r="BJ128" s="97">
        <f t="shared" si="166"/>
        <v>1.4809749999999997E-2</v>
      </c>
      <c r="BK128" s="100">
        <f t="shared" si="133"/>
        <v>1.4809749999999997E-2</v>
      </c>
      <c r="BL128" s="99">
        <f t="shared" si="145"/>
        <v>0.90749999999999997</v>
      </c>
      <c r="BM128" s="97">
        <f t="shared" si="134"/>
        <v>1.053912354040885</v>
      </c>
      <c r="BN128" s="97">
        <f t="shared" si="135"/>
        <v>8.2356113434234934E-2</v>
      </c>
      <c r="BO128" s="97">
        <f t="shared" si="174"/>
        <v>1.2705</v>
      </c>
      <c r="BP128" s="100">
        <f t="shared" si="137"/>
        <v>1.352856113434235</v>
      </c>
      <c r="BQ128" s="99">
        <f t="shared" si="138"/>
        <v>0.30249999999999999</v>
      </c>
      <c r="BR128" s="97">
        <f t="shared" si="167"/>
        <v>0.60847658130777715</v>
      </c>
      <c r="BS128" s="97">
        <f t="shared" si="168"/>
        <v>0.10163999999999999</v>
      </c>
      <c r="BT128" s="97">
        <f t="shared" si="169"/>
        <v>0.75525000000000009</v>
      </c>
      <c r="BU128" s="100">
        <f t="shared" si="139"/>
        <v>0.85689000000000004</v>
      </c>
      <c r="BV128" s="99">
        <f t="shared" si="140"/>
        <v>0</v>
      </c>
      <c r="BW128" s="97">
        <f t="shared" si="170"/>
        <v>8.7499999999999994E-2</v>
      </c>
      <c r="BX128" s="100">
        <f t="shared" si="171"/>
        <v>1.155E-2</v>
      </c>
      <c r="BY128" s="99">
        <f t="shared" si="141"/>
        <v>2.3236058634342349</v>
      </c>
      <c r="BZ128" s="97">
        <f t="shared" si="142"/>
        <v>14.52</v>
      </c>
      <c r="CA128" s="100">
        <f t="shared" si="143"/>
        <v>86.204819310819019</v>
      </c>
      <c r="CB128" s="51">
        <f t="shared" si="144"/>
        <v>1.4519061134342348</v>
      </c>
      <c r="CC128" s="32">
        <f t="shared" si="172"/>
        <v>75.816713970198208</v>
      </c>
    </row>
    <row r="129" spans="17:81" x14ac:dyDescent="0.3">
      <c r="Q129" s="32">
        <v>122</v>
      </c>
      <c r="S129" s="99">
        <f t="shared" si="89"/>
        <v>60</v>
      </c>
      <c r="T129" s="97">
        <f t="shared" si="124"/>
        <v>0.24399999999999999</v>
      </c>
      <c r="U129" s="97">
        <f t="shared" si="90"/>
        <v>15</v>
      </c>
      <c r="V129" s="100">
        <f t="shared" si="91"/>
        <v>1.22</v>
      </c>
      <c r="W129" s="99">
        <f t="shared" si="92"/>
        <v>2</v>
      </c>
      <c r="X129" s="97">
        <f t="shared" si="93"/>
        <v>0.75</v>
      </c>
      <c r="Y129" s="100">
        <f t="shared" si="149"/>
        <v>0.25</v>
      </c>
      <c r="Z129" s="99">
        <f t="shared" si="95"/>
        <v>0.45000000000000007</v>
      </c>
      <c r="AA129" s="97">
        <f t="shared" si="125"/>
        <v>1.4450000000000001</v>
      </c>
      <c r="AB129" s="97">
        <f t="shared" si="126"/>
        <v>1.2268964911515559</v>
      </c>
      <c r="AC129" s="97">
        <v>0</v>
      </c>
      <c r="AD129" s="97">
        <f t="shared" si="96"/>
        <v>1.5052749999999997E-2</v>
      </c>
      <c r="AE129" s="100">
        <f t="shared" si="127"/>
        <v>1.5052749999999997E-2</v>
      </c>
      <c r="AF129" s="99">
        <f t="shared" si="150"/>
        <v>0.91500000000000004</v>
      </c>
      <c r="AG129" s="97">
        <f t="shared" si="151"/>
        <v>1.0625235291512372</v>
      </c>
      <c r="AH129" s="97">
        <f t="shared" si="99"/>
        <v>5.8505924831666674E-2</v>
      </c>
      <c r="AI129" s="97">
        <f t="shared" si="173"/>
        <v>1.2809999999999999</v>
      </c>
      <c r="AJ129" s="100">
        <f t="shared" si="129"/>
        <v>1.3395059248316665</v>
      </c>
      <c r="AK129" s="99">
        <f t="shared" si="152"/>
        <v>0.30499999999999999</v>
      </c>
      <c r="AL129" s="97">
        <f t="shared" si="153"/>
        <v>0.61344824557577793</v>
      </c>
      <c r="AM129" s="97">
        <f t="shared" si="154"/>
        <v>0.10247999999999999</v>
      </c>
      <c r="AN129" s="97">
        <f t="shared" si="155"/>
        <v>0.75525000000000009</v>
      </c>
      <c r="AO129" s="100">
        <f t="shared" si="130"/>
        <v>0.8577300000000001</v>
      </c>
      <c r="AP129" s="99">
        <f t="shared" si="131"/>
        <v>0</v>
      </c>
      <c r="AQ129" s="97">
        <f t="shared" si="104"/>
        <v>8.7499999999999994E-2</v>
      </c>
      <c r="AR129" s="100">
        <f t="shared" si="156"/>
        <v>1.155E-2</v>
      </c>
      <c r="AS129" s="99">
        <f t="shared" si="148"/>
        <v>1.4385559248316664</v>
      </c>
      <c r="AT129" s="215">
        <f t="shared" si="157"/>
        <v>111.31335548989998</v>
      </c>
      <c r="AU129" s="216">
        <f t="shared" si="158"/>
        <v>7.4313472276753195E-2</v>
      </c>
      <c r="AV129" s="97">
        <f t="shared" si="159"/>
        <v>14.64</v>
      </c>
      <c r="AW129" s="100">
        <f t="shared" si="132"/>
        <v>91.052953190839929</v>
      </c>
      <c r="AX129" s="32"/>
      <c r="AY129" s="99">
        <f t="shared" si="109"/>
        <v>60</v>
      </c>
      <c r="AZ129" s="97">
        <f t="shared" si="160"/>
        <v>0.24399999999999999</v>
      </c>
      <c r="BA129" s="97">
        <f t="shared" si="111"/>
        <v>15</v>
      </c>
      <c r="BB129" s="100">
        <f t="shared" si="161"/>
        <v>1.22</v>
      </c>
      <c r="BC129" s="99">
        <f t="shared" si="162"/>
        <v>2</v>
      </c>
      <c r="BD129" s="97">
        <f t="shared" si="163"/>
        <v>0.75</v>
      </c>
      <c r="BE129" s="100">
        <f t="shared" si="164"/>
        <v>0.25</v>
      </c>
      <c r="BF129" s="99">
        <f t="shared" si="165"/>
        <v>0.45000000000000007</v>
      </c>
      <c r="BG129" s="97">
        <f t="shared" si="146"/>
        <v>1.4450000000000001</v>
      </c>
      <c r="BH129" s="97">
        <f t="shared" si="147"/>
        <v>1.2268964911515559</v>
      </c>
      <c r="BI129" s="97">
        <v>0</v>
      </c>
      <c r="BJ129" s="97">
        <f t="shared" si="166"/>
        <v>1.5052749999999997E-2</v>
      </c>
      <c r="BK129" s="100">
        <f t="shared" si="133"/>
        <v>1.5052749999999997E-2</v>
      </c>
      <c r="BL129" s="99">
        <f t="shared" si="145"/>
        <v>0.91500000000000004</v>
      </c>
      <c r="BM129" s="97">
        <f t="shared" si="134"/>
        <v>1.0625235291512372</v>
      </c>
      <c r="BN129" s="97">
        <f t="shared" si="135"/>
        <v>8.3896658986042247E-2</v>
      </c>
      <c r="BO129" s="97">
        <f t="shared" si="174"/>
        <v>1.2809999999999999</v>
      </c>
      <c r="BP129" s="100">
        <f t="shared" si="137"/>
        <v>1.3648966589860421</v>
      </c>
      <c r="BQ129" s="99">
        <f t="shared" si="138"/>
        <v>0.30499999999999999</v>
      </c>
      <c r="BR129" s="97">
        <f t="shared" si="167"/>
        <v>0.61344824557577793</v>
      </c>
      <c r="BS129" s="97">
        <f t="shared" si="168"/>
        <v>0.10247999999999999</v>
      </c>
      <c r="BT129" s="97">
        <f t="shared" si="169"/>
        <v>0.75525000000000009</v>
      </c>
      <c r="BU129" s="100">
        <f t="shared" si="139"/>
        <v>0.8577300000000001</v>
      </c>
      <c r="BV129" s="99">
        <f t="shared" si="140"/>
        <v>0</v>
      </c>
      <c r="BW129" s="97">
        <f t="shared" si="170"/>
        <v>8.7499999999999994E-2</v>
      </c>
      <c r="BX129" s="100">
        <f t="shared" si="171"/>
        <v>1.155E-2</v>
      </c>
      <c r="BY129" s="99">
        <f t="shared" si="141"/>
        <v>2.3367294089860424</v>
      </c>
      <c r="BZ129" s="97">
        <f t="shared" si="142"/>
        <v>14.64</v>
      </c>
      <c r="CA129" s="100">
        <f t="shared" si="143"/>
        <v>86.235691500453697</v>
      </c>
      <c r="CB129" s="51">
        <f t="shared" si="144"/>
        <v>1.4639466589860419</v>
      </c>
      <c r="CC129" s="32">
        <f t="shared" si="172"/>
        <v>76.238133064511459</v>
      </c>
    </row>
    <row r="130" spans="17:81" x14ac:dyDescent="0.3">
      <c r="Q130" s="32">
        <v>123</v>
      </c>
      <c r="S130" s="99">
        <f t="shared" si="89"/>
        <v>60</v>
      </c>
      <c r="T130" s="97">
        <f t="shared" si="124"/>
        <v>0.246</v>
      </c>
      <c r="U130" s="97">
        <f t="shared" si="90"/>
        <v>15</v>
      </c>
      <c r="V130" s="100">
        <f t="shared" si="91"/>
        <v>1.23</v>
      </c>
      <c r="W130" s="99">
        <f t="shared" si="92"/>
        <v>2</v>
      </c>
      <c r="X130" s="97">
        <f t="shared" si="93"/>
        <v>0.75</v>
      </c>
      <c r="Y130" s="100">
        <f t="shared" si="149"/>
        <v>0.25</v>
      </c>
      <c r="Z130" s="99">
        <f t="shared" si="95"/>
        <v>0.45000000000000007</v>
      </c>
      <c r="AA130" s="97">
        <f t="shared" si="125"/>
        <v>1.4550000000000001</v>
      </c>
      <c r="AB130" s="97">
        <f t="shared" si="126"/>
        <v>1.2368407334818821</v>
      </c>
      <c r="AC130" s="97">
        <v>0</v>
      </c>
      <c r="AD130" s="97">
        <f t="shared" si="96"/>
        <v>1.5297750000000001E-2</v>
      </c>
      <c r="AE130" s="100">
        <f t="shared" si="127"/>
        <v>1.5297750000000001E-2</v>
      </c>
      <c r="AF130" s="99">
        <f t="shared" si="150"/>
        <v>0.92249999999999999</v>
      </c>
      <c r="AG130" s="97">
        <f t="shared" si="151"/>
        <v>1.0711354956306882</v>
      </c>
      <c r="AH130" s="97">
        <f t="shared" si="99"/>
        <v>5.9458172865000027E-2</v>
      </c>
      <c r="AI130" s="97">
        <f t="shared" si="173"/>
        <v>1.2914999999999999</v>
      </c>
      <c r="AJ130" s="100">
        <f t="shared" si="129"/>
        <v>1.350958172865</v>
      </c>
      <c r="AK130" s="99">
        <f t="shared" si="152"/>
        <v>0.3075</v>
      </c>
      <c r="AL130" s="97">
        <f t="shared" si="153"/>
        <v>0.61842036674094103</v>
      </c>
      <c r="AM130" s="97">
        <f t="shared" si="154"/>
        <v>0.10332</v>
      </c>
      <c r="AN130" s="97">
        <f t="shared" si="155"/>
        <v>0.75525000000000009</v>
      </c>
      <c r="AO130" s="100">
        <f t="shared" si="130"/>
        <v>0.85857000000000006</v>
      </c>
      <c r="AP130" s="99">
        <f t="shared" si="131"/>
        <v>0</v>
      </c>
      <c r="AQ130" s="97">
        <f t="shared" si="104"/>
        <v>8.7499999999999994E-2</v>
      </c>
      <c r="AR130" s="100">
        <f t="shared" si="156"/>
        <v>1.155E-2</v>
      </c>
      <c r="AS130" s="99">
        <f t="shared" si="148"/>
        <v>1.4500081728649998</v>
      </c>
      <c r="AT130" s="215">
        <f t="shared" si="157"/>
        <v>112.00049037189999</v>
      </c>
      <c r="AU130" s="216">
        <f t="shared" si="158"/>
        <v>7.4481207703921734E-2</v>
      </c>
      <c r="AV130" s="97">
        <f t="shared" si="159"/>
        <v>14.76</v>
      </c>
      <c r="AW130" s="100">
        <f t="shared" si="132"/>
        <v>91.054858471371631</v>
      </c>
      <c r="AX130" s="32"/>
      <c r="AY130" s="99">
        <f t="shared" si="109"/>
        <v>60</v>
      </c>
      <c r="AZ130" s="97">
        <f t="shared" si="160"/>
        <v>0.246</v>
      </c>
      <c r="BA130" s="97">
        <f t="shared" si="111"/>
        <v>15</v>
      </c>
      <c r="BB130" s="100">
        <f t="shared" si="161"/>
        <v>1.23</v>
      </c>
      <c r="BC130" s="99">
        <f t="shared" si="162"/>
        <v>2</v>
      </c>
      <c r="BD130" s="97">
        <f t="shared" si="163"/>
        <v>0.75</v>
      </c>
      <c r="BE130" s="100">
        <f t="shared" si="164"/>
        <v>0.25</v>
      </c>
      <c r="BF130" s="99">
        <f t="shared" si="165"/>
        <v>0.45000000000000007</v>
      </c>
      <c r="BG130" s="97">
        <f t="shared" si="146"/>
        <v>1.4550000000000001</v>
      </c>
      <c r="BH130" s="97">
        <f t="shared" si="147"/>
        <v>1.2368407334818821</v>
      </c>
      <c r="BI130" s="97">
        <v>0</v>
      </c>
      <c r="BJ130" s="97">
        <f t="shared" si="166"/>
        <v>1.5297750000000001E-2</v>
      </c>
      <c r="BK130" s="100">
        <f t="shared" si="133"/>
        <v>1.5297750000000001E-2</v>
      </c>
      <c r="BL130" s="99">
        <f t="shared" si="145"/>
        <v>0.92249999999999999</v>
      </c>
      <c r="BM130" s="97">
        <f t="shared" si="134"/>
        <v>1.0711354956306882</v>
      </c>
      <c r="BN130" s="97">
        <f t="shared" si="135"/>
        <v>8.5454617136450167E-2</v>
      </c>
      <c r="BO130" s="97">
        <f t="shared" si="174"/>
        <v>1.2914999999999999</v>
      </c>
      <c r="BP130" s="100">
        <f t="shared" si="137"/>
        <v>1.37695461713645</v>
      </c>
      <c r="BQ130" s="99">
        <f t="shared" si="138"/>
        <v>0.3075</v>
      </c>
      <c r="BR130" s="97">
        <f t="shared" si="167"/>
        <v>0.61842036674094103</v>
      </c>
      <c r="BS130" s="97">
        <f t="shared" si="168"/>
        <v>0.10332</v>
      </c>
      <c r="BT130" s="97">
        <f t="shared" si="169"/>
        <v>0.75525000000000009</v>
      </c>
      <c r="BU130" s="100">
        <f t="shared" si="139"/>
        <v>0.85857000000000006</v>
      </c>
      <c r="BV130" s="99">
        <f t="shared" si="140"/>
        <v>0</v>
      </c>
      <c r="BW130" s="97">
        <f t="shared" si="170"/>
        <v>8.7499999999999994E-2</v>
      </c>
      <c r="BX130" s="100">
        <f t="shared" si="171"/>
        <v>1.155E-2</v>
      </c>
      <c r="BY130" s="99">
        <f t="shared" si="141"/>
        <v>2.3498723671364505</v>
      </c>
      <c r="BZ130" s="97">
        <f t="shared" si="142"/>
        <v>14.76</v>
      </c>
      <c r="CA130" s="100">
        <f t="shared" si="143"/>
        <v>86.265985410563701</v>
      </c>
      <c r="CB130" s="51">
        <f t="shared" si="144"/>
        <v>1.4760046171364498</v>
      </c>
      <c r="CC130" s="32">
        <f t="shared" si="172"/>
        <v>76.660161599775734</v>
      </c>
    </row>
    <row r="131" spans="17:81" x14ac:dyDescent="0.3">
      <c r="Q131" s="32">
        <v>124</v>
      </c>
      <c r="S131" s="99">
        <f t="shared" si="89"/>
        <v>60</v>
      </c>
      <c r="T131" s="97">
        <f t="shared" si="124"/>
        <v>0.248</v>
      </c>
      <c r="U131" s="97">
        <f t="shared" si="90"/>
        <v>15</v>
      </c>
      <c r="V131" s="100">
        <f t="shared" si="91"/>
        <v>1.24</v>
      </c>
      <c r="W131" s="99">
        <f t="shared" si="92"/>
        <v>2</v>
      </c>
      <c r="X131" s="97">
        <f t="shared" si="93"/>
        <v>0.75</v>
      </c>
      <c r="Y131" s="100">
        <f t="shared" si="149"/>
        <v>0.25</v>
      </c>
      <c r="Z131" s="99">
        <f t="shared" si="95"/>
        <v>0.45000000000000007</v>
      </c>
      <c r="AA131" s="97">
        <f t="shared" si="125"/>
        <v>1.4650000000000001</v>
      </c>
      <c r="AB131" s="97">
        <f t="shared" si="126"/>
        <v>1.24678586774153</v>
      </c>
      <c r="AC131" s="97">
        <v>0</v>
      </c>
      <c r="AD131" s="97">
        <f t="shared" si="96"/>
        <v>1.5544749999999998E-2</v>
      </c>
      <c r="AE131" s="100">
        <f t="shared" si="127"/>
        <v>1.5544749999999998E-2</v>
      </c>
      <c r="AF131" s="99">
        <f t="shared" si="150"/>
        <v>0.92999999999999994</v>
      </c>
      <c r="AG131" s="97">
        <f t="shared" si="151"/>
        <v>1.0797482345435903</v>
      </c>
      <c r="AH131" s="97">
        <f t="shared" si="99"/>
        <v>6.0418194351666683E-2</v>
      </c>
      <c r="AI131" s="97">
        <f t="shared" si="173"/>
        <v>1.302</v>
      </c>
      <c r="AJ131" s="100">
        <f t="shared" si="129"/>
        <v>1.3624181943516667</v>
      </c>
      <c r="AK131" s="99">
        <f t="shared" si="152"/>
        <v>0.31</v>
      </c>
      <c r="AL131" s="97">
        <f t="shared" si="153"/>
        <v>0.623392933870765</v>
      </c>
      <c r="AM131" s="97">
        <f t="shared" si="154"/>
        <v>0.10415999999999999</v>
      </c>
      <c r="AN131" s="97">
        <f t="shared" si="155"/>
        <v>0.75525000000000009</v>
      </c>
      <c r="AO131" s="100">
        <f t="shared" si="130"/>
        <v>0.85941000000000012</v>
      </c>
      <c r="AP131" s="99">
        <f t="shared" si="131"/>
        <v>0</v>
      </c>
      <c r="AQ131" s="97">
        <f t="shared" si="104"/>
        <v>8.7499999999999994E-2</v>
      </c>
      <c r="AR131" s="100">
        <f t="shared" si="156"/>
        <v>1.155E-2</v>
      </c>
      <c r="AS131" s="99">
        <f t="shared" si="148"/>
        <v>1.4614681943516665</v>
      </c>
      <c r="AT131" s="215">
        <f t="shared" si="157"/>
        <v>112.68809166109999</v>
      </c>
      <c r="AU131" s="216">
        <f t="shared" si="158"/>
        <v>7.4649056985026344E-2</v>
      </c>
      <c r="AV131" s="97">
        <f t="shared" si="159"/>
        <v>14.879999999999999</v>
      </c>
      <c r="AW131" s="100">
        <f t="shared" si="132"/>
        <v>91.056689784723162</v>
      </c>
      <c r="AX131" s="32"/>
      <c r="AY131" s="99">
        <f t="shared" si="109"/>
        <v>60</v>
      </c>
      <c r="AZ131" s="97">
        <f t="shared" si="160"/>
        <v>0.248</v>
      </c>
      <c r="BA131" s="97">
        <f t="shared" si="111"/>
        <v>15</v>
      </c>
      <c r="BB131" s="100">
        <f t="shared" si="161"/>
        <v>1.24</v>
      </c>
      <c r="BC131" s="99">
        <f t="shared" si="162"/>
        <v>2</v>
      </c>
      <c r="BD131" s="97">
        <f t="shared" si="163"/>
        <v>0.75</v>
      </c>
      <c r="BE131" s="100">
        <f t="shared" si="164"/>
        <v>0.25</v>
      </c>
      <c r="BF131" s="99">
        <f t="shared" si="165"/>
        <v>0.45000000000000007</v>
      </c>
      <c r="BG131" s="97">
        <f t="shared" si="146"/>
        <v>1.4650000000000001</v>
      </c>
      <c r="BH131" s="97">
        <f t="shared" si="147"/>
        <v>1.24678586774153</v>
      </c>
      <c r="BI131" s="97">
        <v>0</v>
      </c>
      <c r="BJ131" s="97">
        <f t="shared" si="166"/>
        <v>1.5544749999999998E-2</v>
      </c>
      <c r="BK131" s="100">
        <f t="shared" si="133"/>
        <v>1.5544749999999998E-2</v>
      </c>
      <c r="BL131" s="99">
        <f t="shared" si="145"/>
        <v>0.92999999999999994</v>
      </c>
      <c r="BM131" s="97">
        <f t="shared" si="134"/>
        <v>1.0797482345435903</v>
      </c>
      <c r="BN131" s="97">
        <f t="shared" si="135"/>
        <v>8.7030069642599128E-2</v>
      </c>
      <c r="BO131" s="97">
        <f t="shared" si="174"/>
        <v>1.302</v>
      </c>
      <c r="BP131" s="100">
        <f t="shared" si="137"/>
        <v>1.3890300696425992</v>
      </c>
      <c r="BQ131" s="99">
        <f t="shared" si="138"/>
        <v>0.31</v>
      </c>
      <c r="BR131" s="97">
        <f t="shared" si="167"/>
        <v>0.623392933870765</v>
      </c>
      <c r="BS131" s="97">
        <f t="shared" si="168"/>
        <v>0.10415999999999999</v>
      </c>
      <c r="BT131" s="97">
        <f t="shared" si="169"/>
        <v>0.75525000000000009</v>
      </c>
      <c r="BU131" s="100">
        <f t="shared" si="139"/>
        <v>0.85941000000000012</v>
      </c>
      <c r="BV131" s="99">
        <f t="shared" si="140"/>
        <v>0</v>
      </c>
      <c r="BW131" s="97">
        <f t="shared" si="170"/>
        <v>8.7499999999999994E-2</v>
      </c>
      <c r="BX131" s="100">
        <f t="shared" si="171"/>
        <v>1.155E-2</v>
      </c>
      <c r="BY131" s="99">
        <f t="shared" si="141"/>
        <v>2.3630348196425994</v>
      </c>
      <c r="BZ131" s="97">
        <f t="shared" si="142"/>
        <v>14.879999999999999</v>
      </c>
      <c r="CA131" s="100">
        <f t="shared" si="143"/>
        <v>86.295713925307851</v>
      </c>
      <c r="CB131" s="51">
        <f t="shared" si="144"/>
        <v>1.4880800696425991</v>
      </c>
      <c r="CC131" s="32">
        <f t="shared" si="172"/>
        <v>77.082802437490969</v>
      </c>
    </row>
    <row r="132" spans="17:81" x14ac:dyDescent="0.3">
      <c r="Q132" s="32">
        <v>125</v>
      </c>
      <c r="S132" s="99">
        <f t="shared" si="89"/>
        <v>60</v>
      </c>
      <c r="T132" s="97">
        <f t="shared" si="124"/>
        <v>0.25</v>
      </c>
      <c r="U132" s="97">
        <f t="shared" si="90"/>
        <v>15</v>
      </c>
      <c r="V132" s="100">
        <f t="shared" si="91"/>
        <v>1.25</v>
      </c>
      <c r="W132" s="99">
        <f t="shared" si="92"/>
        <v>2</v>
      </c>
      <c r="X132" s="97">
        <f t="shared" si="93"/>
        <v>0.75</v>
      </c>
      <c r="Y132" s="100">
        <f t="shared" si="149"/>
        <v>0.25</v>
      </c>
      <c r="Z132" s="99">
        <f t="shared" si="95"/>
        <v>0.45000000000000007</v>
      </c>
      <c r="AA132" s="97">
        <f t="shared" si="125"/>
        <v>1.4750000000000001</v>
      </c>
      <c r="AB132" s="97">
        <f t="shared" si="126"/>
        <v>1.2567318727556804</v>
      </c>
      <c r="AC132" s="97">
        <v>0</v>
      </c>
      <c r="AD132" s="97">
        <f t="shared" si="96"/>
        <v>1.5793749999999999E-2</v>
      </c>
      <c r="AE132" s="100">
        <f t="shared" si="127"/>
        <v>1.5793749999999999E-2</v>
      </c>
      <c r="AF132" s="99">
        <f t="shared" si="150"/>
        <v>0.9375</v>
      </c>
      <c r="AG132" s="97">
        <f t="shared" si="151"/>
        <v>1.0883617275520119</v>
      </c>
      <c r="AH132" s="97">
        <f t="shared" si="99"/>
        <v>6.1385989291666672E-2</v>
      </c>
      <c r="AI132" s="97">
        <f t="shared" si="173"/>
        <v>1.3125</v>
      </c>
      <c r="AJ132" s="100">
        <f t="shared" si="129"/>
        <v>1.3738859892916666</v>
      </c>
      <c r="AK132" s="99">
        <f t="shared" si="152"/>
        <v>0.3125</v>
      </c>
      <c r="AL132" s="97">
        <f t="shared" si="153"/>
        <v>0.62836593637784022</v>
      </c>
      <c r="AM132" s="97">
        <f t="shared" si="154"/>
        <v>0.105</v>
      </c>
      <c r="AN132" s="97">
        <f t="shared" si="155"/>
        <v>0.75525000000000009</v>
      </c>
      <c r="AO132" s="100">
        <f t="shared" si="130"/>
        <v>0.86025000000000007</v>
      </c>
      <c r="AP132" s="99">
        <f t="shared" si="131"/>
        <v>0</v>
      </c>
      <c r="AQ132" s="97">
        <f t="shared" si="104"/>
        <v>8.7499999999999994E-2</v>
      </c>
      <c r="AR132" s="100">
        <f t="shared" si="156"/>
        <v>1.155E-2</v>
      </c>
      <c r="AS132" s="99">
        <f t="shared" si="148"/>
        <v>1.4729359892916665</v>
      </c>
      <c r="AT132" s="215">
        <f t="shared" si="157"/>
        <v>113.37615935749999</v>
      </c>
      <c r="AU132" s="216">
        <f t="shared" si="158"/>
        <v>7.481702012006701E-2</v>
      </c>
      <c r="AV132" s="97">
        <f t="shared" si="159"/>
        <v>15</v>
      </c>
      <c r="AW132" s="100">
        <f t="shared" si="132"/>
        <v>91.058448899157028</v>
      </c>
      <c r="AX132" s="32"/>
      <c r="AY132" s="99">
        <f t="shared" si="109"/>
        <v>60</v>
      </c>
      <c r="AZ132" s="97">
        <f t="shared" si="160"/>
        <v>0.25</v>
      </c>
      <c r="BA132" s="97">
        <f t="shared" si="111"/>
        <v>15</v>
      </c>
      <c r="BB132" s="100">
        <f t="shared" si="161"/>
        <v>1.25</v>
      </c>
      <c r="BC132" s="99">
        <f t="shared" si="162"/>
        <v>2</v>
      </c>
      <c r="BD132" s="97">
        <f t="shared" si="163"/>
        <v>0.75</v>
      </c>
      <c r="BE132" s="100">
        <f t="shared" si="164"/>
        <v>0.25</v>
      </c>
      <c r="BF132" s="99">
        <f t="shared" si="165"/>
        <v>0.45000000000000007</v>
      </c>
      <c r="BG132" s="97">
        <f t="shared" si="146"/>
        <v>1.4750000000000001</v>
      </c>
      <c r="BH132" s="97">
        <f t="shared" si="147"/>
        <v>1.2567318727556804</v>
      </c>
      <c r="BI132" s="97">
        <v>0</v>
      </c>
      <c r="BJ132" s="97">
        <f t="shared" si="166"/>
        <v>1.5793749999999999E-2</v>
      </c>
      <c r="BK132" s="100">
        <f t="shared" si="133"/>
        <v>1.5793749999999999E-2</v>
      </c>
      <c r="BL132" s="99">
        <f t="shared" si="145"/>
        <v>0.9375</v>
      </c>
      <c r="BM132" s="97">
        <f t="shared" si="134"/>
        <v>1.0883617275520119</v>
      </c>
      <c r="BN132" s="97">
        <f t="shared" si="135"/>
        <v>8.862309836409811E-2</v>
      </c>
      <c r="BO132" s="97">
        <f t="shared" si="174"/>
        <v>1.3125</v>
      </c>
      <c r="BP132" s="100">
        <f t="shared" si="137"/>
        <v>1.4011230983640981</v>
      </c>
      <c r="BQ132" s="99">
        <f t="shared" si="138"/>
        <v>0.3125</v>
      </c>
      <c r="BR132" s="97">
        <f t="shared" si="167"/>
        <v>0.62836593637784022</v>
      </c>
      <c r="BS132" s="97">
        <f t="shared" si="168"/>
        <v>0.105</v>
      </c>
      <c r="BT132" s="97">
        <f t="shared" si="169"/>
        <v>0.75525000000000009</v>
      </c>
      <c r="BU132" s="100">
        <f t="shared" si="139"/>
        <v>0.86025000000000007</v>
      </c>
      <c r="BV132" s="99">
        <f t="shared" si="140"/>
        <v>0</v>
      </c>
      <c r="BW132" s="97">
        <f t="shared" si="170"/>
        <v>8.7499999999999994E-2</v>
      </c>
      <c r="BX132" s="100">
        <f t="shared" si="171"/>
        <v>1.155E-2</v>
      </c>
      <c r="BY132" s="99">
        <f t="shared" si="141"/>
        <v>2.376216848364098</v>
      </c>
      <c r="BZ132" s="97">
        <f t="shared" si="142"/>
        <v>15</v>
      </c>
      <c r="CA132" s="100">
        <f t="shared" si="143"/>
        <v>86.32488953665532</v>
      </c>
      <c r="CB132" s="51">
        <f t="shared" si="144"/>
        <v>1.500173098364098</v>
      </c>
      <c r="CC132" s="32">
        <f t="shared" si="172"/>
        <v>77.506058442743438</v>
      </c>
    </row>
    <row r="133" spans="17:81" x14ac:dyDescent="0.3">
      <c r="Q133" s="32">
        <v>126</v>
      </c>
      <c r="S133" s="99">
        <f t="shared" si="89"/>
        <v>60</v>
      </c>
      <c r="T133" s="97">
        <f t="shared" si="124"/>
        <v>0.252</v>
      </c>
      <c r="U133" s="97">
        <f t="shared" si="90"/>
        <v>15</v>
      </c>
      <c r="V133" s="100">
        <f t="shared" si="91"/>
        <v>1.26</v>
      </c>
      <c r="W133" s="99">
        <f t="shared" si="92"/>
        <v>2</v>
      </c>
      <c r="X133" s="97">
        <f t="shared" si="93"/>
        <v>0.75</v>
      </c>
      <c r="Y133" s="100">
        <f t="shared" si="149"/>
        <v>0.25</v>
      </c>
      <c r="Z133" s="99">
        <f t="shared" si="95"/>
        <v>0.45000000000000007</v>
      </c>
      <c r="AA133" s="97">
        <f t="shared" si="125"/>
        <v>1.4850000000000001</v>
      </c>
      <c r="AB133" s="97">
        <f t="shared" si="126"/>
        <v>1.2666787280127507</v>
      </c>
      <c r="AC133" s="97">
        <v>0</v>
      </c>
      <c r="AD133" s="97">
        <f t="shared" si="96"/>
        <v>1.604475E-2</v>
      </c>
      <c r="AE133" s="100">
        <f t="shared" si="127"/>
        <v>1.604475E-2</v>
      </c>
      <c r="AF133" s="99">
        <f t="shared" si="150"/>
        <v>0.94500000000000006</v>
      </c>
      <c r="AG133" s="97">
        <f t="shared" si="151"/>
        <v>1.0969759568924016</v>
      </c>
      <c r="AH133" s="97">
        <f t="shared" si="99"/>
        <v>6.2361557685000027E-2</v>
      </c>
      <c r="AI133" s="97">
        <f t="shared" si="173"/>
        <v>1.323</v>
      </c>
      <c r="AJ133" s="100">
        <f t="shared" si="129"/>
        <v>1.385361557685</v>
      </c>
      <c r="AK133" s="99">
        <f t="shared" si="152"/>
        <v>0.315</v>
      </c>
      <c r="AL133" s="97">
        <f t="shared" si="153"/>
        <v>0.63333936400637536</v>
      </c>
      <c r="AM133" s="97">
        <f t="shared" si="154"/>
        <v>0.10584</v>
      </c>
      <c r="AN133" s="97">
        <f t="shared" si="155"/>
        <v>0.75525000000000009</v>
      </c>
      <c r="AO133" s="100">
        <f t="shared" si="130"/>
        <v>0.86109000000000013</v>
      </c>
      <c r="AP133" s="99">
        <f t="shared" si="131"/>
        <v>0</v>
      </c>
      <c r="AQ133" s="97">
        <f t="shared" si="104"/>
        <v>8.7499999999999994E-2</v>
      </c>
      <c r="AR133" s="100">
        <f t="shared" si="156"/>
        <v>1.155E-2</v>
      </c>
      <c r="AS133" s="99">
        <f t="shared" si="148"/>
        <v>1.4844115576849999</v>
      </c>
      <c r="AT133" s="215">
        <f t="shared" si="157"/>
        <v>114.06469346109999</v>
      </c>
      <c r="AU133" s="216">
        <f t="shared" si="158"/>
        <v>7.4985097109043761E-2</v>
      </c>
      <c r="AV133" s="97">
        <f t="shared" si="159"/>
        <v>15.120000000000001</v>
      </c>
      <c r="AW133" s="100">
        <f t="shared" si="132"/>
        <v>91.060137527138252</v>
      </c>
      <c r="AX133" s="32"/>
      <c r="AY133" s="99">
        <f t="shared" si="109"/>
        <v>60</v>
      </c>
      <c r="AZ133" s="97">
        <f t="shared" si="160"/>
        <v>0.252</v>
      </c>
      <c r="BA133" s="97">
        <f t="shared" si="111"/>
        <v>15</v>
      </c>
      <c r="BB133" s="100">
        <f t="shared" si="161"/>
        <v>1.26</v>
      </c>
      <c r="BC133" s="99">
        <f t="shared" si="162"/>
        <v>2</v>
      </c>
      <c r="BD133" s="97">
        <f t="shared" si="163"/>
        <v>0.75</v>
      </c>
      <c r="BE133" s="100">
        <f t="shared" si="164"/>
        <v>0.25</v>
      </c>
      <c r="BF133" s="99">
        <f t="shared" si="165"/>
        <v>0.45000000000000007</v>
      </c>
      <c r="BG133" s="97">
        <f t="shared" si="146"/>
        <v>1.4850000000000001</v>
      </c>
      <c r="BH133" s="97">
        <f t="shared" si="147"/>
        <v>1.2666787280127507</v>
      </c>
      <c r="BI133" s="97">
        <v>0</v>
      </c>
      <c r="BJ133" s="97">
        <f t="shared" si="166"/>
        <v>1.604475E-2</v>
      </c>
      <c r="BK133" s="100">
        <f t="shared" si="133"/>
        <v>1.604475E-2</v>
      </c>
      <c r="BL133" s="99">
        <f t="shared" si="145"/>
        <v>0.94500000000000006</v>
      </c>
      <c r="BM133" s="97">
        <f t="shared" si="134"/>
        <v>1.0969759568924016</v>
      </c>
      <c r="BN133" s="97">
        <f t="shared" si="135"/>
        <v>9.0233785263024752E-2</v>
      </c>
      <c r="BO133" s="97">
        <f t="shared" si="174"/>
        <v>1.323</v>
      </c>
      <c r="BP133" s="100">
        <f t="shared" si="137"/>
        <v>1.4132337852630248</v>
      </c>
      <c r="BQ133" s="99">
        <f t="shared" si="138"/>
        <v>0.315</v>
      </c>
      <c r="BR133" s="97">
        <f t="shared" si="167"/>
        <v>0.63333936400637536</v>
      </c>
      <c r="BS133" s="97">
        <f t="shared" si="168"/>
        <v>0.10584</v>
      </c>
      <c r="BT133" s="97">
        <f t="shared" si="169"/>
        <v>0.75525000000000009</v>
      </c>
      <c r="BU133" s="100">
        <f t="shared" si="139"/>
        <v>0.86109000000000013</v>
      </c>
      <c r="BV133" s="99">
        <f t="shared" si="140"/>
        <v>0</v>
      </c>
      <c r="BW133" s="97">
        <f t="shared" si="170"/>
        <v>8.7499999999999994E-2</v>
      </c>
      <c r="BX133" s="100">
        <f t="shared" si="171"/>
        <v>1.155E-2</v>
      </c>
      <c r="BY133" s="99">
        <f t="shared" si="141"/>
        <v>2.3894185352630251</v>
      </c>
      <c r="BZ133" s="97">
        <f t="shared" si="142"/>
        <v>15.120000000000001</v>
      </c>
      <c r="CA133" s="100">
        <f t="shared" si="143"/>
        <v>86.353524359184945</v>
      </c>
      <c r="CB133" s="51">
        <f t="shared" si="144"/>
        <v>1.5122837852630246</v>
      </c>
      <c r="CC133" s="32">
        <f t="shared" si="172"/>
        <v>77.929932484205864</v>
      </c>
    </row>
    <row r="134" spans="17:81" x14ac:dyDescent="0.3">
      <c r="Q134" s="32">
        <v>127</v>
      </c>
      <c r="S134" s="99">
        <f t="shared" si="89"/>
        <v>60</v>
      </c>
      <c r="T134" s="97">
        <f t="shared" si="124"/>
        <v>0.254</v>
      </c>
      <c r="U134" s="97">
        <f t="shared" si="90"/>
        <v>15</v>
      </c>
      <c r="V134" s="100">
        <f t="shared" si="91"/>
        <v>1.27</v>
      </c>
      <c r="W134" s="99">
        <f t="shared" si="92"/>
        <v>2</v>
      </c>
      <c r="X134" s="97">
        <f t="shared" si="93"/>
        <v>0.75</v>
      </c>
      <c r="Y134" s="100">
        <f t="shared" si="149"/>
        <v>0.25</v>
      </c>
      <c r="Z134" s="99">
        <f t="shared" si="95"/>
        <v>0.45000000000000007</v>
      </c>
      <c r="AA134" s="97">
        <f t="shared" si="125"/>
        <v>1.4950000000000001</v>
      </c>
      <c r="AB134" s="97">
        <f t="shared" si="126"/>
        <v>1.2766264136386964</v>
      </c>
      <c r="AC134" s="97">
        <v>0</v>
      </c>
      <c r="AD134" s="97">
        <f t="shared" si="96"/>
        <v>1.629775E-2</v>
      </c>
      <c r="AE134" s="100">
        <f t="shared" si="127"/>
        <v>1.629775E-2</v>
      </c>
      <c r="AF134" s="99">
        <f t="shared" si="150"/>
        <v>0.95250000000000001</v>
      </c>
      <c r="AG134" s="97">
        <f t="shared" si="151"/>
        <v>1.1055909053533317</v>
      </c>
      <c r="AH134" s="97">
        <f t="shared" si="99"/>
        <v>6.3344899531666665E-2</v>
      </c>
      <c r="AI134" s="97">
        <f t="shared" si="173"/>
        <v>1.3334999999999999</v>
      </c>
      <c r="AJ134" s="100">
        <f t="shared" si="129"/>
        <v>1.3968448995316667</v>
      </c>
      <c r="AK134" s="99">
        <f t="shared" si="152"/>
        <v>0.3175</v>
      </c>
      <c r="AL134" s="97">
        <f t="shared" si="153"/>
        <v>0.63831320681934822</v>
      </c>
      <c r="AM134" s="97">
        <f t="shared" si="154"/>
        <v>0.10668</v>
      </c>
      <c r="AN134" s="97">
        <f t="shared" si="155"/>
        <v>0.75525000000000009</v>
      </c>
      <c r="AO134" s="100">
        <f t="shared" si="130"/>
        <v>0.86193000000000008</v>
      </c>
      <c r="AP134" s="99">
        <f t="shared" si="131"/>
        <v>0</v>
      </c>
      <c r="AQ134" s="97">
        <f t="shared" si="104"/>
        <v>8.7499999999999994E-2</v>
      </c>
      <c r="AR134" s="100">
        <f t="shared" si="156"/>
        <v>1.155E-2</v>
      </c>
      <c r="AS134" s="99">
        <f t="shared" si="148"/>
        <v>1.4958948995316665</v>
      </c>
      <c r="AT134" s="215">
        <f t="shared" si="157"/>
        <v>114.75369397189999</v>
      </c>
      <c r="AU134" s="216">
        <f t="shared" si="158"/>
        <v>7.5153287951956582E-2</v>
      </c>
      <c r="AV134" s="97">
        <f t="shared" si="159"/>
        <v>15.24</v>
      </c>
      <c r="AW134" s="100">
        <f t="shared" si="132"/>
        <v>91.06175732751808</v>
      </c>
      <c r="AX134" s="32"/>
      <c r="AY134" s="99">
        <f t="shared" si="109"/>
        <v>60</v>
      </c>
      <c r="AZ134" s="97">
        <f t="shared" si="160"/>
        <v>0.254</v>
      </c>
      <c r="BA134" s="97">
        <f t="shared" si="111"/>
        <v>15</v>
      </c>
      <c r="BB134" s="100">
        <f t="shared" si="161"/>
        <v>1.27</v>
      </c>
      <c r="BC134" s="99">
        <f t="shared" si="162"/>
        <v>2</v>
      </c>
      <c r="BD134" s="97">
        <f t="shared" si="163"/>
        <v>0.75</v>
      </c>
      <c r="BE134" s="100">
        <f t="shared" si="164"/>
        <v>0.25</v>
      </c>
      <c r="BF134" s="99">
        <f t="shared" si="165"/>
        <v>0.45000000000000007</v>
      </c>
      <c r="BG134" s="97">
        <f t="shared" si="146"/>
        <v>1.4950000000000001</v>
      </c>
      <c r="BH134" s="97">
        <f t="shared" si="147"/>
        <v>1.2766264136386964</v>
      </c>
      <c r="BI134" s="97">
        <v>0</v>
      </c>
      <c r="BJ134" s="97">
        <f t="shared" si="166"/>
        <v>1.629775E-2</v>
      </c>
      <c r="BK134" s="100">
        <f t="shared" si="133"/>
        <v>1.629775E-2</v>
      </c>
      <c r="BL134" s="99">
        <f t="shared" si="145"/>
        <v>0.95250000000000001</v>
      </c>
      <c r="BM134" s="97">
        <f t="shared" si="134"/>
        <v>1.1055909053533317</v>
      </c>
      <c r="BN134" s="97">
        <f t="shared" si="135"/>
        <v>9.1862212403925003E-2</v>
      </c>
      <c r="BO134" s="97">
        <f t="shared" si="174"/>
        <v>1.3334999999999999</v>
      </c>
      <c r="BP134" s="100">
        <f t="shared" si="137"/>
        <v>1.4253622124039249</v>
      </c>
      <c r="BQ134" s="99">
        <f t="shared" si="138"/>
        <v>0.3175</v>
      </c>
      <c r="BR134" s="97">
        <f t="shared" si="167"/>
        <v>0.63831320681934822</v>
      </c>
      <c r="BS134" s="97">
        <f t="shared" si="168"/>
        <v>0.10668</v>
      </c>
      <c r="BT134" s="97">
        <f t="shared" si="169"/>
        <v>0.75525000000000009</v>
      </c>
      <c r="BU134" s="100">
        <f t="shared" si="139"/>
        <v>0.86193000000000008</v>
      </c>
      <c r="BV134" s="99">
        <f t="shared" si="140"/>
        <v>0</v>
      </c>
      <c r="BW134" s="97">
        <f t="shared" si="170"/>
        <v>8.7499999999999994E-2</v>
      </c>
      <c r="BX134" s="100">
        <f t="shared" si="171"/>
        <v>1.155E-2</v>
      </c>
      <c r="BY134" s="99">
        <f t="shared" si="141"/>
        <v>2.4026399624039252</v>
      </c>
      <c r="BZ134" s="97">
        <f t="shared" si="142"/>
        <v>15.24</v>
      </c>
      <c r="CA134" s="100">
        <f t="shared" si="143"/>
        <v>86.381630144219358</v>
      </c>
      <c r="CB134" s="51">
        <f t="shared" si="144"/>
        <v>1.5244122124039248</v>
      </c>
      <c r="CC134" s="32">
        <f t="shared" si="172"/>
        <v>78.354427434137364</v>
      </c>
    </row>
    <row r="135" spans="17:81" x14ac:dyDescent="0.3">
      <c r="Q135" s="32">
        <v>128</v>
      </c>
      <c r="S135" s="99">
        <f t="shared" ref="S135:S198" si="175">VOUT</f>
        <v>60</v>
      </c>
      <c r="T135" s="97">
        <f t="shared" si="124"/>
        <v>0.25600000000000001</v>
      </c>
      <c r="U135" s="97">
        <f t="shared" ref="U135:U198" si="176">VIN_var</f>
        <v>15</v>
      </c>
      <c r="V135" s="100">
        <f t="shared" ref="V135:V157" si="177">(S135*T135)/(U135*EFF_est)</f>
        <v>1.28</v>
      </c>
      <c r="W135" s="99">
        <f t="shared" ref="W135:W157" si="178">IF((T135*S135/U135)&lt;((U135*(1-(U135/S135)))/(2*Lm*Fsw)),1,2)</f>
        <v>2</v>
      </c>
      <c r="X135" s="97">
        <f t="shared" ref="X135:X157" si="179">CHOOSE(W135,SQRT((2*T135*Lm*Fsw*(S135-U135))/((U135)^2)),1-(U135/S135))</f>
        <v>0.75</v>
      </c>
      <c r="Y135" s="100">
        <f t="shared" ref="Y135:Y157" si="180">CHOOSE(W135,(Lm*AA135*Fsw)/(S135-U135),1-X135)</f>
        <v>0.25</v>
      </c>
      <c r="Z135" s="99">
        <f t="shared" ref="Z135:Z157" si="181">(U135*X135)/(Lm*Fsw)</f>
        <v>0.45000000000000007</v>
      </c>
      <c r="AA135" s="97">
        <f t="shared" si="125"/>
        <v>1.5050000000000001</v>
      </c>
      <c r="AB135" s="97">
        <f t="shared" si="126"/>
        <v>1.2865749103724975</v>
      </c>
      <c r="AC135" s="97">
        <v>0</v>
      </c>
      <c r="AD135" s="97">
        <f t="shared" ref="AD135:AD157" si="182">(AB135^2)*Rdcr</f>
        <v>1.6552750000000001E-2</v>
      </c>
      <c r="AE135" s="100">
        <f t="shared" si="127"/>
        <v>1.6552750000000001E-2</v>
      </c>
      <c r="AF135" s="99">
        <f t="shared" ref="AF135:AF157" si="183">V135*X135</f>
        <v>0.96</v>
      </c>
      <c r="AG135" s="97">
        <f t="shared" ref="AG135:AG157" si="184">CHOOSE(W135,AA135*SQRT(X135/3),SQRT(X135*((AA135^2)+((Z135^2)/3)-(AA135*Z135))))</f>
        <v>1.1142065562542702</v>
      </c>
      <c r="AH135" s="97">
        <f t="shared" ref="AH135:AH157" si="185">(AG135^2)*RDS_on</f>
        <v>6.4336014831666691E-2</v>
      </c>
      <c r="AI135" s="97">
        <f t="shared" si="173"/>
        <v>1.3439999999999999</v>
      </c>
      <c r="AJ135" s="100">
        <f t="shared" si="129"/>
        <v>1.4083360148316666</v>
      </c>
      <c r="AK135" s="99">
        <f t="shared" ref="AK135:AK157" si="186">Y135*V135</f>
        <v>0.32</v>
      </c>
      <c r="AL135" s="97">
        <f t="shared" ref="AL135:AL157" si="187">CHOOSE(W135,AA135*SQRT(Y135/3),SQRT(Y135*((AA135^2)+((Z135^2)/3)-(Z135*AA135))))</f>
        <v>0.64328745518624886</v>
      </c>
      <c r="AM135" s="97">
        <f t="shared" ref="AM135:AM157" si="188">T135*Vd_rect</f>
        <v>0.10752</v>
      </c>
      <c r="AN135" s="97">
        <f t="shared" ref="AN135:AN157" si="189">CHOOSE(W135,(S135+Vd_rect)*Qrr*Fsw,(S135+Vd_rect)*Qrr*Fsw)</f>
        <v>0.75525000000000009</v>
      </c>
      <c r="AO135" s="100">
        <f t="shared" si="130"/>
        <v>0.86277000000000004</v>
      </c>
      <c r="AP135" s="99">
        <f t="shared" si="131"/>
        <v>0</v>
      </c>
      <c r="AQ135" s="97">
        <f t="shared" ref="AQ135:AQ198" si="190">Qg_tot*Vcc*Fsw</f>
        <v>8.7499999999999994E-2</v>
      </c>
      <c r="AR135" s="100">
        <f t="shared" ref="AR135:AR157" si="191">IQ*U135</f>
        <v>1.155E-2</v>
      </c>
      <c r="AS135" s="99">
        <f t="shared" si="148"/>
        <v>1.5073860148316665</v>
      </c>
      <c r="AT135" s="215">
        <f t="shared" ref="AT135:AT157" si="192">Ta+Tk*AS135</f>
        <v>115.44316088989999</v>
      </c>
      <c r="AU135" s="216">
        <f t="shared" ref="AU135:AU157" si="193">RDS_on/51.8*(47.12+AT135*0.244)</f>
        <v>7.532159264880546E-2</v>
      </c>
      <c r="AV135" s="97">
        <f t="shared" ref="AV135:AV157" si="194">S135*T135</f>
        <v>15.36</v>
      </c>
      <c r="AW135" s="100">
        <f t="shared" si="132"/>
        <v>91.063309907615746</v>
      </c>
      <c r="AX135" s="32"/>
      <c r="AY135" s="99">
        <f t="shared" ref="AY135:AY198" si="195">VOUT</f>
        <v>60</v>
      </c>
      <c r="AZ135" s="97">
        <f t="shared" ref="AZ135:AZ157" si="196">Q135*$O$12</f>
        <v>0.25600000000000001</v>
      </c>
      <c r="BA135" s="97">
        <f t="shared" ref="BA135:BA198" si="197">VIN_var</f>
        <v>15</v>
      </c>
      <c r="BB135" s="100">
        <f t="shared" ref="BB135:BB157" si="198">(AY135*AZ135)/(BA135*EFF_est)</f>
        <v>1.28</v>
      </c>
      <c r="BC135" s="99">
        <f t="shared" ref="BC135:BC157" si="199">IF((AZ135*AY135/BA135)&lt;((BA135*(1-(BA135/AY135)))/(2*Lm*Fsw)),1,2)</f>
        <v>2</v>
      </c>
      <c r="BD135" s="97">
        <f t="shared" ref="BD135:BD157" si="200">CHOOSE(BC135,SQRT((2*AZ135*Lm*Fsw*(AY135-BA135))/((BA135)^2)),1-(BA135/AY135))</f>
        <v>0.75</v>
      </c>
      <c r="BE135" s="100">
        <f t="shared" ref="BE135:BE157" si="201">CHOOSE(BC135,(Lm*BG135*Fsw)/(AY135-BA135),1-BD135)</f>
        <v>0.25</v>
      </c>
      <c r="BF135" s="99">
        <f t="shared" ref="BF135:BF157" si="202">(BA135*BD135)/(Lm*Fsw)</f>
        <v>0.45000000000000007</v>
      </c>
      <c r="BG135" s="97">
        <f t="shared" si="146"/>
        <v>1.5050000000000001</v>
      </c>
      <c r="BH135" s="97">
        <f t="shared" si="147"/>
        <v>1.2865749103724975</v>
      </c>
      <c r="BI135" s="97">
        <v>0</v>
      </c>
      <c r="BJ135" s="97">
        <f t="shared" ref="BJ135:BJ157" si="203">(BH135^2)*Rdcr</f>
        <v>1.6552750000000001E-2</v>
      </c>
      <c r="BK135" s="100">
        <f t="shared" si="133"/>
        <v>1.6552750000000001E-2</v>
      </c>
      <c r="BL135" s="99">
        <f t="shared" si="145"/>
        <v>0.96</v>
      </c>
      <c r="BM135" s="97">
        <f t="shared" si="134"/>
        <v>1.1142065562542702</v>
      </c>
      <c r="BN135" s="97">
        <f t="shared" si="135"/>
        <v>9.3508461953813599E-2</v>
      </c>
      <c r="BO135" s="97">
        <f t="shared" si="174"/>
        <v>1.3439999999999999</v>
      </c>
      <c r="BP135" s="100">
        <f t="shared" si="137"/>
        <v>1.4375084619538134</v>
      </c>
      <c r="BQ135" s="99">
        <f t="shared" si="138"/>
        <v>0.32</v>
      </c>
      <c r="BR135" s="97">
        <f t="shared" ref="BR135:BR157" si="204">CHOOSE(BC135,BG135*SQRT(BE135/3),SQRT(BE135*((BG135^2)+((BF135^2)/3)-(BF135*BG135))))</f>
        <v>0.64328745518624886</v>
      </c>
      <c r="BS135" s="97">
        <f t="shared" ref="BS135:BS157" si="205">AZ135*Vd_rect</f>
        <v>0.10752</v>
      </c>
      <c r="BT135" s="97">
        <f t="shared" ref="BT135:BT157" si="206">CHOOSE(BC135,(AY135+Vd_rect)*Qrr*Fsw,(AY135+Vd_rect)*Qrr*Fsw)</f>
        <v>0.75525000000000009</v>
      </c>
      <c r="BU135" s="100">
        <f t="shared" si="139"/>
        <v>0.86277000000000004</v>
      </c>
      <c r="BV135" s="99">
        <f t="shared" si="140"/>
        <v>0</v>
      </c>
      <c r="BW135" s="97">
        <f t="shared" ref="BW135:BW198" si="207">Qg_tot*Vcc*Fsw</f>
        <v>8.7499999999999994E-2</v>
      </c>
      <c r="BX135" s="100">
        <f t="shared" ref="BX135:BX157" si="208">IQ*BA135</f>
        <v>1.155E-2</v>
      </c>
      <c r="BY135" s="99">
        <f t="shared" si="141"/>
        <v>2.4158812119538133</v>
      </c>
      <c r="BZ135" s="97">
        <f t="shared" si="142"/>
        <v>15.36</v>
      </c>
      <c r="CA135" s="100">
        <f t="shared" si="143"/>
        <v>86.409218293328848</v>
      </c>
      <c r="CB135" s="51">
        <f t="shared" si="144"/>
        <v>1.5365584619538133</v>
      </c>
      <c r="CC135" s="32">
        <f t="shared" ref="CC135:CC157" si="209">Ta+Tk_f*CB135</f>
        <v>78.779546168383462</v>
      </c>
    </row>
    <row r="136" spans="17:81" x14ac:dyDescent="0.3">
      <c r="Q136" s="32">
        <v>129</v>
      </c>
      <c r="S136" s="99">
        <f t="shared" si="175"/>
        <v>60</v>
      </c>
      <c r="T136" s="97">
        <f t="shared" ref="T136:T157" si="210">Q136*$O$12</f>
        <v>0.25800000000000001</v>
      </c>
      <c r="U136" s="97">
        <f t="shared" si="176"/>
        <v>15</v>
      </c>
      <c r="V136" s="100">
        <f t="shared" si="177"/>
        <v>1.29</v>
      </c>
      <c r="W136" s="99">
        <f t="shared" si="178"/>
        <v>2</v>
      </c>
      <c r="X136" s="97">
        <f t="shared" si="179"/>
        <v>0.75</v>
      </c>
      <c r="Y136" s="100">
        <f t="shared" si="180"/>
        <v>0.25</v>
      </c>
      <c r="Z136" s="99">
        <f t="shared" si="181"/>
        <v>0.45000000000000007</v>
      </c>
      <c r="AA136" s="97">
        <f t="shared" ref="AA136:AA157" si="211">CHOOSE(W136,Z136,V136+(0.5*Z136))</f>
        <v>1.5150000000000001</v>
      </c>
      <c r="AB136" s="97">
        <f t="shared" ref="AB136:AB157" si="212">CHOOSE(W136,AA136*SQRT((X136+Y136)/3),SQRT((V136^2)+((Z136^2)/12)))</f>
        <v>1.2965241995427621</v>
      </c>
      <c r="AC136" s="97">
        <v>0</v>
      </c>
      <c r="AD136" s="97">
        <f t="shared" si="182"/>
        <v>1.6809750000000002E-2</v>
      </c>
      <c r="AE136" s="100">
        <f t="shared" ref="AE136:AE157" si="213">AC136+AD136</f>
        <v>1.6809750000000002E-2</v>
      </c>
      <c r="AF136" s="99">
        <f t="shared" si="183"/>
        <v>0.96750000000000003</v>
      </c>
      <c r="AG136" s="97">
        <f t="shared" si="184"/>
        <v>1.1228228934253166</v>
      </c>
      <c r="AH136" s="97">
        <f t="shared" si="185"/>
        <v>6.5334903585000006E-2</v>
      </c>
      <c r="AI136" s="97">
        <f t="shared" ref="AI136:AI157" si="214">((S136*V136)/2)*Fsw*(tr_sw_fix+tf_sw_fix)</f>
        <v>1.3545</v>
      </c>
      <c r="AJ136" s="100">
        <f t="shared" ref="AJ136:AJ157" si="215">AH136+AI136</f>
        <v>1.419834903585</v>
      </c>
      <c r="AK136" s="99">
        <f t="shared" si="186"/>
        <v>0.32250000000000001</v>
      </c>
      <c r="AL136" s="97">
        <f t="shared" si="187"/>
        <v>0.64826209977138105</v>
      </c>
      <c r="AM136" s="97">
        <f t="shared" si="188"/>
        <v>0.10836</v>
      </c>
      <c r="AN136" s="97">
        <f t="shared" si="189"/>
        <v>0.75525000000000009</v>
      </c>
      <c r="AO136" s="100">
        <f t="shared" ref="AO136:AO157" si="216">AM136+AN136</f>
        <v>0.8636100000000001</v>
      </c>
      <c r="AP136" s="99">
        <f t="shared" ref="AP136:AP157" si="217">(AG136^2)*0</f>
        <v>0</v>
      </c>
      <c r="AQ136" s="97">
        <f t="shared" si="190"/>
        <v>8.7499999999999994E-2</v>
      </c>
      <c r="AR136" s="100">
        <f t="shared" si="191"/>
        <v>1.155E-2</v>
      </c>
      <c r="AS136" s="99">
        <f t="shared" si="148"/>
        <v>1.5188849035849998</v>
      </c>
      <c r="AT136" s="215">
        <f t="shared" si="192"/>
        <v>116.13309421509999</v>
      </c>
      <c r="AU136" s="216">
        <f t="shared" si="193"/>
        <v>7.5490011199590409E-2</v>
      </c>
      <c r="AV136" s="97">
        <f t="shared" si="194"/>
        <v>15.48</v>
      </c>
      <c r="AW136" s="100">
        <f t="shared" ref="AW136:AW156" si="218">(AV136/(AV136+AS136))*100</f>
        <v>91.064796825204269</v>
      </c>
      <c r="AX136" s="32"/>
      <c r="AY136" s="99">
        <f t="shared" si="195"/>
        <v>60</v>
      </c>
      <c r="AZ136" s="97">
        <f t="shared" si="196"/>
        <v>0.25800000000000001</v>
      </c>
      <c r="BA136" s="97">
        <f t="shared" si="197"/>
        <v>15</v>
      </c>
      <c r="BB136" s="100">
        <f t="shared" si="198"/>
        <v>1.29</v>
      </c>
      <c r="BC136" s="99">
        <f t="shared" si="199"/>
        <v>2</v>
      </c>
      <c r="BD136" s="97">
        <f t="shared" si="200"/>
        <v>0.75</v>
      </c>
      <c r="BE136" s="100">
        <f t="shared" si="201"/>
        <v>0.25</v>
      </c>
      <c r="BF136" s="99">
        <f t="shared" si="202"/>
        <v>0.45000000000000007</v>
      </c>
      <c r="BG136" s="97">
        <f t="shared" si="146"/>
        <v>1.5150000000000001</v>
      </c>
      <c r="BH136" s="97">
        <f t="shared" si="147"/>
        <v>1.2965241995427621</v>
      </c>
      <c r="BI136" s="97">
        <v>0</v>
      </c>
      <c r="BJ136" s="97">
        <f t="shared" si="203"/>
        <v>1.6809750000000002E-2</v>
      </c>
      <c r="BK136" s="100">
        <f t="shared" ref="BK136:BK157" si="219">BI136+BJ136</f>
        <v>1.6809750000000002E-2</v>
      </c>
      <c r="BL136" s="99">
        <f t="shared" si="145"/>
        <v>0.96750000000000003</v>
      </c>
      <c r="BM136" s="97">
        <f t="shared" ref="BM136:BM157" si="220">CHOOSE(BC136,BG136*SQRT(BD136/3),SQRT(BD136*((BG136^2)+((BF136^2)/3)-(BG136*BF136))))</f>
        <v>1.1228228934253166</v>
      </c>
      <c r="BN136" s="97">
        <f t="shared" ref="BN136:BN157" si="221">(BM136^2)*AU136</f>
        <v>9.5172616182173611E-2</v>
      </c>
      <c r="BO136" s="97">
        <f t="shared" ref="BO136:BO157" si="222">((AY136*BB136)/2)*Fsw*(tr_sw_fix+tf_sw_fix)</f>
        <v>1.3545</v>
      </c>
      <c r="BP136" s="100">
        <f t="shared" ref="BP136:BP157" si="223">BN136+BO136</f>
        <v>1.4496726161821736</v>
      </c>
      <c r="BQ136" s="99">
        <f t="shared" ref="BQ136:BQ156" si="224">BE136*BB136</f>
        <v>0.32250000000000001</v>
      </c>
      <c r="BR136" s="97">
        <f t="shared" si="204"/>
        <v>0.64826209977138105</v>
      </c>
      <c r="BS136" s="97">
        <f t="shared" si="205"/>
        <v>0.10836</v>
      </c>
      <c r="BT136" s="97">
        <f t="shared" si="206"/>
        <v>0.75525000000000009</v>
      </c>
      <c r="BU136" s="100">
        <f t="shared" ref="BU136:BU157" si="225">BS136+BT136</f>
        <v>0.8636100000000001</v>
      </c>
      <c r="BV136" s="99">
        <f t="shared" ref="BV136:BV157" si="226">(BM136^2)*0</f>
        <v>0</v>
      </c>
      <c r="BW136" s="97">
        <f t="shared" si="207"/>
        <v>8.7499999999999994E-2</v>
      </c>
      <c r="BX136" s="100">
        <f t="shared" si="208"/>
        <v>1.155E-2</v>
      </c>
      <c r="BY136" s="99">
        <f t="shared" ref="BY136:BY157" si="227">BV136+BU136+BP136+BK136+BW136+BX136</f>
        <v>2.4291423661821741</v>
      </c>
      <c r="BZ136" s="97">
        <f t="shared" ref="BZ136:BZ157" si="228">AY136*AZ136</f>
        <v>15.48</v>
      </c>
      <c r="CA136" s="100">
        <f t="shared" ref="CA136:CA156" si="229">(BZ136/(BZ136+BY136))*100</f>
        <v>86.436299871237154</v>
      </c>
      <c r="CB136" s="51">
        <f t="shared" ref="CB136:CB157" si="230">BP136+BW136+BX136+BV136</f>
        <v>1.5487226161821734</v>
      </c>
      <c r="CC136" s="32">
        <f t="shared" si="209"/>
        <v>79.205291566376076</v>
      </c>
    </row>
    <row r="137" spans="17:81" x14ac:dyDescent="0.3">
      <c r="Q137" s="32">
        <v>130</v>
      </c>
      <c r="S137" s="99">
        <f t="shared" si="175"/>
        <v>60</v>
      </c>
      <c r="T137" s="97">
        <f t="shared" si="210"/>
        <v>0.26</v>
      </c>
      <c r="U137" s="97">
        <f t="shared" si="176"/>
        <v>15</v>
      </c>
      <c r="V137" s="100">
        <f t="shared" si="177"/>
        <v>1.3</v>
      </c>
      <c r="W137" s="99">
        <f t="shared" si="178"/>
        <v>2</v>
      </c>
      <c r="X137" s="97">
        <f t="shared" si="179"/>
        <v>0.75</v>
      </c>
      <c r="Y137" s="100">
        <f t="shared" si="180"/>
        <v>0.25</v>
      </c>
      <c r="Z137" s="99">
        <f t="shared" si="181"/>
        <v>0.45000000000000007</v>
      </c>
      <c r="AA137" s="97">
        <f t="shared" si="211"/>
        <v>1.5250000000000001</v>
      </c>
      <c r="AB137" s="97">
        <f t="shared" si="212"/>
        <v>1.306474263045392</v>
      </c>
      <c r="AC137" s="97">
        <v>0</v>
      </c>
      <c r="AD137" s="97">
        <f t="shared" si="182"/>
        <v>1.7068750000000004E-2</v>
      </c>
      <c r="AE137" s="100">
        <f t="shared" si="213"/>
        <v>1.7068750000000004E-2</v>
      </c>
      <c r="AF137" s="99">
        <f t="shared" si="183"/>
        <v>0.97500000000000009</v>
      </c>
      <c r="AG137" s="97">
        <f t="shared" si="184"/>
        <v>1.1314399011878624</v>
      </c>
      <c r="AH137" s="97">
        <f t="shared" si="185"/>
        <v>6.6341565791666682E-2</v>
      </c>
      <c r="AI137" s="97">
        <f t="shared" si="214"/>
        <v>1.365</v>
      </c>
      <c r="AJ137" s="100">
        <f t="shared" si="215"/>
        <v>1.4313415657916666</v>
      </c>
      <c r="AK137" s="99">
        <f t="shared" si="186"/>
        <v>0.32500000000000001</v>
      </c>
      <c r="AL137" s="97">
        <f t="shared" si="187"/>
        <v>0.65323713152269602</v>
      </c>
      <c r="AM137" s="97">
        <f t="shared" si="188"/>
        <v>0.10920000000000001</v>
      </c>
      <c r="AN137" s="97">
        <f t="shared" si="189"/>
        <v>0.75525000000000009</v>
      </c>
      <c r="AO137" s="100">
        <f t="shared" si="216"/>
        <v>0.86445000000000005</v>
      </c>
      <c r="AP137" s="99">
        <f t="shared" si="217"/>
        <v>0</v>
      </c>
      <c r="AQ137" s="97">
        <f t="shared" si="190"/>
        <v>8.7499999999999994E-2</v>
      </c>
      <c r="AR137" s="100">
        <f t="shared" si="191"/>
        <v>1.155E-2</v>
      </c>
      <c r="AS137" s="99">
        <f t="shared" si="148"/>
        <v>1.5303915657916665</v>
      </c>
      <c r="AT137" s="215">
        <f t="shared" si="192"/>
        <v>116.82349394749998</v>
      </c>
      <c r="AU137" s="216">
        <f t="shared" si="193"/>
        <v>7.5658543604311443E-2</v>
      </c>
      <c r="AV137" s="97">
        <f t="shared" si="194"/>
        <v>15.600000000000001</v>
      </c>
      <c r="AW137" s="100">
        <f t="shared" si="218"/>
        <v>91.066219590404657</v>
      </c>
      <c r="AX137" s="32"/>
      <c r="AY137" s="99">
        <f t="shared" si="195"/>
        <v>60</v>
      </c>
      <c r="AZ137" s="97">
        <f t="shared" si="196"/>
        <v>0.26</v>
      </c>
      <c r="BA137" s="97">
        <f t="shared" si="197"/>
        <v>15</v>
      </c>
      <c r="BB137" s="100">
        <f t="shared" si="198"/>
        <v>1.3</v>
      </c>
      <c r="BC137" s="99">
        <f t="shared" si="199"/>
        <v>2</v>
      </c>
      <c r="BD137" s="97">
        <f t="shared" si="200"/>
        <v>0.75</v>
      </c>
      <c r="BE137" s="100">
        <f t="shared" si="201"/>
        <v>0.25</v>
      </c>
      <c r="BF137" s="99">
        <f t="shared" si="202"/>
        <v>0.45000000000000007</v>
      </c>
      <c r="BG137" s="97">
        <f t="shared" si="146"/>
        <v>1.5250000000000001</v>
      </c>
      <c r="BH137" s="97">
        <f t="shared" si="147"/>
        <v>1.306474263045392</v>
      </c>
      <c r="BI137" s="97">
        <v>0</v>
      </c>
      <c r="BJ137" s="97">
        <f t="shared" si="203"/>
        <v>1.7068750000000004E-2</v>
      </c>
      <c r="BK137" s="100">
        <f t="shared" si="219"/>
        <v>1.7068750000000004E-2</v>
      </c>
      <c r="BL137" s="99">
        <f t="shared" ref="BL137:BL157" si="231">BB137*BD137</f>
        <v>0.97500000000000009</v>
      </c>
      <c r="BM137" s="97">
        <f t="shared" si="220"/>
        <v>1.1314399011878624</v>
      </c>
      <c r="BN137" s="97">
        <f t="shared" si="221"/>
        <v>9.6854757460956814E-2</v>
      </c>
      <c r="BO137" s="97">
        <f t="shared" si="222"/>
        <v>1.365</v>
      </c>
      <c r="BP137" s="100">
        <f t="shared" si="223"/>
        <v>1.4618547574609568</v>
      </c>
      <c r="BQ137" s="99">
        <f t="shared" si="224"/>
        <v>0.32500000000000001</v>
      </c>
      <c r="BR137" s="97">
        <f t="shared" si="204"/>
        <v>0.65323713152269602</v>
      </c>
      <c r="BS137" s="97">
        <f t="shared" si="205"/>
        <v>0.10920000000000001</v>
      </c>
      <c r="BT137" s="97">
        <f t="shared" si="206"/>
        <v>0.75525000000000009</v>
      </c>
      <c r="BU137" s="100">
        <f t="shared" si="225"/>
        <v>0.86445000000000005</v>
      </c>
      <c r="BV137" s="99">
        <f t="shared" si="226"/>
        <v>0</v>
      </c>
      <c r="BW137" s="97">
        <f t="shared" si="207"/>
        <v>8.7499999999999994E-2</v>
      </c>
      <c r="BX137" s="100">
        <f t="shared" si="208"/>
        <v>1.155E-2</v>
      </c>
      <c r="BY137" s="99">
        <f t="shared" si="227"/>
        <v>2.442423507460957</v>
      </c>
      <c r="BZ137" s="97">
        <f t="shared" si="228"/>
        <v>15.600000000000001</v>
      </c>
      <c r="CA137" s="100">
        <f t="shared" si="229"/>
        <v>86.462885618160115</v>
      </c>
      <c r="CB137" s="51">
        <f t="shared" si="230"/>
        <v>1.5609047574609567</v>
      </c>
      <c r="CC137" s="32">
        <f t="shared" si="209"/>
        <v>79.631666511133488</v>
      </c>
    </row>
    <row r="138" spans="17:81" x14ac:dyDescent="0.3">
      <c r="Q138" s="32">
        <v>131</v>
      </c>
      <c r="S138" s="99">
        <f t="shared" si="175"/>
        <v>60</v>
      </c>
      <c r="T138" s="97">
        <f t="shared" si="210"/>
        <v>0.26200000000000001</v>
      </c>
      <c r="U138" s="97">
        <f t="shared" si="176"/>
        <v>15</v>
      </c>
      <c r="V138" s="100">
        <f t="shared" si="177"/>
        <v>1.31</v>
      </c>
      <c r="W138" s="99">
        <f t="shared" si="178"/>
        <v>2</v>
      </c>
      <c r="X138" s="97">
        <f t="shared" si="179"/>
        <v>0.75</v>
      </c>
      <c r="Y138" s="100">
        <f t="shared" si="180"/>
        <v>0.25</v>
      </c>
      <c r="Z138" s="99">
        <f t="shared" si="181"/>
        <v>0.45000000000000007</v>
      </c>
      <c r="AA138" s="97">
        <f t="shared" si="211"/>
        <v>1.5350000000000001</v>
      </c>
      <c r="AB138" s="97">
        <f t="shared" si="212"/>
        <v>1.3164250833222528</v>
      </c>
      <c r="AC138" s="97">
        <v>0</v>
      </c>
      <c r="AD138" s="97">
        <f t="shared" si="182"/>
        <v>1.7329750000000005E-2</v>
      </c>
      <c r="AE138" s="100">
        <f t="shared" si="213"/>
        <v>1.7329750000000005E-2</v>
      </c>
      <c r="AF138" s="99">
        <f t="shared" si="183"/>
        <v>0.98250000000000004</v>
      </c>
      <c r="AG138" s="97">
        <f t="shared" si="184"/>
        <v>1.1400575643361173</v>
      </c>
      <c r="AH138" s="97">
        <f t="shared" si="185"/>
        <v>6.7356001451666703E-2</v>
      </c>
      <c r="AI138" s="97">
        <f t="shared" si="214"/>
        <v>1.3755000000000002</v>
      </c>
      <c r="AJ138" s="100">
        <f t="shared" si="215"/>
        <v>1.4428560014516669</v>
      </c>
      <c r="AK138" s="99">
        <f t="shared" si="186"/>
        <v>0.32750000000000001</v>
      </c>
      <c r="AL138" s="97">
        <f t="shared" si="187"/>
        <v>0.6582125416611263</v>
      </c>
      <c r="AM138" s="97">
        <f t="shared" si="188"/>
        <v>0.11004</v>
      </c>
      <c r="AN138" s="97">
        <f t="shared" si="189"/>
        <v>0.75525000000000009</v>
      </c>
      <c r="AO138" s="100">
        <f t="shared" si="216"/>
        <v>0.86529000000000011</v>
      </c>
      <c r="AP138" s="99">
        <f t="shared" si="217"/>
        <v>0</v>
      </c>
      <c r="AQ138" s="97">
        <f t="shared" si="190"/>
        <v>8.7499999999999994E-2</v>
      </c>
      <c r="AR138" s="100">
        <f t="shared" si="191"/>
        <v>1.155E-2</v>
      </c>
      <c r="AS138" s="99">
        <f t="shared" si="148"/>
        <v>1.5419060014516668</v>
      </c>
      <c r="AT138" s="215">
        <f t="shared" si="192"/>
        <v>117.5143600871</v>
      </c>
      <c r="AU138" s="216">
        <f t="shared" si="193"/>
        <v>7.5827189862968533E-2</v>
      </c>
      <c r="AV138" s="97">
        <f t="shared" si="194"/>
        <v>15.72</v>
      </c>
      <c r="AW138" s="100">
        <f t="shared" si="218"/>
        <v>91.067579667494442</v>
      </c>
      <c r="AX138" s="32"/>
      <c r="AY138" s="99">
        <f t="shared" si="195"/>
        <v>60</v>
      </c>
      <c r="AZ138" s="97">
        <f t="shared" si="196"/>
        <v>0.26200000000000001</v>
      </c>
      <c r="BA138" s="97">
        <f t="shared" si="197"/>
        <v>15</v>
      </c>
      <c r="BB138" s="100">
        <f t="shared" si="198"/>
        <v>1.31</v>
      </c>
      <c r="BC138" s="99">
        <f t="shared" si="199"/>
        <v>2</v>
      </c>
      <c r="BD138" s="97">
        <f t="shared" si="200"/>
        <v>0.75</v>
      </c>
      <c r="BE138" s="100">
        <f t="shared" si="201"/>
        <v>0.25</v>
      </c>
      <c r="BF138" s="99">
        <f t="shared" si="202"/>
        <v>0.45000000000000007</v>
      </c>
      <c r="BG138" s="97">
        <f t="shared" si="146"/>
        <v>1.5350000000000001</v>
      </c>
      <c r="BH138" s="97">
        <f t="shared" si="147"/>
        <v>1.3164250833222528</v>
      </c>
      <c r="BI138" s="97">
        <v>0</v>
      </c>
      <c r="BJ138" s="97">
        <f t="shared" si="203"/>
        <v>1.7329750000000005E-2</v>
      </c>
      <c r="BK138" s="100">
        <f t="shared" si="219"/>
        <v>1.7329750000000005E-2</v>
      </c>
      <c r="BL138" s="99">
        <f t="shared" si="231"/>
        <v>0.98250000000000004</v>
      </c>
      <c r="BM138" s="97">
        <f t="shared" si="220"/>
        <v>1.1400575643361173</v>
      </c>
      <c r="BN138" s="97">
        <f t="shared" si="221"/>
        <v>9.8554968264583431E-2</v>
      </c>
      <c r="BO138" s="97">
        <f t="shared" si="222"/>
        <v>1.3755000000000002</v>
      </c>
      <c r="BP138" s="100">
        <f t="shared" si="223"/>
        <v>1.4740549682645836</v>
      </c>
      <c r="BQ138" s="99">
        <f t="shared" si="224"/>
        <v>0.32750000000000001</v>
      </c>
      <c r="BR138" s="97">
        <f t="shared" si="204"/>
        <v>0.6582125416611263</v>
      </c>
      <c r="BS138" s="97">
        <f t="shared" si="205"/>
        <v>0.11004</v>
      </c>
      <c r="BT138" s="97">
        <f t="shared" si="206"/>
        <v>0.75525000000000009</v>
      </c>
      <c r="BU138" s="100">
        <f t="shared" si="225"/>
        <v>0.86529000000000011</v>
      </c>
      <c r="BV138" s="99">
        <f t="shared" si="226"/>
        <v>0</v>
      </c>
      <c r="BW138" s="97">
        <f t="shared" si="207"/>
        <v>8.7499999999999994E-2</v>
      </c>
      <c r="BX138" s="100">
        <f t="shared" si="208"/>
        <v>1.155E-2</v>
      </c>
      <c r="BY138" s="99">
        <f t="shared" si="227"/>
        <v>2.4557247182645838</v>
      </c>
      <c r="BZ138" s="97">
        <f t="shared" si="228"/>
        <v>15.72</v>
      </c>
      <c r="CA138" s="100">
        <f t="shared" si="229"/>
        <v>86.488985961605962</v>
      </c>
      <c r="CB138" s="51">
        <f t="shared" si="230"/>
        <v>1.5731049682645835</v>
      </c>
      <c r="CC138" s="32">
        <f t="shared" si="209"/>
        <v>80.058673889260419</v>
      </c>
    </row>
    <row r="139" spans="17:81" x14ac:dyDescent="0.3">
      <c r="Q139" s="32">
        <v>132</v>
      </c>
      <c r="S139" s="99">
        <f t="shared" si="175"/>
        <v>60</v>
      </c>
      <c r="T139" s="97">
        <f t="shared" si="210"/>
        <v>0.26400000000000001</v>
      </c>
      <c r="U139" s="97">
        <f t="shared" si="176"/>
        <v>15</v>
      </c>
      <c r="V139" s="100">
        <f t="shared" si="177"/>
        <v>1.32</v>
      </c>
      <c r="W139" s="99">
        <f t="shared" si="178"/>
        <v>2</v>
      </c>
      <c r="X139" s="97">
        <f t="shared" si="179"/>
        <v>0.75</v>
      </c>
      <c r="Y139" s="100">
        <f t="shared" si="180"/>
        <v>0.25</v>
      </c>
      <c r="Z139" s="99">
        <f t="shared" si="181"/>
        <v>0.45000000000000007</v>
      </c>
      <c r="AA139" s="97">
        <f t="shared" si="211"/>
        <v>1.5450000000000002</v>
      </c>
      <c r="AB139" s="97">
        <f t="shared" si="212"/>
        <v>1.3263766433407971</v>
      </c>
      <c r="AC139" s="97">
        <v>0</v>
      </c>
      <c r="AD139" s="97">
        <f t="shared" si="182"/>
        <v>1.7592750000000001E-2</v>
      </c>
      <c r="AE139" s="100">
        <f t="shared" si="213"/>
        <v>1.7592750000000001E-2</v>
      </c>
      <c r="AF139" s="99">
        <f t="shared" si="183"/>
        <v>0.99</v>
      </c>
      <c r="AG139" s="97">
        <f t="shared" si="184"/>
        <v>1.1486758681194622</v>
      </c>
      <c r="AH139" s="97">
        <f t="shared" si="185"/>
        <v>6.8378210565000028E-2</v>
      </c>
      <c r="AI139" s="97">
        <f t="shared" si="214"/>
        <v>1.3859999999999999</v>
      </c>
      <c r="AJ139" s="100">
        <f t="shared" si="215"/>
        <v>1.4543782105649998</v>
      </c>
      <c r="AK139" s="99">
        <f t="shared" si="186"/>
        <v>0.33</v>
      </c>
      <c r="AL139" s="97">
        <f t="shared" si="187"/>
        <v>0.66318832167039854</v>
      </c>
      <c r="AM139" s="97">
        <f t="shared" si="188"/>
        <v>0.11088000000000001</v>
      </c>
      <c r="AN139" s="97">
        <f t="shared" si="189"/>
        <v>0.75525000000000009</v>
      </c>
      <c r="AO139" s="100">
        <f t="shared" si="216"/>
        <v>0.86613000000000007</v>
      </c>
      <c r="AP139" s="99">
        <f t="shared" si="217"/>
        <v>0</v>
      </c>
      <c r="AQ139" s="97">
        <f t="shared" si="190"/>
        <v>8.7499999999999994E-2</v>
      </c>
      <c r="AR139" s="100">
        <f t="shared" si="191"/>
        <v>1.155E-2</v>
      </c>
      <c r="AS139" s="99">
        <f t="shared" si="148"/>
        <v>1.5534282105649997</v>
      </c>
      <c r="AT139" s="215">
        <f t="shared" si="192"/>
        <v>118.20569263389999</v>
      </c>
      <c r="AU139" s="216">
        <f t="shared" si="193"/>
        <v>7.5995949975561708E-2</v>
      </c>
      <c r="AV139" s="97">
        <f t="shared" si="194"/>
        <v>15.84</v>
      </c>
      <c r="AW139" s="100">
        <f t="shared" si="218"/>
        <v>91.068878476633913</v>
      </c>
      <c r="AX139" s="32"/>
      <c r="AY139" s="99">
        <f t="shared" si="195"/>
        <v>60</v>
      </c>
      <c r="AZ139" s="97">
        <f t="shared" si="196"/>
        <v>0.26400000000000001</v>
      </c>
      <c r="BA139" s="97">
        <f t="shared" si="197"/>
        <v>15</v>
      </c>
      <c r="BB139" s="100">
        <f t="shared" si="198"/>
        <v>1.32</v>
      </c>
      <c r="BC139" s="99">
        <f t="shared" si="199"/>
        <v>2</v>
      </c>
      <c r="BD139" s="97">
        <f t="shared" si="200"/>
        <v>0.75</v>
      </c>
      <c r="BE139" s="100">
        <f t="shared" si="201"/>
        <v>0.25</v>
      </c>
      <c r="BF139" s="99">
        <f t="shared" si="202"/>
        <v>0.45000000000000007</v>
      </c>
      <c r="BG139" s="97">
        <f t="shared" si="146"/>
        <v>1.5450000000000002</v>
      </c>
      <c r="BH139" s="97">
        <f t="shared" si="147"/>
        <v>1.3263766433407971</v>
      </c>
      <c r="BI139" s="97">
        <v>0</v>
      </c>
      <c r="BJ139" s="97">
        <f t="shared" si="203"/>
        <v>1.7592750000000001E-2</v>
      </c>
      <c r="BK139" s="100">
        <f t="shared" si="219"/>
        <v>1.7592750000000001E-2</v>
      </c>
      <c r="BL139" s="99">
        <f t="shared" si="231"/>
        <v>0.99</v>
      </c>
      <c r="BM139" s="97">
        <f t="shared" si="220"/>
        <v>1.1486758681194622</v>
      </c>
      <c r="BN139" s="97">
        <f t="shared" si="221"/>
        <v>0.10027333116994226</v>
      </c>
      <c r="BO139" s="97">
        <f t="shared" si="222"/>
        <v>1.3859999999999999</v>
      </c>
      <c r="BP139" s="100">
        <f t="shared" si="223"/>
        <v>1.4862733311699421</v>
      </c>
      <c r="BQ139" s="99">
        <f t="shared" si="224"/>
        <v>0.33</v>
      </c>
      <c r="BR139" s="97">
        <f t="shared" si="204"/>
        <v>0.66318832167039854</v>
      </c>
      <c r="BS139" s="97">
        <f t="shared" si="205"/>
        <v>0.11088000000000001</v>
      </c>
      <c r="BT139" s="97">
        <f t="shared" si="206"/>
        <v>0.75525000000000009</v>
      </c>
      <c r="BU139" s="100">
        <f t="shared" si="225"/>
        <v>0.86613000000000007</v>
      </c>
      <c r="BV139" s="99">
        <f t="shared" si="226"/>
        <v>0</v>
      </c>
      <c r="BW139" s="97">
        <f t="shared" si="207"/>
        <v>8.7499999999999994E-2</v>
      </c>
      <c r="BX139" s="100">
        <f t="shared" si="208"/>
        <v>1.155E-2</v>
      </c>
      <c r="BY139" s="99">
        <f t="shared" si="227"/>
        <v>2.469046081169942</v>
      </c>
      <c r="BZ139" s="97">
        <f t="shared" si="228"/>
        <v>15.84</v>
      </c>
      <c r="CA139" s="100">
        <f t="shared" si="229"/>
        <v>86.514611027664358</v>
      </c>
      <c r="CB139" s="51">
        <f t="shared" si="230"/>
        <v>1.585323331169942</v>
      </c>
      <c r="CC139" s="32">
        <f t="shared" si="209"/>
        <v>80.486316590947965</v>
      </c>
    </row>
    <row r="140" spans="17:81" x14ac:dyDescent="0.3">
      <c r="Q140" s="32">
        <v>133</v>
      </c>
      <c r="S140" s="99">
        <f t="shared" si="175"/>
        <v>60</v>
      </c>
      <c r="T140" s="97">
        <f t="shared" si="210"/>
        <v>0.26600000000000001</v>
      </c>
      <c r="U140" s="97">
        <f t="shared" si="176"/>
        <v>15</v>
      </c>
      <c r="V140" s="100">
        <f t="shared" si="177"/>
        <v>1.33</v>
      </c>
      <c r="W140" s="99">
        <f t="shared" si="178"/>
        <v>2</v>
      </c>
      <c r="X140" s="97">
        <f t="shared" si="179"/>
        <v>0.75</v>
      </c>
      <c r="Y140" s="100">
        <f t="shared" si="180"/>
        <v>0.25</v>
      </c>
      <c r="Z140" s="99">
        <f t="shared" si="181"/>
        <v>0.45000000000000007</v>
      </c>
      <c r="AA140" s="97">
        <f t="shared" si="211"/>
        <v>1.5550000000000002</v>
      </c>
      <c r="AB140" s="97">
        <f t="shared" si="212"/>
        <v>1.3363289265745915</v>
      </c>
      <c r="AC140" s="97">
        <v>0</v>
      </c>
      <c r="AD140" s="97">
        <f t="shared" si="182"/>
        <v>1.7857749999999999E-2</v>
      </c>
      <c r="AE140" s="100">
        <f t="shared" si="213"/>
        <v>1.7857749999999999E-2</v>
      </c>
      <c r="AF140" s="99">
        <f t="shared" si="183"/>
        <v>0.99750000000000005</v>
      </c>
      <c r="AG140" s="97">
        <f t="shared" si="184"/>
        <v>1.1572947982255861</v>
      </c>
      <c r="AH140" s="97">
        <f t="shared" si="185"/>
        <v>6.9408193131666684E-2</v>
      </c>
      <c r="AI140" s="97">
        <f t="shared" si="214"/>
        <v>1.3965000000000001</v>
      </c>
      <c r="AJ140" s="100">
        <f t="shared" si="215"/>
        <v>1.4659081931316669</v>
      </c>
      <c r="AK140" s="99">
        <f t="shared" si="186"/>
        <v>0.33250000000000002</v>
      </c>
      <c r="AL140" s="97">
        <f t="shared" si="187"/>
        <v>0.66816446328729573</v>
      </c>
      <c r="AM140" s="97">
        <f t="shared" si="188"/>
        <v>0.11172</v>
      </c>
      <c r="AN140" s="97">
        <f t="shared" si="189"/>
        <v>0.75525000000000009</v>
      </c>
      <c r="AO140" s="100">
        <f t="shared" si="216"/>
        <v>0.86697000000000013</v>
      </c>
      <c r="AP140" s="99">
        <f t="shared" si="217"/>
        <v>0</v>
      </c>
      <c r="AQ140" s="97">
        <f t="shared" si="190"/>
        <v>8.7499999999999994E-2</v>
      </c>
      <c r="AR140" s="100">
        <f t="shared" si="191"/>
        <v>1.155E-2</v>
      </c>
      <c r="AS140" s="99">
        <f t="shared" si="148"/>
        <v>1.5649581931316667</v>
      </c>
      <c r="AT140" s="215">
        <f t="shared" si="192"/>
        <v>118.89749158790001</v>
      </c>
      <c r="AU140" s="216">
        <f t="shared" si="193"/>
        <v>7.616482394209094E-2</v>
      </c>
      <c r="AV140" s="97">
        <f t="shared" si="194"/>
        <v>15.96</v>
      </c>
      <c r="AW140" s="100">
        <f t="shared" si="218"/>
        <v>91.070117395515382</v>
      </c>
      <c r="AX140" s="32"/>
      <c r="AY140" s="99">
        <f t="shared" si="195"/>
        <v>60</v>
      </c>
      <c r="AZ140" s="97">
        <f t="shared" si="196"/>
        <v>0.26600000000000001</v>
      </c>
      <c r="BA140" s="97">
        <f t="shared" si="197"/>
        <v>15</v>
      </c>
      <c r="BB140" s="100">
        <f t="shared" si="198"/>
        <v>1.33</v>
      </c>
      <c r="BC140" s="99">
        <f t="shared" si="199"/>
        <v>2</v>
      </c>
      <c r="BD140" s="97">
        <f t="shared" si="200"/>
        <v>0.75</v>
      </c>
      <c r="BE140" s="100">
        <f t="shared" si="201"/>
        <v>0.25</v>
      </c>
      <c r="BF140" s="99">
        <f t="shared" si="202"/>
        <v>0.45000000000000007</v>
      </c>
      <c r="BG140" s="97">
        <f t="shared" si="146"/>
        <v>1.5550000000000002</v>
      </c>
      <c r="BH140" s="97">
        <f t="shared" si="147"/>
        <v>1.3363289265745915</v>
      </c>
      <c r="BI140" s="97">
        <v>0</v>
      </c>
      <c r="BJ140" s="97">
        <f t="shared" si="203"/>
        <v>1.7857749999999999E-2</v>
      </c>
      <c r="BK140" s="100">
        <f t="shared" si="219"/>
        <v>1.7857749999999999E-2</v>
      </c>
      <c r="BL140" s="99">
        <f t="shared" si="231"/>
        <v>0.99750000000000005</v>
      </c>
      <c r="BM140" s="97">
        <f t="shared" si="220"/>
        <v>1.1572947982255861</v>
      </c>
      <c r="BN140" s="97">
        <f t="shared" si="221"/>
        <v>0.1020099288563906</v>
      </c>
      <c r="BO140" s="97">
        <f t="shared" si="222"/>
        <v>1.3965000000000001</v>
      </c>
      <c r="BP140" s="100">
        <f t="shared" si="223"/>
        <v>1.4985099288563908</v>
      </c>
      <c r="BQ140" s="99">
        <f t="shared" si="224"/>
        <v>0.33250000000000002</v>
      </c>
      <c r="BR140" s="97">
        <f t="shared" si="204"/>
        <v>0.66816446328729573</v>
      </c>
      <c r="BS140" s="97">
        <f t="shared" si="205"/>
        <v>0.11172</v>
      </c>
      <c r="BT140" s="97">
        <f t="shared" si="206"/>
        <v>0.75525000000000009</v>
      </c>
      <c r="BU140" s="100">
        <f t="shared" si="225"/>
        <v>0.86697000000000013</v>
      </c>
      <c r="BV140" s="99">
        <f t="shared" si="226"/>
        <v>0</v>
      </c>
      <c r="BW140" s="97">
        <f t="shared" si="207"/>
        <v>8.7499999999999994E-2</v>
      </c>
      <c r="BX140" s="100">
        <f t="shared" si="208"/>
        <v>1.155E-2</v>
      </c>
      <c r="BY140" s="99">
        <f t="shared" si="227"/>
        <v>2.4823876788563912</v>
      </c>
      <c r="BZ140" s="97">
        <f t="shared" si="228"/>
        <v>15.96</v>
      </c>
      <c r="CA140" s="100">
        <f t="shared" si="229"/>
        <v>86.539770651810073</v>
      </c>
      <c r="CB140" s="51">
        <f t="shared" si="230"/>
        <v>1.5975599288563906</v>
      </c>
      <c r="CC140" s="32">
        <f t="shared" si="209"/>
        <v>80.914597509973675</v>
      </c>
    </row>
    <row r="141" spans="17:81" x14ac:dyDescent="0.3">
      <c r="Q141" s="32">
        <v>134</v>
      </c>
      <c r="S141" s="99">
        <f t="shared" si="175"/>
        <v>60</v>
      </c>
      <c r="T141" s="97">
        <f t="shared" si="210"/>
        <v>0.26800000000000002</v>
      </c>
      <c r="U141" s="97">
        <f t="shared" si="176"/>
        <v>15</v>
      </c>
      <c r="V141" s="100">
        <f t="shared" si="177"/>
        <v>1.34</v>
      </c>
      <c r="W141" s="99">
        <f t="shared" si="178"/>
        <v>2</v>
      </c>
      <c r="X141" s="97">
        <f t="shared" si="179"/>
        <v>0.75</v>
      </c>
      <c r="Y141" s="100">
        <f t="shared" si="180"/>
        <v>0.25</v>
      </c>
      <c r="Z141" s="99">
        <f t="shared" si="181"/>
        <v>0.45000000000000007</v>
      </c>
      <c r="AA141" s="97">
        <f t="shared" si="211"/>
        <v>1.5650000000000002</v>
      </c>
      <c r="AB141" s="97">
        <f t="shared" si="212"/>
        <v>1.3462819169847007</v>
      </c>
      <c r="AC141" s="97">
        <v>0</v>
      </c>
      <c r="AD141" s="97">
        <f t="shared" si="182"/>
        <v>1.8124750000000005E-2</v>
      </c>
      <c r="AE141" s="100">
        <f t="shared" si="213"/>
        <v>1.8124750000000005E-2</v>
      </c>
      <c r="AF141" s="99">
        <f t="shared" si="183"/>
        <v>1.0050000000000001</v>
      </c>
      <c r="AG141" s="97">
        <f t="shared" si="184"/>
        <v>1.1659143407643635</v>
      </c>
      <c r="AH141" s="97">
        <f t="shared" si="185"/>
        <v>7.0445949151666701E-2</v>
      </c>
      <c r="AI141" s="97">
        <f t="shared" si="214"/>
        <v>1.407</v>
      </c>
      <c r="AJ141" s="100">
        <f t="shared" si="215"/>
        <v>1.4774459491516667</v>
      </c>
      <c r="AK141" s="99">
        <f t="shared" si="186"/>
        <v>0.33500000000000002</v>
      </c>
      <c r="AL141" s="97">
        <f t="shared" si="187"/>
        <v>0.67314095849235034</v>
      </c>
      <c r="AM141" s="97">
        <f t="shared" si="188"/>
        <v>0.11256000000000001</v>
      </c>
      <c r="AN141" s="97">
        <f t="shared" si="189"/>
        <v>0.75525000000000009</v>
      </c>
      <c r="AO141" s="100">
        <f t="shared" si="216"/>
        <v>0.86781000000000008</v>
      </c>
      <c r="AP141" s="99">
        <f t="shared" si="217"/>
        <v>0</v>
      </c>
      <c r="AQ141" s="97">
        <f t="shared" si="190"/>
        <v>8.7499999999999994E-2</v>
      </c>
      <c r="AR141" s="100">
        <f t="shared" si="191"/>
        <v>1.155E-2</v>
      </c>
      <c r="AS141" s="99">
        <f t="shared" si="148"/>
        <v>1.5764959491516666</v>
      </c>
      <c r="AT141" s="215">
        <f t="shared" si="192"/>
        <v>119.58975694909999</v>
      </c>
      <c r="AU141" s="216">
        <f t="shared" si="193"/>
        <v>7.6333811762556242E-2</v>
      </c>
      <c r="AV141" s="97">
        <f t="shared" si="194"/>
        <v>16.080000000000002</v>
      </c>
      <c r="AW141" s="100">
        <f t="shared" si="218"/>
        <v>91.071297760938734</v>
      </c>
      <c r="AX141" s="32"/>
      <c r="AY141" s="99">
        <f t="shared" si="195"/>
        <v>60</v>
      </c>
      <c r="AZ141" s="97">
        <f t="shared" si="196"/>
        <v>0.26800000000000002</v>
      </c>
      <c r="BA141" s="97">
        <f t="shared" si="197"/>
        <v>15</v>
      </c>
      <c r="BB141" s="100">
        <f t="shared" si="198"/>
        <v>1.34</v>
      </c>
      <c r="BC141" s="99">
        <f t="shared" si="199"/>
        <v>2</v>
      </c>
      <c r="BD141" s="97">
        <f t="shared" si="200"/>
        <v>0.75</v>
      </c>
      <c r="BE141" s="100">
        <f t="shared" si="201"/>
        <v>0.25</v>
      </c>
      <c r="BF141" s="99">
        <f t="shared" si="202"/>
        <v>0.45000000000000007</v>
      </c>
      <c r="BG141" s="97">
        <f t="shared" si="146"/>
        <v>1.5650000000000002</v>
      </c>
      <c r="BH141" s="97">
        <f t="shared" si="147"/>
        <v>1.3462819169847007</v>
      </c>
      <c r="BI141" s="97">
        <v>0</v>
      </c>
      <c r="BJ141" s="97">
        <f t="shared" si="203"/>
        <v>1.8124750000000005E-2</v>
      </c>
      <c r="BK141" s="100">
        <f t="shared" si="219"/>
        <v>1.8124750000000005E-2</v>
      </c>
      <c r="BL141" s="99">
        <f t="shared" si="231"/>
        <v>1.0050000000000001</v>
      </c>
      <c r="BM141" s="97">
        <f t="shared" si="220"/>
        <v>1.1659143407643635</v>
      </c>
      <c r="BN141" s="97">
        <f t="shared" si="221"/>
        <v>0.10376484410575436</v>
      </c>
      <c r="BO141" s="97">
        <f t="shared" si="222"/>
        <v>1.407</v>
      </c>
      <c r="BP141" s="100">
        <f t="shared" si="223"/>
        <v>1.5107648441057544</v>
      </c>
      <c r="BQ141" s="99">
        <f t="shared" si="224"/>
        <v>0.33500000000000002</v>
      </c>
      <c r="BR141" s="97">
        <f t="shared" si="204"/>
        <v>0.67314095849235034</v>
      </c>
      <c r="BS141" s="97">
        <f t="shared" si="205"/>
        <v>0.11256000000000001</v>
      </c>
      <c r="BT141" s="97">
        <f t="shared" si="206"/>
        <v>0.75525000000000009</v>
      </c>
      <c r="BU141" s="100">
        <f t="shared" si="225"/>
        <v>0.86781000000000008</v>
      </c>
      <c r="BV141" s="99">
        <f t="shared" si="226"/>
        <v>0</v>
      </c>
      <c r="BW141" s="97">
        <f t="shared" si="207"/>
        <v>8.7499999999999994E-2</v>
      </c>
      <c r="BX141" s="100">
        <f t="shared" si="208"/>
        <v>1.155E-2</v>
      </c>
      <c r="BY141" s="99">
        <f t="shared" si="227"/>
        <v>2.4957495941057548</v>
      </c>
      <c r="BZ141" s="97">
        <f t="shared" si="228"/>
        <v>16.080000000000002</v>
      </c>
      <c r="CA141" s="100">
        <f t="shared" si="229"/>
        <v>86.56447438924522</v>
      </c>
      <c r="CB141" s="51">
        <f t="shared" si="230"/>
        <v>1.6098148441057543</v>
      </c>
      <c r="CC141" s="32">
        <f t="shared" si="209"/>
        <v>81.343519543701404</v>
      </c>
    </row>
    <row r="142" spans="17:81" x14ac:dyDescent="0.3">
      <c r="Q142" s="32">
        <v>135</v>
      </c>
      <c r="S142" s="99">
        <f t="shared" si="175"/>
        <v>60</v>
      </c>
      <c r="T142" s="97">
        <f t="shared" si="210"/>
        <v>0.27</v>
      </c>
      <c r="U142" s="97">
        <f t="shared" si="176"/>
        <v>15</v>
      </c>
      <c r="V142" s="100">
        <f t="shared" si="177"/>
        <v>1.3500000000000003</v>
      </c>
      <c r="W142" s="99">
        <f t="shared" si="178"/>
        <v>2</v>
      </c>
      <c r="X142" s="97">
        <f t="shared" si="179"/>
        <v>0.75</v>
      </c>
      <c r="Y142" s="100">
        <f t="shared" si="180"/>
        <v>0.25</v>
      </c>
      <c r="Z142" s="99">
        <f t="shared" si="181"/>
        <v>0.45000000000000007</v>
      </c>
      <c r="AA142" s="97">
        <f t="shared" si="211"/>
        <v>1.5750000000000004</v>
      </c>
      <c r="AB142" s="97">
        <f t="shared" si="212"/>
        <v>1.3562355990018846</v>
      </c>
      <c r="AC142" s="97">
        <v>0</v>
      </c>
      <c r="AD142" s="97">
        <f t="shared" si="182"/>
        <v>1.8393750000000011E-2</v>
      </c>
      <c r="AE142" s="100">
        <f t="shared" si="213"/>
        <v>1.8393750000000011E-2</v>
      </c>
      <c r="AF142" s="99">
        <f t="shared" si="183"/>
        <v>1.0125000000000002</v>
      </c>
      <c r="AG142" s="97">
        <f t="shared" si="184"/>
        <v>1.1745344822524373</v>
      </c>
      <c r="AH142" s="97">
        <f t="shared" si="185"/>
        <v>7.1491478625000077E-2</v>
      </c>
      <c r="AI142" s="97">
        <f t="shared" si="214"/>
        <v>1.4175000000000002</v>
      </c>
      <c r="AJ142" s="100">
        <f t="shared" si="215"/>
        <v>1.4889914786250003</v>
      </c>
      <c r="AK142" s="99">
        <f t="shared" si="186"/>
        <v>0.33750000000000008</v>
      </c>
      <c r="AL142" s="97">
        <f t="shared" si="187"/>
        <v>0.67811779950094231</v>
      </c>
      <c r="AM142" s="97">
        <f t="shared" si="188"/>
        <v>0.1134</v>
      </c>
      <c r="AN142" s="97">
        <f t="shared" si="189"/>
        <v>0.75525000000000009</v>
      </c>
      <c r="AO142" s="100">
        <f t="shared" si="216"/>
        <v>0.86865000000000014</v>
      </c>
      <c r="AP142" s="99">
        <f t="shared" si="217"/>
        <v>0</v>
      </c>
      <c r="AQ142" s="97">
        <f t="shared" si="190"/>
        <v>8.7499999999999994E-2</v>
      </c>
      <c r="AR142" s="100">
        <f t="shared" si="191"/>
        <v>1.155E-2</v>
      </c>
      <c r="AS142" s="99">
        <f t="shared" si="148"/>
        <v>1.5880414786250001</v>
      </c>
      <c r="AT142" s="215">
        <f t="shared" si="192"/>
        <v>120.2824887175</v>
      </c>
      <c r="AU142" s="216">
        <f t="shared" si="193"/>
        <v>7.6502913436957615E-2</v>
      </c>
      <c r="AV142" s="97">
        <f t="shared" si="194"/>
        <v>16.200000000000003</v>
      </c>
      <c r="AW142" s="100">
        <f t="shared" si="218"/>
        <v>91.072420870317444</v>
      </c>
      <c r="AX142" s="32"/>
      <c r="AY142" s="99">
        <f t="shared" si="195"/>
        <v>60</v>
      </c>
      <c r="AZ142" s="97">
        <f t="shared" si="196"/>
        <v>0.27</v>
      </c>
      <c r="BA142" s="97">
        <f t="shared" si="197"/>
        <v>15</v>
      </c>
      <c r="BB142" s="100">
        <f t="shared" si="198"/>
        <v>1.3500000000000003</v>
      </c>
      <c r="BC142" s="99">
        <f t="shared" si="199"/>
        <v>2</v>
      </c>
      <c r="BD142" s="97">
        <f t="shared" si="200"/>
        <v>0.75</v>
      </c>
      <c r="BE142" s="100">
        <f t="shared" si="201"/>
        <v>0.25</v>
      </c>
      <c r="BF142" s="99">
        <f t="shared" si="202"/>
        <v>0.45000000000000007</v>
      </c>
      <c r="BG142" s="97">
        <f t="shared" si="146"/>
        <v>1.5750000000000004</v>
      </c>
      <c r="BH142" s="97">
        <f t="shared" si="147"/>
        <v>1.3562355990018846</v>
      </c>
      <c r="BI142" s="97">
        <v>0</v>
      </c>
      <c r="BJ142" s="97">
        <f t="shared" si="203"/>
        <v>1.8393750000000011E-2</v>
      </c>
      <c r="BK142" s="100">
        <f t="shared" si="219"/>
        <v>1.8393750000000011E-2</v>
      </c>
      <c r="BL142" s="99">
        <f t="shared" si="231"/>
        <v>1.0125000000000002</v>
      </c>
      <c r="BM142" s="97">
        <f t="shared" si="220"/>
        <v>1.1745344822524373</v>
      </c>
      <c r="BN142" s="97">
        <f t="shared" si="221"/>
        <v>0.10553815980232802</v>
      </c>
      <c r="BO142" s="97">
        <f t="shared" si="222"/>
        <v>1.4175000000000002</v>
      </c>
      <c r="BP142" s="100">
        <f t="shared" si="223"/>
        <v>1.5230381598023282</v>
      </c>
      <c r="BQ142" s="99">
        <f t="shared" si="224"/>
        <v>0.33750000000000008</v>
      </c>
      <c r="BR142" s="97">
        <f t="shared" si="204"/>
        <v>0.67811779950094231</v>
      </c>
      <c r="BS142" s="97">
        <f t="shared" si="205"/>
        <v>0.1134</v>
      </c>
      <c r="BT142" s="97">
        <f t="shared" si="206"/>
        <v>0.75525000000000009</v>
      </c>
      <c r="BU142" s="100">
        <f t="shared" si="225"/>
        <v>0.86865000000000014</v>
      </c>
      <c r="BV142" s="99">
        <f t="shared" si="226"/>
        <v>0</v>
      </c>
      <c r="BW142" s="97">
        <f t="shared" si="207"/>
        <v>8.7499999999999994E-2</v>
      </c>
      <c r="BX142" s="100">
        <f t="shared" si="208"/>
        <v>1.155E-2</v>
      </c>
      <c r="BY142" s="99">
        <f t="shared" si="227"/>
        <v>2.5091319098023281</v>
      </c>
      <c r="BZ142" s="97">
        <f t="shared" si="228"/>
        <v>16.200000000000003</v>
      </c>
      <c r="CA142" s="100">
        <f t="shared" si="229"/>
        <v>86.58873152480308</v>
      </c>
      <c r="CB142" s="51">
        <f t="shared" si="230"/>
        <v>1.622088159802328</v>
      </c>
      <c r="CC142" s="32">
        <f t="shared" si="209"/>
        <v>81.773085593081476</v>
      </c>
    </row>
    <row r="143" spans="17:81" x14ac:dyDescent="0.3">
      <c r="Q143" s="32">
        <v>136</v>
      </c>
      <c r="S143" s="99">
        <f t="shared" si="175"/>
        <v>60</v>
      </c>
      <c r="T143" s="97">
        <f t="shared" si="210"/>
        <v>0.27200000000000002</v>
      </c>
      <c r="U143" s="97">
        <f t="shared" si="176"/>
        <v>15</v>
      </c>
      <c r="V143" s="100">
        <f t="shared" si="177"/>
        <v>1.36</v>
      </c>
      <c r="W143" s="99">
        <f t="shared" si="178"/>
        <v>2</v>
      </c>
      <c r="X143" s="97">
        <f t="shared" si="179"/>
        <v>0.75</v>
      </c>
      <c r="Y143" s="100">
        <f t="shared" si="180"/>
        <v>0.25</v>
      </c>
      <c r="Z143" s="99">
        <f t="shared" si="181"/>
        <v>0.45000000000000007</v>
      </c>
      <c r="AA143" s="97">
        <f t="shared" si="211"/>
        <v>1.5850000000000002</v>
      </c>
      <c r="AB143" s="97">
        <f t="shared" si="212"/>
        <v>1.36618995750957</v>
      </c>
      <c r="AC143" s="97">
        <v>0</v>
      </c>
      <c r="AD143" s="97">
        <f t="shared" si="182"/>
        <v>1.8664750000000004E-2</v>
      </c>
      <c r="AE143" s="100">
        <f t="shared" si="213"/>
        <v>1.8664750000000004E-2</v>
      </c>
      <c r="AF143" s="99">
        <f t="shared" si="183"/>
        <v>1.02</v>
      </c>
      <c r="AG143" s="97">
        <f t="shared" si="184"/>
        <v>1.1831552095984703</v>
      </c>
      <c r="AH143" s="97">
        <f t="shared" si="185"/>
        <v>7.2544781551666701E-2</v>
      </c>
      <c r="AI143" s="97">
        <f t="shared" si="214"/>
        <v>1.4280000000000002</v>
      </c>
      <c r="AJ143" s="100">
        <f t="shared" si="215"/>
        <v>1.5005447815516668</v>
      </c>
      <c r="AK143" s="99">
        <f t="shared" si="186"/>
        <v>0.34</v>
      </c>
      <c r="AL143" s="97">
        <f t="shared" si="187"/>
        <v>0.68309497875478487</v>
      </c>
      <c r="AM143" s="97">
        <f t="shared" si="188"/>
        <v>0.11424000000000001</v>
      </c>
      <c r="AN143" s="97">
        <f t="shared" si="189"/>
        <v>0.75525000000000009</v>
      </c>
      <c r="AO143" s="100">
        <f t="shared" si="216"/>
        <v>0.8694900000000001</v>
      </c>
      <c r="AP143" s="99">
        <f t="shared" si="217"/>
        <v>0</v>
      </c>
      <c r="AQ143" s="97">
        <f t="shared" si="190"/>
        <v>8.7499999999999994E-2</v>
      </c>
      <c r="AR143" s="100">
        <f t="shared" si="191"/>
        <v>1.155E-2</v>
      </c>
      <c r="AS143" s="99">
        <f t="shared" si="148"/>
        <v>1.5995947815516667</v>
      </c>
      <c r="AT143" s="215">
        <f t="shared" si="192"/>
        <v>120.9756868931</v>
      </c>
      <c r="AU143" s="216">
        <f t="shared" si="193"/>
        <v>7.6672128965295058E-2</v>
      </c>
      <c r="AV143" s="97">
        <f t="shared" si="194"/>
        <v>16.32</v>
      </c>
      <c r="AW143" s="100">
        <f t="shared" si="218"/>
        <v>91.073487983118568</v>
      </c>
      <c r="AX143" s="32"/>
      <c r="AY143" s="99">
        <f t="shared" si="195"/>
        <v>60</v>
      </c>
      <c r="AZ143" s="97">
        <f t="shared" si="196"/>
        <v>0.27200000000000002</v>
      </c>
      <c r="BA143" s="97">
        <f t="shared" si="197"/>
        <v>15</v>
      </c>
      <c r="BB143" s="100">
        <f t="shared" si="198"/>
        <v>1.36</v>
      </c>
      <c r="BC143" s="99">
        <f t="shared" si="199"/>
        <v>2</v>
      </c>
      <c r="BD143" s="97">
        <f t="shared" si="200"/>
        <v>0.75</v>
      </c>
      <c r="BE143" s="100">
        <f t="shared" si="201"/>
        <v>0.25</v>
      </c>
      <c r="BF143" s="99">
        <f t="shared" si="202"/>
        <v>0.45000000000000007</v>
      </c>
      <c r="BG143" s="97">
        <f t="shared" si="146"/>
        <v>1.5850000000000002</v>
      </c>
      <c r="BH143" s="97">
        <f t="shared" si="147"/>
        <v>1.36618995750957</v>
      </c>
      <c r="BI143" s="97">
        <v>0</v>
      </c>
      <c r="BJ143" s="97">
        <f t="shared" si="203"/>
        <v>1.8664750000000004E-2</v>
      </c>
      <c r="BK143" s="100">
        <f t="shared" si="219"/>
        <v>1.8664750000000004E-2</v>
      </c>
      <c r="BL143" s="99">
        <f t="shared" si="231"/>
        <v>1.02</v>
      </c>
      <c r="BM143" s="97">
        <f t="shared" si="220"/>
        <v>1.1831552095984703</v>
      </c>
      <c r="BN143" s="97">
        <f t="shared" si="221"/>
        <v>0.10732995893287434</v>
      </c>
      <c r="BO143" s="97">
        <f t="shared" si="222"/>
        <v>1.4280000000000002</v>
      </c>
      <c r="BP143" s="100">
        <f t="shared" si="223"/>
        <v>1.5353299589328744</v>
      </c>
      <c r="BQ143" s="99">
        <f t="shared" si="224"/>
        <v>0.34</v>
      </c>
      <c r="BR143" s="97">
        <f t="shared" si="204"/>
        <v>0.68309497875478487</v>
      </c>
      <c r="BS143" s="97">
        <f t="shared" si="205"/>
        <v>0.11424000000000001</v>
      </c>
      <c r="BT143" s="97">
        <f t="shared" si="206"/>
        <v>0.75525000000000009</v>
      </c>
      <c r="BU143" s="100">
        <f t="shared" si="225"/>
        <v>0.8694900000000001</v>
      </c>
      <c r="BV143" s="99">
        <f t="shared" si="226"/>
        <v>0</v>
      </c>
      <c r="BW143" s="97">
        <f t="shared" si="207"/>
        <v>8.7499999999999994E-2</v>
      </c>
      <c r="BX143" s="100">
        <f t="shared" si="208"/>
        <v>1.155E-2</v>
      </c>
      <c r="BY143" s="99">
        <f t="shared" si="227"/>
        <v>2.5225347089328745</v>
      </c>
      <c r="BZ143" s="97">
        <f t="shared" si="228"/>
        <v>16.32</v>
      </c>
      <c r="CA143" s="100">
        <f t="shared" si="229"/>
        <v>86.612551082434834</v>
      </c>
      <c r="CB143" s="51">
        <f t="shared" si="230"/>
        <v>1.6343799589328742</v>
      </c>
      <c r="CC143" s="32">
        <f t="shared" si="209"/>
        <v>82.203298562650602</v>
      </c>
    </row>
    <row r="144" spans="17:81" x14ac:dyDescent="0.3">
      <c r="Q144" s="32">
        <v>137</v>
      </c>
      <c r="S144" s="99">
        <f t="shared" si="175"/>
        <v>60</v>
      </c>
      <c r="T144" s="97">
        <f t="shared" si="210"/>
        <v>0.27400000000000002</v>
      </c>
      <c r="U144" s="97">
        <f t="shared" si="176"/>
        <v>15</v>
      </c>
      <c r="V144" s="100">
        <f t="shared" si="177"/>
        <v>1.37</v>
      </c>
      <c r="W144" s="99">
        <f t="shared" si="178"/>
        <v>2</v>
      </c>
      <c r="X144" s="97">
        <f t="shared" si="179"/>
        <v>0.75</v>
      </c>
      <c r="Y144" s="100">
        <f t="shared" si="180"/>
        <v>0.25</v>
      </c>
      <c r="Z144" s="99">
        <f t="shared" si="181"/>
        <v>0.45000000000000007</v>
      </c>
      <c r="AA144" s="97">
        <f t="shared" si="211"/>
        <v>1.5950000000000002</v>
      </c>
      <c r="AB144" s="97">
        <f t="shared" si="212"/>
        <v>1.3761449778275545</v>
      </c>
      <c r="AC144" s="97">
        <v>0</v>
      </c>
      <c r="AD144" s="97">
        <f t="shared" si="182"/>
        <v>1.8937750000000003E-2</v>
      </c>
      <c r="AE144" s="100">
        <f t="shared" si="213"/>
        <v>1.8937750000000003E-2</v>
      </c>
      <c r="AF144" s="99">
        <f t="shared" si="183"/>
        <v>1.0275000000000001</v>
      </c>
      <c r="AG144" s="97">
        <f t="shared" si="184"/>
        <v>1.1917765100890352</v>
      </c>
      <c r="AH144" s="97">
        <f t="shared" si="185"/>
        <v>7.3605857931666699E-2</v>
      </c>
      <c r="AI144" s="97">
        <f t="shared" si="214"/>
        <v>1.4384999999999999</v>
      </c>
      <c r="AJ144" s="100">
        <f t="shared" si="215"/>
        <v>1.5121058579316666</v>
      </c>
      <c r="AK144" s="99">
        <f t="shared" si="186"/>
        <v>0.34250000000000003</v>
      </c>
      <c r="AL144" s="97">
        <f t="shared" si="187"/>
        <v>0.68807248891377726</v>
      </c>
      <c r="AM144" s="97">
        <f t="shared" si="188"/>
        <v>0.11508</v>
      </c>
      <c r="AN144" s="97">
        <f t="shared" si="189"/>
        <v>0.75525000000000009</v>
      </c>
      <c r="AO144" s="100">
        <f t="shared" si="216"/>
        <v>0.87033000000000005</v>
      </c>
      <c r="AP144" s="99">
        <f t="shared" si="217"/>
        <v>0</v>
      </c>
      <c r="AQ144" s="97">
        <f t="shared" si="190"/>
        <v>8.7499999999999994E-2</v>
      </c>
      <c r="AR144" s="100">
        <f t="shared" si="191"/>
        <v>1.155E-2</v>
      </c>
      <c r="AS144" s="99">
        <f t="shared" si="148"/>
        <v>1.6111558579316665</v>
      </c>
      <c r="AT144" s="215">
        <f t="shared" si="192"/>
        <v>121.66935147589999</v>
      </c>
      <c r="AU144" s="216">
        <f t="shared" si="193"/>
        <v>7.6841458347568573E-2</v>
      </c>
      <c r="AV144" s="97">
        <f t="shared" si="194"/>
        <v>16.440000000000001</v>
      </c>
      <c r="AW144" s="100">
        <f t="shared" si="218"/>
        <v>91.074500322239885</v>
      </c>
      <c r="AX144" s="32"/>
      <c r="AY144" s="99">
        <f t="shared" si="195"/>
        <v>60</v>
      </c>
      <c r="AZ144" s="97">
        <f t="shared" si="196"/>
        <v>0.27400000000000002</v>
      </c>
      <c r="BA144" s="97">
        <f t="shared" si="197"/>
        <v>15</v>
      </c>
      <c r="BB144" s="100">
        <f t="shared" si="198"/>
        <v>1.37</v>
      </c>
      <c r="BC144" s="99">
        <f t="shared" si="199"/>
        <v>2</v>
      </c>
      <c r="BD144" s="97">
        <f t="shared" si="200"/>
        <v>0.75</v>
      </c>
      <c r="BE144" s="100">
        <f t="shared" si="201"/>
        <v>0.25</v>
      </c>
      <c r="BF144" s="99">
        <f t="shared" si="202"/>
        <v>0.45000000000000007</v>
      </c>
      <c r="BG144" s="97">
        <f t="shared" ref="BG144:BG157" si="232">CHOOSE(BC144,BF144,BB144+(0.5*BF144))</f>
        <v>1.5950000000000002</v>
      </c>
      <c r="BH144" s="97">
        <f t="shared" ref="BH144:BH157" si="233">CHOOSE(BC144,BG144*SQRT((BD144+BE144)/3),SQRT((BB144^2)+((BF144^2)/12)))</f>
        <v>1.3761449778275545</v>
      </c>
      <c r="BI144" s="97">
        <v>0</v>
      </c>
      <c r="BJ144" s="97">
        <f t="shared" si="203"/>
        <v>1.8937750000000003E-2</v>
      </c>
      <c r="BK144" s="100">
        <f t="shared" si="219"/>
        <v>1.8937750000000003E-2</v>
      </c>
      <c r="BL144" s="99">
        <f t="shared" si="231"/>
        <v>1.0275000000000001</v>
      </c>
      <c r="BM144" s="97">
        <f t="shared" si="220"/>
        <v>1.1917765100890352</v>
      </c>
      <c r="BN144" s="97">
        <f t="shared" si="221"/>
        <v>0.10914032458662502</v>
      </c>
      <c r="BO144" s="97">
        <f t="shared" si="222"/>
        <v>1.4384999999999999</v>
      </c>
      <c r="BP144" s="100">
        <f t="shared" si="223"/>
        <v>1.5476403245866248</v>
      </c>
      <c r="BQ144" s="99">
        <f t="shared" si="224"/>
        <v>0.34250000000000003</v>
      </c>
      <c r="BR144" s="97">
        <f t="shared" si="204"/>
        <v>0.68807248891377726</v>
      </c>
      <c r="BS144" s="97">
        <f t="shared" si="205"/>
        <v>0.11508</v>
      </c>
      <c r="BT144" s="97">
        <f t="shared" si="206"/>
        <v>0.75525000000000009</v>
      </c>
      <c r="BU144" s="100">
        <f t="shared" si="225"/>
        <v>0.87033000000000005</v>
      </c>
      <c r="BV144" s="99">
        <f t="shared" si="226"/>
        <v>0</v>
      </c>
      <c r="BW144" s="97">
        <f t="shared" si="207"/>
        <v>8.7499999999999994E-2</v>
      </c>
      <c r="BX144" s="100">
        <f t="shared" si="208"/>
        <v>1.155E-2</v>
      </c>
      <c r="BY144" s="99">
        <f t="shared" si="227"/>
        <v>2.5359580745866248</v>
      </c>
      <c r="BZ144" s="97">
        <f t="shared" si="228"/>
        <v>16.440000000000001</v>
      </c>
      <c r="CA144" s="100">
        <f t="shared" si="229"/>
        <v>86.635941834299885</v>
      </c>
      <c r="CB144" s="51">
        <f t="shared" si="230"/>
        <v>1.6466903245866247</v>
      </c>
      <c r="CC144" s="32">
        <f t="shared" si="209"/>
        <v>82.634161360531863</v>
      </c>
    </row>
    <row r="145" spans="17:81" x14ac:dyDescent="0.3">
      <c r="Q145" s="32">
        <v>138</v>
      </c>
      <c r="S145" s="99">
        <f t="shared" si="175"/>
        <v>60</v>
      </c>
      <c r="T145" s="97">
        <f t="shared" si="210"/>
        <v>0.27600000000000002</v>
      </c>
      <c r="U145" s="97">
        <f t="shared" si="176"/>
        <v>15</v>
      </c>
      <c r="V145" s="100">
        <f t="shared" si="177"/>
        <v>1.3800000000000001</v>
      </c>
      <c r="W145" s="99">
        <f t="shared" si="178"/>
        <v>2</v>
      </c>
      <c r="X145" s="97">
        <f t="shared" si="179"/>
        <v>0.75</v>
      </c>
      <c r="Y145" s="100">
        <f t="shared" si="180"/>
        <v>0.25</v>
      </c>
      <c r="Z145" s="99">
        <f t="shared" si="181"/>
        <v>0.45000000000000007</v>
      </c>
      <c r="AA145" s="97">
        <f t="shared" si="211"/>
        <v>1.6050000000000002</v>
      </c>
      <c r="AB145" s="97">
        <f t="shared" si="212"/>
        <v>1.3861006456964085</v>
      </c>
      <c r="AC145" s="97">
        <v>0</v>
      </c>
      <c r="AD145" s="97">
        <f t="shared" si="182"/>
        <v>1.9212750000000004E-2</v>
      </c>
      <c r="AE145" s="100">
        <f t="shared" si="213"/>
        <v>1.9212750000000004E-2</v>
      </c>
      <c r="AF145" s="99">
        <f t="shared" si="183"/>
        <v>1.0350000000000001</v>
      </c>
      <c r="AG145" s="97">
        <f t="shared" si="184"/>
        <v>1.2003983713751032</v>
      </c>
      <c r="AH145" s="97">
        <f t="shared" si="185"/>
        <v>7.4674707765000028E-2</v>
      </c>
      <c r="AI145" s="97">
        <f t="shared" si="214"/>
        <v>1.4490000000000001</v>
      </c>
      <c r="AJ145" s="100">
        <f t="shared" si="215"/>
        <v>1.5236747077650001</v>
      </c>
      <c r="AK145" s="99">
        <f t="shared" si="186"/>
        <v>0.34500000000000003</v>
      </c>
      <c r="AL145" s="97">
        <f t="shared" si="187"/>
        <v>0.69305032284820411</v>
      </c>
      <c r="AM145" s="97">
        <f t="shared" si="188"/>
        <v>0.11592000000000001</v>
      </c>
      <c r="AN145" s="97">
        <f t="shared" si="189"/>
        <v>0.75525000000000009</v>
      </c>
      <c r="AO145" s="100">
        <f t="shared" si="216"/>
        <v>0.87117000000000011</v>
      </c>
      <c r="AP145" s="99">
        <f t="shared" si="217"/>
        <v>0</v>
      </c>
      <c r="AQ145" s="97">
        <f t="shared" si="190"/>
        <v>8.7499999999999994E-2</v>
      </c>
      <c r="AR145" s="100">
        <f t="shared" si="191"/>
        <v>1.155E-2</v>
      </c>
      <c r="AS145" s="99">
        <f t="shared" si="148"/>
        <v>1.622724707765</v>
      </c>
      <c r="AT145" s="215">
        <f t="shared" si="192"/>
        <v>122.36348246590001</v>
      </c>
      <c r="AU145" s="216">
        <f t="shared" si="193"/>
        <v>7.7010901583778157E-2</v>
      </c>
      <c r="AV145" s="97">
        <f t="shared" si="194"/>
        <v>16.560000000000002</v>
      </c>
      <c r="AW145" s="100">
        <f t="shared" si="218"/>
        <v>91.075459075327643</v>
      </c>
      <c r="AX145" s="32"/>
      <c r="AY145" s="99">
        <f t="shared" si="195"/>
        <v>60</v>
      </c>
      <c r="AZ145" s="97">
        <f t="shared" si="196"/>
        <v>0.27600000000000002</v>
      </c>
      <c r="BA145" s="97">
        <f t="shared" si="197"/>
        <v>15</v>
      </c>
      <c r="BB145" s="100">
        <f t="shared" si="198"/>
        <v>1.3800000000000001</v>
      </c>
      <c r="BC145" s="99">
        <f t="shared" si="199"/>
        <v>2</v>
      </c>
      <c r="BD145" s="97">
        <f t="shared" si="200"/>
        <v>0.75</v>
      </c>
      <c r="BE145" s="100">
        <f t="shared" si="201"/>
        <v>0.25</v>
      </c>
      <c r="BF145" s="99">
        <f t="shared" si="202"/>
        <v>0.45000000000000007</v>
      </c>
      <c r="BG145" s="97">
        <f t="shared" si="232"/>
        <v>1.6050000000000002</v>
      </c>
      <c r="BH145" s="97">
        <f t="shared" si="233"/>
        <v>1.3861006456964085</v>
      </c>
      <c r="BI145" s="97">
        <v>0</v>
      </c>
      <c r="BJ145" s="97">
        <f t="shared" si="203"/>
        <v>1.9212750000000004E-2</v>
      </c>
      <c r="BK145" s="100">
        <f t="shared" si="219"/>
        <v>1.9212750000000004E-2</v>
      </c>
      <c r="BL145" s="99">
        <f t="shared" si="231"/>
        <v>1.0350000000000001</v>
      </c>
      <c r="BM145" s="97">
        <f t="shared" si="220"/>
        <v>1.2003983713751032</v>
      </c>
      <c r="BN145" s="97">
        <f t="shared" si="221"/>
        <v>0.11096933995528005</v>
      </c>
      <c r="BO145" s="97">
        <f t="shared" si="222"/>
        <v>1.4490000000000001</v>
      </c>
      <c r="BP145" s="100">
        <f t="shared" si="223"/>
        <v>1.5599693399552801</v>
      </c>
      <c r="BQ145" s="99">
        <f t="shared" si="224"/>
        <v>0.34500000000000003</v>
      </c>
      <c r="BR145" s="97">
        <f t="shared" si="204"/>
        <v>0.69305032284820411</v>
      </c>
      <c r="BS145" s="97">
        <f t="shared" si="205"/>
        <v>0.11592000000000001</v>
      </c>
      <c r="BT145" s="97">
        <f t="shared" si="206"/>
        <v>0.75525000000000009</v>
      </c>
      <c r="BU145" s="100">
        <f t="shared" si="225"/>
        <v>0.87117000000000011</v>
      </c>
      <c r="BV145" s="99">
        <f t="shared" si="226"/>
        <v>0</v>
      </c>
      <c r="BW145" s="97">
        <f t="shared" si="207"/>
        <v>8.7499999999999994E-2</v>
      </c>
      <c r="BX145" s="100">
        <f t="shared" si="208"/>
        <v>1.155E-2</v>
      </c>
      <c r="BY145" s="99">
        <f t="shared" si="227"/>
        <v>2.5494020899552803</v>
      </c>
      <c r="BZ145" s="97">
        <f t="shared" si="228"/>
        <v>16.560000000000002</v>
      </c>
      <c r="CA145" s="100">
        <f t="shared" si="229"/>
        <v>86.658912309478524</v>
      </c>
      <c r="CB145" s="51">
        <f t="shared" si="230"/>
        <v>1.6590193399552799</v>
      </c>
      <c r="CC145" s="32">
        <f t="shared" si="209"/>
        <v>83.065676898434788</v>
      </c>
    </row>
    <row r="146" spans="17:81" x14ac:dyDescent="0.3">
      <c r="Q146" s="32">
        <v>139</v>
      </c>
      <c r="S146" s="99">
        <f t="shared" si="175"/>
        <v>60</v>
      </c>
      <c r="T146" s="97">
        <f t="shared" si="210"/>
        <v>0.27800000000000002</v>
      </c>
      <c r="U146" s="97">
        <f t="shared" si="176"/>
        <v>15</v>
      </c>
      <c r="V146" s="100">
        <f t="shared" si="177"/>
        <v>1.39</v>
      </c>
      <c r="W146" s="99">
        <f t="shared" si="178"/>
        <v>2</v>
      </c>
      <c r="X146" s="97">
        <f t="shared" si="179"/>
        <v>0.75</v>
      </c>
      <c r="Y146" s="100">
        <f t="shared" si="180"/>
        <v>0.25</v>
      </c>
      <c r="Z146" s="99">
        <f t="shared" si="181"/>
        <v>0.45000000000000007</v>
      </c>
      <c r="AA146" s="97">
        <f t="shared" si="211"/>
        <v>1.615</v>
      </c>
      <c r="AB146" s="97">
        <f t="shared" si="212"/>
        <v>1.396056947262539</v>
      </c>
      <c r="AC146" s="97">
        <v>0</v>
      </c>
      <c r="AD146" s="97">
        <f t="shared" si="182"/>
        <v>1.9489749999999997E-2</v>
      </c>
      <c r="AE146" s="100">
        <f t="shared" si="213"/>
        <v>1.9489749999999997E-2</v>
      </c>
      <c r="AF146" s="99">
        <f t="shared" si="183"/>
        <v>1.0425</v>
      </c>
      <c r="AG146" s="97">
        <f t="shared" si="184"/>
        <v>1.2090207814591112</v>
      </c>
      <c r="AH146" s="97">
        <f t="shared" si="185"/>
        <v>7.575133105166669E-2</v>
      </c>
      <c r="AI146" s="97">
        <f t="shared" si="214"/>
        <v>1.4594999999999998</v>
      </c>
      <c r="AJ146" s="100">
        <f t="shared" si="215"/>
        <v>1.5352513310516664</v>
      </c>
      <c r="AK146" s="99">
        <f t="shared" si="186"/>
        <v>0.34749999999999998</v>
      </c>
      <c r="AL146" s="97">
        <f t="shared" si="187"/>
        <v>0.69802847363126952</v>
      </c>
      <c r="AM146" s="97">
        <f t="shared" si="188"/>
        <v>0.11676</v>
      </c>
      <c r="AN146" s="97">
        <f t="shared" si="189"/>
        <v>0.75525000000000009</v>
      </c>
      <c r="AO146" s="100">
        <f t="shared" si="216"/>
        <v>0.87201000000000006</v>
      </c>
      <c r="AP146" s="99">
        <f t="shared" si="217"/>
        <v>0</v>
      </c>
      <c r="AQ146" s="97">
        <f t="shared" si="190"/>
        <v>8.7499999999999994E-2</v>
      </c>
      <c r="AR146" s="100">
        <f t="shared" si="191"/>
        <v>1.155E-2</v>
      </c>
      <c r="AS146" s="99">
        <f t="shared" si="148"/>
        <v>1.6343013310516663</v>
      </c>
      <c r="AT146" s="215">
        <f t="shared" si="192"/>
        <v>123.05807986309998</v>
      </c>
      <c r="AU146" s="216">
        <f t="shared" si="193"/>
        <v>7.7180458673923799E-2</v>
      </c>
      <c r="AV146" s="97">
        <f t="shared" si="194"/>
        <v>16.68</v>
      </c>
      <c r="AW146" s="100">
        <f t="shared" si="218"/>
        <v>91.07636539603763</v>
      </c>
      <c r="AX146" s="32"/>
      <c r="AY146" s="99">
        <f t="shared" si="195"/>
        <v>60</v>
      </c>
      <c r="AZ146" s="97">
        <f t="shared" si="196"/>
        <v>0.27800000000000002</v>
      </c>
      <c r="BA146" s="97">
        <f t="shared" si="197"/>
        <v>15</v>
      </c>
      <c r="BB146" s="100">
        <f t="shared" si="198"/>
        <v>1.39</v>
      </c>
      <c r="BC146" s="99">
        <f t="shared" si="199"/>
        <v>2</v>
      </c>
      <c r="BD146" s="97">
        <f t="shared" si="200"/>
        <v>0.75</v>
      </c>
      <c r="BE146" s="100">
        <f t="shared" si="201"/>
        <v>0.25</v>
      </c>
      <c r="BF146" s="99">
        <f t="shared" si="202"/>
        <v>0.45000000000000007</v>
      </c>
      <c r="BG146" s="97">
        <f t="shared" si="232"/>
        <v>1.615</v>
      </c>
      <c r="BH146" s="97">
        <f t="shared" si="233"/>
        <v>1.396056947262539</v>
      </c>
      <c r="BI146" s="97">
        <v>0</v>
      </c>
      <c r="BJ146" s="97">
        <f t="shared" si="203"/>
        <v>1.9489749999999997E-2</v>
      </c>
      <c r="BK146" s="100">
        <f t="shared" si="219"/>
        <v>1.9489749999999997E-2</v>
      </c>
      <c r="BL146" s="99">
        <f t="shared" si="231"/>
        <v>1.0425</v>
      </c>
      <c r="BM146" s="97">
        <f t="shared" si="220"/>
        <v>1.2090207814591112</v>
      </c>
      <c r="BN146" s="97">
        <f t="shared" si="221"/>
        <v>0.11281708833300798</v>
      </c>
      <c r="BO146" s="97">
        <f t="shared" si="222"/>
        <v>1.4594999999999998</v>
      </c>
      <c r="BP146" s="100">
        <f t="shared" si="223"/>
        <v>1.5723170883330078</v>
      </c>
      <c r="BQ146" s="99">
        <f t="shared" si="224"/>
        <v>0.34749999999999998</v>
      </c>
      <c r="BR146" s="97">
        <f t="shared" si="204"/>
        <v>0.69802847363126952</v>
      </c>
      <c r="BS146" s="97">
        <f t="shared" si="205"/>
        <v>0.11676</v>
      </c>
      <c r="BT146" s="97">
        <f t="shared" si="206"/>
        <v>0.75525000000000009</v>
      </c>
      <c r="BU146" s="100">
        <f t="shared" si="225"/>
        <v>0.87201000000000006</v>
      </c>
      <c r="BV146" s="99">
        <f t="shared" si="226"/>
        <v>0</v>
      </c>
      <c r="BW146" s="97">
        <f t="shared" si="207"/>
        <v>8.7499999999999994E-2</v>
      </c>
      <c r="BX146" s="100">
        <f t="shared" si="208"/>
        <v>1.155E-2</v>
      </c>
      <c r="BY146" s="99">
        <f t="shared" si="227"/>
        <v>2.562866838333008</v>
      </c>
      <c r="BZ146" s="97">
        <f t="shared" si="228"/>
        <v>16.68</v>
      </c>
      <c r="CA146" s="100">
        <f t="shared" si="229"/>
        <v>86.681470802325492</v>
      </c>
      <c r="CB146" s="51">
        <f t="shared" si="230"/>
        <v>1.6713670883330076</v>
      </c>
      <c r="CC146" s="32">
        <f t="shared" si="209"/>
        <v>83.497848091655271</v>
      </c>
    </row>
    <row r="147" spans="17:81" x14ac:dyDescent="0.3">
      <c r="Q147" s="32">
        <v>140</v>
      </c>
      <c r="S147" s="99">
        <f t="shared" si="175"/>
        <v>60</v>
      </c>
      <c r="T147" s="97">
        <f t="shared" si="210"/>
        <v>0.28000000000000003</v>
      </c>
      <c r="U147" s="97">
        <f t="shared" si="176"/>
        <v>15</v>
      </c>
      <c r="V147" s="100">
        <f t="shared" si="177"/>
        <v>1.4000000000000001</v>
      </c>
      <c r="W147" s="99">
        <f t="shared" si="178"/>
        <v>2</v>
      </c>
      <c r="X147" s="97">
        <f t="shared" si="179"/>
        <v>0.75</v>
      </c>
      <c r="Y147" s="100">
        <f t="shared" si="180"/>
        <v>0.25</v>
      </c>
      <c r="Z147" s="99">
        <f t="shared" si="181"/>
        <v>0.45000000000000007</v>
      </c>
      <c r="AA147" s="97">
        <f t="shared" si="211"/>
        <v>1.6250000000000002</v>
      </c>
      <c r="AB147" s="97">
        <f t="shared" si="212"/>
        <v>1.4060138690638868</v>
      </c>
      <c r="AC147" s="97">
        <v>0</v>
      </c>
      <c r="AD147" s="97">
        <f t="shared" si="182"/>
        <v>1.9768750000000005E-2</v>
      </c>
      <c r="AE147" s="100">
        <f t="shared" si="213"/>
        <v>1.9768750000000005E-2</v>
      </c>
      <c r="AF147" s="99">
        <f t="shared" si="183"/>
        <v>1.05</v>
      </c>
      <c r="AG147" s="97">
        <f t="shared" si="184"/>
        <v>1.2176437286825734</v>
      </c>
      <c r="AH147" s="97">
        <f t="shared" si="185"/>
        <v>7.6835727791666711E-2</v>
      </c>
      <c r="AI147" s="97">
        <f t="shared" si="214"/>
        <v>1.4700000000000002</v>
      </c>
      <c r="AJ147" s="100">
        <f t="shared" si="215"/>
        <v>1.5468357277916669</v>
      </c>
      <c r="AK147" s="99">
        <f t="shared" si="186"/>
        <v>0.35000000000000003</v>
      </c>
      <c r="AL147" s="97">
        <f t="shared" si="187"/>
        <v>0.70300693453194341</v>
      </c>
      <c r="AM147" s="97">
        <f t="shared" si="188"/>
        <v>0.11760000000000001</v>
      </c>
      <c r="AN147" s="97">
        <f t="shared" si="189"/>
        <v>0.75525000000000009</v>
      </c>
      <c r="AO147" s="100">
        <f t="shared" si="216"/>
        <v>0.87285000000000013</v>
      </c>
      <c r="AP147" s="99">
        <f t="shared" si="217"/>
        <v>0</v>
      </c>
      <c r="AQ147" s="97">
        <f t="shared" si="190"/>
        <v>8.7499999999999994E-2</v>
      </c>
      <c r="AR147" s="100">
        <f t="shared" si="191"/>
        <v>1.155E-2</v>
      </c>
      <c r="AS147" s="99">
        <f t="shared" si="148"/>
        <v>1.6458857277916668</v>
      </c>
      <c r="AT147" s="215">
        <f t="shared" si="192"/>
        <v>123.75314366750001</v>
      </c>
      <c r="AU147" s="216">
        <f t="shared" si="193"/>
        <v>7.7350129618005539E-2</v>
      </c>
      <c r="AV147" s="97">
        <f t="shared" si="194"/>
        <v>16.8</v>
      </c>
      <c r="AW147" s="100">
        <f t="shared" si="218"/>
        <v>91.077220405242571</v>
      </c>
      <c r="AX147" s="32"/>
      <c r="AY147" s="99">
        <f t="shared" si="195"/>
        <v>60</v>
      </c>
      <c r="AZ147" s="97">
        <f t="shared" si="196"/>
        <v>0.28000000000000003</v>
      </c>
      <c r="BA147" s="97">
        <f t="shared" si="197"/>
        <v>15</v>
      </c>
      <c r="BB147" s="100">
        <f t="shared" si="198"/>
        <v>1.4000000000000001</v>
      </c>
      <c r="BC147" s="99">
        <f t="shared" si="199"/>
        <v>2</v>
      </c>
      <c r="BD147" s="97">
        <f t="shared" si="200"/>
        <v>0.75</v>
      </c>
      <c r="BE147" s="100">
        <f t="shared" si="201"/>
        <v>0.25</v>
      </c>
      <c r="BF147" s="99">
        <f t="shared" si="202"/>
        <v>0.45000000000000007</v>
      </c>
      <c r="BG147" s="97">
        <f t="shared" si="232"/>
        <v>1.6250000000000002</v>
      </c>
      <c r="BH147" s="97">
        <f t="shared" si="233"/>
        <v>1.4060138690638868</v>
      </c>
      <c r="BI147" s="97">
        <v>0</v>
      </c>
      <c r="BJ147" s="97">
        <f t="shared" si="203"/>
        <v>1.9768750000000005E-2</v>
      </c>
      <c r="BK147" s="100">
        <f t="shared" si="219"/>
        <v>1.9768750000000005E-2</v>
      </c>
      <c r="BL147" s="99">
        <f t="shared" si="231"/>
        <v>1.05</v>
      </c>
      <c r="BM147" s="97">
        <f t="shared" si="220"/>
        <v>1.2176437286825734</v>
      </c>
      <c r="BN147" s="97">
        <f t="shared" si="221"/>
        <v>0.11468365311644606</v>
      </c>
      <c r="BO147" s="97">
        <f t="shared" si="222"/>
        <v>1.4700000000000002</v>
      </c>
      <c r="BP147" s="100">
        <f t="shared" si="223"/>
        <v>1.5846836531164463</v>
      </c>
      <c r="BQ147" s="99">
        <f t="shared" si="224"/>
        <v>0.35000000000000003</v>
      </c>
      <c r="BR147" s="97">
        <f t="shared" si="204"/>
        <v>0.70300693453194341</v>
      </c>
      <c r="BS147" s="97">
        <f t="shared" si="205"/>
        <v>0.11760000000000001</v>
      </c>
      <c r="BT147" s="97">
        <f t="shared" si="206"/>
        <v>0.75525000000000009</v>
      </c>
      <c r="BU147" s="100">
        <f t="shared" si="225"/>
        <v>0.87285000000000013</v>
      </c>
      <c r="BV147" s="99">
        <f t="shared" si="226"/>
        <v>0</v>
      </c>
      <c r="BW147" s="97">
        <f t="shared" si="207"/>
        <v>8.7499999999999994E-2</v>
      </c>
      <c r="BX147" s="100">
        <f t="shared" si="208"/>
        <v>1.155E-2</v>
      </c>
      <c r="BY147" s="99">
        <f t="shared" si="227"/>
        <v>2.5763524031164464</v>
      </c>
      <c r="BZ147" s="97">
        <f t="shared" si="228"/>
        <v>16.8</v>
      </c>
      <c r="CA147" s="100">
        <f t="shared" si="229"/>
        <v>86.703625380481469</v>
      </c>
      <c r="CB147" s="51">
        <f t="shared" si="230"/>
        <v>1.6837336531164462</v>
      </c>
      <c r="CC147" s="32">
        <f t="shared" si="209"/>
        <v>83.930677859075615</v>
      </c>
    </row>
    <row r="148" spans="17:81" x14ac:dyDescent="0.3">
      <c r="Q148" s="32">
        <v>141</v>
      </c>
      <c r="S148" s="99">
        <f t="shared" si="175"/>
        <v>60</v>
      </c>
      <c r="T148" s="97">
        <f t="shared" si="210"/>
        <v>0.28200000000000003</v>
      </c>
      <c r="U148" s="97">
        <f t="shared" si="176"/>
        <v>15</v>
      </c>
      <c r="V148" s="100">
        <f t="shared" si="177"/>
        <v>1.4100000000000001</v>
      </c>
      <c r="W148" s="99">
        <f t="shared" si="178"/>
        <v>2</v>
      </c>
      <c r="X148" s="97">
        <f t="shared" si="179"/>
        <v>0.75</v>
      </c>
      <c r="Y148" s="100">
        <f t="shared" si="180"/>
        <v>0.25</v>
      </c>
      <c r="Z148" s="99">
        <f t="shared" si="181"/>
        <v>0.45000000000000007</v>
      </c>
      <c r="AA148" s="97">
        <f t="shared" si="211"/>
        <v>1.6350000000000002</v>
      </c>
      <c r="AB148" s="97">
        <f t="shared" si="212"/>
        <v>1.4159713980162172</v>
      </c>
      <c r="AC148" s="97">
        <v>0</v>
      </c>
      <c r="AD148" s="97">
        <f t="shared" si="182"/>
        <v>2.0049750000000005E-2</v>
      </c>
      <c r="AE148" s="100">
        <f t="shared" si="213"/>
        <v>2.0049750000000005E-2</v>
      </c>
      <c r="AF148" s="99">
        <f t="shared" si="183"/>
        <v>1.0575000000000001</v>
      </c>
      <c r="AG148" s="97">
        <f t="shared" si="184"/>
        <v>1.2262672017142107</v>
      </c>
      <c r="AH148" s="97">
        <f t="shared" si="185"/>
        <v>7.792789798500005E-2</v>
      </c>
      <c r="AI148" s="97">
        <f t="shared" si="214"/>
        <v>1.4805000000000001</v>
      </c>
      <c r="AJ148" s="100">
        <f t="shared" si="215"/>
        <v>1.5584278979850001</v>
      </c>
      <c r="AK148" s="99">
        <f t="shared" si="186"/>
        <v>0.35250000000000004</v>
      </c>
      <c r="AL148" s="97">
        <f t="shared" si="187"/>
        <v>0.70798569900810859</v>
      </c>
      <c r="AM148" s="97">
        <f t="shared" si="188"/>
        <v>0.11844</v>
      </c>
      <c r="AN148" s="97">
        <f t="shared" si="189"/>
        <v>0.75525000000000009</v>
      </c>
      <c r="AO148" s="100">
        <f t="shared" si="216"/>
        <v>0.87369000000000008</v>
      </c>
      <c r="AP148" s="99">
        <f t="shared" si="217"/>
        <v>0</v>
      </c>
      <c r="AQ148" s="97">
        <f t="shared" si="190"/>
        <v>8.7499999999999994E-2</v>
      </c>
      <c r="AR148" s="100">
        <f t="shared" si="191"/>
        <v>1.155E-2</v>
      </c>
      <c r="AS148" s="99">
        <f t="shared" si="148"/>
        <v>1.657477897985</v>
      </c>
      <c r="AT148" s="215">
        <f t="shared" si="192"/>
        <v>124.4486738791</v>
      </c>
      <c r="AU148" s="216">
        <f t="shared" si="193"/>
        <v>7.7519914416023322E-2</v>
      </c>
      <c r="AV148" s="97">
        <f t="shared" si="194"/>
        <v>16.920000000000002</v>
      </c>
      <c r="AW148" s="100">
        <f t="shared" si="218"/>
        <v>91.078025192188335</v>
      </c>
      <c r="AX148" s="32"/>
      <c r="AY148" s="99">
        <f t="shared" si="195"/>
        <v>60</v>
      </c>
      <c r="AZ148" s="97">
        <f t="shared" si="196"/>
        <v>0.28200000000000003</v>
      </c>
      <c r="BA148" s="97">
        <f t="shared" si="197"/>
        <v>15</v>
      </c>
      <c r="BB148" s="100">
        <f t="shared" si="198"/>
        <v>1.4100000000000001</v>
      </c>
      <c r="BC148" s="99">
        <f t="shared" si="199"/>
        <v>2</v>
      </c>
      <c r="BD148" s="97">
        <f t="shared" si="200"/>
        <v>0.75</v>
      </c>
      <c r="BE148" s="100">
        <f t="shared" si="201"/>
        <v>0.25</v>
      </c>
      <c r="BF148" s="99">
        <f t="shared" si="202"/>
        <v>0.45000000000000007</v>
      </c>
      <c r="BG148" s="97">
        <f t="shared" si="232"/>
        <v>1.6350000000000002</v>
      </c>
      <c r="BH148" s="97">
        <f t="shared" si="233"/>
        <v>1.4159713980162172</v>
      </c>
      <c r="BI148" s="97">
        <v>0</v>
      </c>
      <c r="BJ148" s="97">
        <f t="shared" si="203"/>
        <v>2.0049750000000005E-2</v>
      </c>
      <c r="BK148" s="100">
        <f t="shared" si="219"/>
        <v>2.0049750000000005E-2</v>
      </c>
      <c r="BL148" s="99">
        <f t="shared" si="231"/>
        <v>1.0575000000000001</v>
      </c>
      <c r="BM148" s="97">
        <f t="shared" si="220"/>
        <v>1.2262672017142107</v>
      </c>
      <c r="BN148" s="97">
        <f t="shared" si="221"/>
        <v>0.11656911780469982</v>
      </c>
      <c r="BO148" s="97">
        <f t="shared" si="222"/>
        <v>1.4805000000000001</v>
      </c>
      <c r="BP148" s="100">
        <f t="shared" si="223"/>
        <v>1.5970691178047001</v>
      </c>
      <c r="BQ148" s="99">
        <f t="shared" si="224"/>
        <v>0.35250000000000004</v>
      </c>
      <c r="BR148" s="97">
        <f t="shared" si="204"/>
        <v>0.70798569900810859</v>
      </c>
      <c r="BS148" s="97">
        <f t="shared" si="205"/>
        <v>0.11844</v>
      </c>
      <c r="BT148" s="97">
        <f t="shared" si="206"/>
        <v>0.75525000000000009</v>
      </c>
      <c r="BU148" s="100">
        <f t="shared" si="225"/>
        <v>0.87369000000000008</v>
      </c>
      <c r="BV148" s="99">
        <f t="shared" si="226"/>
        <v>0</v>
      </c>
      <c r="BW148" s="97">
        <f t="shared" si="207"/>
        <v>8.7499999999999994E-2</v>
      </c>
      <c r="BX148" s="100">
        <f t="shared" si="208"/>
        <v>1.155E-2</v>
      </c>
      <c r="BY148" s="99">
        <f t="shared" si="227"/>
        <v>2.5898588678047005</v>
      </c>
      <c r="BZ148" s="97">
        <f t="shared" si="228"/>
        <v>16.920000000000002</v>
      </c>
      <c r="CA148" s="100">
        <f t="shared" si="229"/>
        <v>86.725383892558526</v>
      </c>
      <c r="CB148" s="51">
        <f t="shared" si="230"/>
        <v>1.6961191178046999</v>
      </c>
      <c r="CC148" s="32">
        <f t="shared" si="209"/>
        <v>84.364169123164487</v>
      </c>
    </row>
    <row r="149" spans="17:81" x14ac:dyDescent="0.3">
      <c r="Q149" s="32">
        <v>142</v>
      </c>
      <c r="S149" s="99">
        <f t="shared" si="175"/>
        <v>60</v>
      </c>
      <c r="T149" s="97">
        <f t="shared" si="210"/>
        <v>0.28400000000000003</v>
      </c>
      <c r="U149" s="97">
        <f t="shared" si="176"/>
        <v>15</v>
      </c>
      <c r="V149" s="100">
        <f t="shared" si="177"/>
        <v>1.4200000000000002</v>
      </c>
      <c r="W149" s="99">
        <f t="shared" si="178"/>
        <v>2</v>
      </c>
      <c r="X149" s="97">
        <f t="shared" si="179"/>
        <v>0.75</v>
      </c>
      <c r="Y149" s="100">
        <f t="shared" si="180"/>
        <v>0.25</v>
      </c>
      <c r="Z149" s="99">
        <f t="shared" si="181"/>
        <v>0.45000000000000007</v>
      </c>
      <c r="AA149" s="97">
        <f t="shared" si="211"/>
        <v>1.6450000000000002</v>
      </c>
      <c r="AB149" s="97">
        <f t="shared" si="212"/>
        <v>1.4259295213999885</v>
      </c>
      <c r="AC149" s="97">
        <v>0</v>
      </c>
      <c r="AD149" s="97">
        <f t="shared" si="182"/>
        <v>2.0332750000000004E-2</v>
      </c>
      <c r="AE149" s="100">
        <f t="shared" si="213"/>
        <v>2.0332750000000004E-2</v>
      </c>
      <c r="AF149" s="99">
        <f t="shared" si="183"/>
        <v>1.0650000000000002</v>
      </c>
      <c r="AG149" s="97">
        <f t="shared" si="184"/>
        <v>1.2348911895385766</v>
      </c>
      <c r="AH149" s="97">
        <f t="shared" si="185"/>
        <v>7.902784163166672E-2</v>
      </c>
      <c r="AI149" s="97">
        <f t="shared" si="214"/>
        <v>1.4909999999999999</v>
      </c>
      <c r="AJ149" s="100">
        <f t="shared" si="215"/>
        <v>1.5700278416316666</v>
      </c>
      <c r="AK149" s="99">
        <f t="shared" si="186"/>
        <v>0.35500000000000004</v>
      </c>
      <c r="AL149" s="97">
        <f t="shared" si="187"/>
        <v>0.71296476069999426</v>
      </c>
      <c r="AM149" s="97">
        <f t="shared" si="188"/>
        <v>0.11928000000000001</v>
      </c>
      <c r="AN149" s="97">
        <f t="shared" si="189"/>
        <v>0.75525000000000009</v>
      </c>
      <c r="AO149" s="100">
        <f t="shared" si="216"/>
        <v>0.87453000000000014</v>
      </c>
      <c r="AP149" s="99">
        <f t="shared" si="217"/>
        <v>0</v>
      </c>
      <c r="AQ149" s="97">
        <f t="shared" si="190"/>
        <v>8.7499999999999994E-2</v>
      </c>
      <c r="AR149" s="100">
        <f t="shared" si="191"/>
        <v>1.155E-2</v>
      </c>
      <c r="AS149" s="99">
        <f t="shared" si="148"/>
        <v>1.6690778416316665</v>
      </c>
      <c r="AT149" s="215">
        <f t="shared" si="192"/>
        <v>125.14467049789999</v>
      </c>
      <c r="AU149" s="216">
        <f t="shared" si="193"/>
        <v>7.7689813067977176E-2</v>
      </c>
      <c r="AV149" s="97">
        <f t="shared" si="194"/>
        <v>17.040000000000003</v>
      </c>
      <c r="AW149" s="100">
        <f t="shared" si="218"/>
        <v>91.078780815601647</v>
      </c>
      <c r="AX149" s="32"/>
      <c r="AY149" s="99">
        <f t="shared" si="195"/>
        <v>60</v>
      </c>
      <c r="AZ149" s="97">
        <f t="shared" si="196"/>
        <v>0.28400000000000003</v>
      </c>
      <c r="BA149" s="97">
        <f t="shared" si="197"/>
        <v>15</v>
      </c>
      <c r="BB149" s="100">
        <f t="shared" si="198"/>
        <v>1.4200000000000002</v>
      </c>
      <c r="BC149" s="99">
        <f t="shared" si="199"/>
        <v>2</v>
      </c>
      <c r="BD149" s="97">
        <f t="shared" si="200"/>
        <v>0.75</v>
      </c>
      <c r="BE149" s="100">
        <f t="shared" si="201"/>
        <v>0.25</v>
      </c>
      <c r="BF149" s="99">
        <f t="shared" si="202"/>
        <v>0.45000000000000007</v>
      </c>
      <c r="BG149" s="97">
        <f t="shared" si="232"/>
        <v>1.6450000000000002</v>
      </c>
      <c r="BH149" s="97">
        <f t="shared" si="233"/>
        <v>1.4259295213999885</v>
      </c>
      <c r="BI149" s="97">
        <v>0</v>
      </c>
      <c r="BJ149" s="97">
        <f t="shared" si="203"/>
        <v>2.0332750000000004E-2</v>
      </c>
      <c r="BK149" s="100">
        <f t="shared" si="219"/>
        <v>2.0332750000000004E-2</v>
      </c>
      <c r="BL149" s="99">
        <f t="shared" si="231"/>
        <v>1.0650000000000002</v>
      </c>
      <c r="BM149" s="97">
        <f t="shared" si="220"/>
        <v>1.2348911895385766</v>
      </c>
      <c r="BN149" s="97">
        <f t="shared" si="221"/>
        <v>0.11847356599934353</v>
      </c>
      <c r="BO149" s="97">
        <f t="shared" si="222"/>
        <v>1.4909999999999999</v>
      </c>
      <c r="BP149" s="100">
        <f t="shared" si="223"/>
        <v>1.6094735659993433</v>
      </c>
      <c r="BQ149" s="99">
        <f t="shared" si="224"/>
        <v>0.35500000000000004</v>
      </c>
      <c r="BR149" s="97">
        <f t="shared" si="204"/>
        <v>0.71296476069999426</v>
      </c>
      <c r="BS149" s="97">
        <f t="shared" si="205"/>
        <v>0.11928000000000001</v>
      </c>
      <c r="BT149" s="97">
        <f t="shared" si="206"/>
        <v>0.75525000000000009</v>
      </c>
      <c r="BU149" s="100">
        <f t="shared" si="225"/>
        <v>0.87453000000000014</v>
      </c>
      <c r="BV149" s="99">
        <f t="shared" si="226"/>
        <v>0</v>
      </c>
      <c r="BW149" s="97">
        <f t="shared" si="207"/>
        <v>8.7499999999999994E-2</v>
      </c>
      <c r="BX149" s="100">
        <f t="shared" si="208"/>
        <v>1.155E-2</v>
      </c>
      <c r="BY149" s="99">
        <f t="shared" si="227"/>
        <v>2.6033863159993436</v>
      </c>
      <c r="BZ149" s="97">
        <f t="shared" si="228"/>
        <v>17.040000000000003</v>
      </c>
      <c r="CA149" s="100">
        <f t="shared" si="229"/>
        <v>86.746753975515361</v>
      </c>
      <c r="CB149" s="51">
        <f t="shared" si="230"/>
        <v>1.7085235659993432</v>
      </c>
      <c r="CC149" s="32">
        <f t="shared" si="209"/>
        <v>84.798324809977004</v>
      </c>
    </row>
    <row r="150" spans="17:81" x14ac:dyDescent="0.3">
      <c r="Q150" s="32">
        <v>143</v>
      </c>
      <c r="S150" s="99">
        <f t="shared" si="175"/>
        <v>60</v>
      </c>
      <c r="T150" s="97">
        <f t="shared" si="210"/>
        <v>0.28600000000000003</v>
      </c>
      <c r="U150" s="97">
        <f t="shared" si="176"/>
        <v>15</v>
      </c>
      <c r="V150" s="100">
        <f t="shared" si="177"/>
        <v>1.4300000000000004</v>
      </c>
      <c r="W150" s="99">
        <f t="shared" si="178"/>
        <v>2</v>
      </c>
      <c r="X150" s="97">
        <f t="shared" si="179"/>
        <v>0.75</v>
      </c>
      <c r="Y150" s="100">
        <f t="shared" si="180"/>
        <v>0.25</v>
      </c>
      <c r="Z150" s="99">
        <f t="shared" si="181"/>
        <v>0.45000000000000007</v>
      </c>
      <c r="AA150" s="97">
        <f t="shared" si="211"/>
        <v>1.6550000000000005</v>
      </c>
      <c r="AB150" s="97">
        <f t="shared" si="212"/>
        <v>1.4358882268477589</v>
      </c>
      <c r="AC150" s="97">
        <v>0</v>
      </c>
      <c r="AD150" s="97">
        <f t="shared" si="182"/>
        <v>2.0617750000000008E-2</v>
      </c>
      <c r="AE150" s="100">
        <f t="shared" si="213"/>
        <v>2.0617750000000008E-2</v>
      </c>
      <c r="AF150" s="99">
        <f t="shared" si="183"/>
        <v>1.0725000000000002</v>
      </c>
      <c r="AG150" s="97">
        <f t="shared" si="184"/>
        <v>1.243515681445152</v>
      </c>
      <c r="AH150" s="97">
        <f t="shared" si="185"/>
        <v>8.0135558731666737E-2</v>
      </c>
      <c r="AI150" s="97">
        <f t="shared" si="214"/>
        <v>1.5015000000000003</v>
      </c>
      <c r="AJ150" s="100">
        <f t="shared" si="215"/>
        <v>1.5816355587316671</v>
      </c>
      <c r="AK150" s="99">
        <f t="shared" si="186"/>
        <v>0.3575000000000001</v>
      </c>
      <c r="AL150" s="97">
        <f t="shared" si="187"/>
        <v>0.71794411342387943</v>
      </c>
      <c r="AM150" s="97">
        <f t="shared" si="188"/>
        <v>0.12012</v>
      </c>
      <c r="AN150" s="97">
        <f t="shared" si="189"/>
        <v>0.75525000000000009</v>
      </c>
      <c r="AO150" s="100">
        <f t="shared" si="216"/>
        <v>0.87537000000000009</v>
      </c>
      <c r="AP150" s="99">
        <f t="shared" si="217"/>
        <v>0</v>
      </c>
      <c r="AQ150" s="97">
        <f t="shared" si="190"/>
        <v>8.7499999999999994E-2</v>
      </c>
      <c r="AR150" s="100">
        <f t="shared" si="191"/>
        <v>1.155E-2</v>
      </c>
      <c r="AS150" s="99">
        <f t="shared" si="148"/>
        <v>1.6806855587316669</v>
      </c>
      <c r="AT150" s="215">
        <f t="shared" si="192"/>
        <v>125.84113352390001</v>
      </c>
      <c r="AU150" s="216">
        <f t="shared" si="193"/>
        <v>7.7859825573867114E-2</v>
      </c>
      <c r="AV150" s="97">
        <f t="shared" si="194"/>
        <v>17.160000000000004</v>
      </c>
      <c r="AW150" s="100">
        <f t="shared" si="218"/>
        <v>91.079488304751436</v>
      </c>
      <c r="AX150" s="32"/>
      <c r="AY150" s="99">
        <f t="shared" si="195"/>
        <v>60</v>
      </c>
      <c r="AZ150" s="97">
        <f t="shared" si="196"/>
        <v>0.28600000000000003</v>
      </c>
      <c r="BA150" s="97">
        <f t="shared" si="197"/>
        <v>15</v>
      </c>
      <c r="BB150" s="100">
        <f t="shared" si="198"/>
        <v>1.4300000000000004</v>
      </c>
      <c r="BC150" s="99">
        <f t="shared" si="199"/>
        <v>2</v>
      </c>
      <c r="BD150" s="97">
        <f t="shared" si="200"/>
        <v>0.75</v>
      </c>
      <c r="BE150" s="100">
        <f t="shared" si="201"/>
        <v>0.25</v>
      </c>
      <c r="BF150" s="99">
        <f t="shared" si="202"/>
        <v>0.45000000000000007</v>
      </c>
      <c r="BG150" s="97">
        <f t="shared" si="232"/>
        <v>1.6550000000000005</v>
      </c>
      <c r="BH150" s="97">
        <f t="shared" si="233"/>
        <v>1.4358882268477589</v>
      </c>
      <c r="BI150" s="97">
        <v>0</v>
      </c>
      <c r="BJ150" s="97">
        <f t="shared" si="203"/>
        <v>2.0617750000000008E-2</v>
      </c>
      <c r="BK150" s="100">
        <f t="shared" si="219"/>
        <v>2.0617750000000008E-2</v>
      </c>
      <c r="BL150" s="99">
        <f t="shared" si="231"/>
        <v>1.0725000000000002</v>
      </c>
      <c r="BM150" s="97">
        <f t="shared" si="220"/>
        <v>1.243515681445152</v>
      </c>
      <c r="BN150" s="97">
        <f t="shared" si="221"/>
        <v>0.12039708140441997</v>
      </c>
      <c r="BO150" s="97">
        <f t="shared" si="222"/>
        <v>1.5015000000000003</v>
      </c>
      <c r="BP150" s="100">
        <f t="shared" si="223"/>
        <v>1.6218970814044202</v>
      </c>
      <c r="BQ150" s="99">
        <f t="shared" si="224"/>
        <v>0.3575000000000001</v>
      </c>
      <c r="BR150" s="97">
        <f t="shared" si="204"/>
        <v>0.71794411342387943</v>
      </c>
      <c r="BS150" s="97">
        <f t="shared" si="205"/>
        <v>0.12012</v>
      </c>
      <c r="BT150" s="97">
        <f t="shared" si="206"/>
        <v>0.75525000000000009</v>
      </c>
      <c r="BU150" s="100">
        <f t="shared" si="225"/>
        <v>0.87537000000000009</v>
      </c>
      <c r="BV150" s="99">
        <f t="shared" si="226"/>
        <v>0</v>
      </c>
      <c r="BW150" s="97">
        <f t="shared" si="207"/>
        <v>8.7499999999999994E-2</v>
      </c>
      <c r="BX150" s="100">
        <f t="shared" si="208"/>
        <v>1.155E-2</v>
      </c>
      <c r="BY150" s="99">
        <f t="shared" si="227"/>
        <v>2.6169348314044205</v>
      </c>
      <c r="BZ150" s="97">
        <f t="shared" si="228"/>
        <v>17.160000000000004</v>
      </c>
      <c r="CA150" s="100">
        <f t="shared" si="229"/>
        <v>86.767743061736198</v>
      </c>
      <c r="CB150" s="51">
        <f t="shared" si="230"/>
        <v>1.7209470814044201</v>
      </c>
      <c r="CC150" s="32">
        <f t="shared" si="209"/>
        <v>85.233147849154705</v>
      </c>
    </row>
    <row r="151" spans="17:81" x14ac:dyDescent="0.3">
      <c r="Q151" s="32">
        <v>144</v>
      </c>
      <c r="S151" s="99">
        <f t="shared" si="175"/>
        <v>60</v>
      </c>
      <c r="T151" s="97">
        <f t="shared" si="210"/>
        <v>0.28800000000000003</v>
      </c>
      <c r="U151" s="97">
        <f t="shared" si="176"/>
        <v>15</v>
      </c>
      <c r="V151" s="100">
        <f t="shared" si="177"/>
        <v>1.4400000000000002</v>
      </c>
      <c r="W151" s="99">
        <f t="shared" si="178"/>
        <v>2</v>
      </c>
      <c r="X151" s="97">
        <f t="shared" si="179"/>
        <v>0.75</v>
      </c>
      <c r="Y151" s="100">
        <f t="shared" si="180"/>
        <v>0.25</v>
      </c>
      <c r="Z151" s="99">
        <f t="shared" si="181"/>
        <v>0.45000000000000007</v>
      </c>
      <c r="AA151" s="97">
        <f t="shared" si="211"/>
        <v>1.6650000000000003</v>
      </c>
      <c r="AB151" s="97">
        <f t="shared" si="212"/>
        <v>1.4458475023321098</v>
      </c>
      <c r="AC151" s="97">
        <v>0</v>
      </c>
      <c r="AD151" s="97">
        <f t="shared" si="182"/>
        <v>2.090475E-2</v>
      </c>
      <c r="AE151" s="100">
        <f t="shared" si="213"/>
        <v>2.090475E-2</v>
      </c>
      <c r="AF151" s="99">
        <f t="shared" si="183"/>
        <v>1.08</v>
      </c>
      <c r="AG151" s="97">
        <f t="shared" si="184"/>
        <v>1.2521406670178876</v>
      </c>
      <c r="AH151" s="97">
        <f t="shared" si="185"/>
        <v>8.1251049285000057E-2</v>
      </c>
      <c r="AI151" s="97">
        <f t="shared" si="214"/>
        <v>1.512</v>
      </c>
      <c r="AJ151" s="100">
        <f t="shared" si="215"/>
        <v>1.5932510492850001</v>
      </c>
      <c r="AK151" s="99">
        <f t="shared" si="186"/>
        <v>0.36000000000000004</v>
      </c>
      <c r="AL151" s="97">
        <f t="shared" si="187"/>
        <v>0.7229237511660549</v>
      </c>
      <c r="AM151" s="97">
        <f t="shared" si="188"/>
        <v>0.12096000000000001</v>
      </c>
      <c r="AN151" s="97">
        <f t="shared" si="189"/>
        <v>0.75525000000000009</v>
      </c>
      <c r="AO151" s="100">
        <f t="shared" si="216"/>
        <v>0.87621000000000016</v>
      </c>
      <c r="AP151" s="99">
        <f t="shared" si="217"/>
        <v>0</v>
      </c>
      <c r="AQ151" s="97">
        <f t="shared" si="190"/>
        <v>8.7499999999999994E-2</v>
      </c>
      <c r="AR151" s="100">
        <f t="shared" si="191"/>
        <v>1.155E-2</v>
      </c>
      <c r="AS151" s="99">
        <f t="shared" si="148"/>
        <v>1.6923010492849999</v>
      </c>
      <c r="AT151" s="215">
        <f t="shared" si="192"/>
        <v>126.5380629571</v>
      </c>
      <c r="AU151" s="216">
        <f t="shared" si="193"/>
        <v>7.8029951933693109E-2</v>
      </c>
      <c r="AV151" s="97">
        <f t="shared" si="194"/>
        <v>17.28</v>
      </c>
      <c r="AW151" s="100">
        <f t="shared" si="218"/>
        <v>91.080148660466378</v>
      </c>
      <c r="AX151" s="32"/>
      <c r="AY151" s="99">
        <f t="shared" si="195"/>
        <v>60</v>
      </c>
      <c r="AZ151" s="97">
        <f t="shared" si="196"/>
        <v>0.28800000000000003</v>
      </c>
      <c r="BA151" s="97">
        <f t="shared" si="197"/>
        <v>15</v>
      </c>
      <c r="BB151" s="100">
        <f t="shared" si="198"/>
        <v>1.4400000000000002</v>
      </c>
      <c r="BC151" s="99">
        <f t="shared" si="199"/>
        <v>2</v>
      </c>
      <c r="BD151" s="97">
        <f t="shared" si="200"/>
        <v>0.75</v>
      </c>
      <c r="BE151" s="100">
        <f t="shared" si="201"/>
        <v>0.25</v>
      </c>
      <c r="BF151" s="99">
        <f t="shared" si="202"/>
        <v>0.45000000000000007</v>
      </c>
      <c r="BG151" s="97">
        <f t="shared" si="232"/>
        <v>1.6650000000000003</v>
      </c>
      <c r="BH151" s="97">
        <f t="shared" si="233"/>
        <v>1.4458475023321098</v>
      </c>
      <c r="BI151" s="97">
        <v>0</v>
      </c>
      <c r="BJ151" s="97">
        <f t="shared" si="203"/>
        <v>2.090475E-2</v>
      </c>
      <c r="BK151" s="100">
        <f t="shared" si="219"/>
        <v>2.090475E-2</v>
      </c>
      <c r="BL151" s="99">
        <f t="shared" si="231"/>
        <v>1.08</v>
      </c>
      <c r="BM151" s="97">
        <f t="shared" si="220"/>
        <v>1.2521406670178876</v>
      </c>
      <c r="BN151" s="97">
        <f t="shared" si="221"/>
        <v>0.12233974782644037</v>
      </c>
      <c r="BO151" s="97">
        <f t="shared" si="222"/>
        <v>1.512</v>
      </c>
      <c r="BP151" s="100">
        <f t="shared" si="223"/>
        <v>1.6343397478264403</v>
      </c>
      <c r="BQ151" s="99">
        <f t="shared" si="224"/>
        <v>0.36000000000000004</v>
      </c>
      <c r="BR151" s="97">
        <f t="shared" si="204"/>
        <v>0.7229237511660549</v>
      </c>
      <c r="BS151" s="97">
        <f t="shared" si="205"/>
        <v>0.12096000000000001</v>
      </c>
      <c r="BT151" s="97">
        <f t="shared" si="206"/>
        <v>0.75525000000000009</v>
      </c>
      <c r="BU151" s="100">
        <f t="shared" si="225"/>
        <v>0.87621000000000016</v>
      </c>
      <c r="BV151" s="99">
        <f t="shared" si="226"/>
        <v>0</v>
      </c>
      <c r="BW151" s="97">
        <f t="shared" si="207"/>
        <v>8.7499999999999994E-2</v>
      </c>
      <c r="BX151" s="100">
        <f t="shared" si="208"/>
        <v>1.155E-2</v>
      </c>
      <c r="BY151" s="99">
        <f t="shared" si="227"/>
        <v>2.6305044978264407</v>
      </c>
      <c r="BZ151" s="97">
        <f t="shared" si="228"/>
        <v>17.28</v>
      </c>
      <c r="CA151" s="100">
        <f t="shared" si="229"/>
        <v>86.788358385827934</v>
      </c>
      <c r="CB151" s="51">
        <f t="shared" si="230"/>
        <v>1.7333897478264402</v>
      </c>
      <c r="CC151" s="32">
        <f t="shared" si="209"/>
        <v>85.668641173925408</v>
      </c>
    </row>
    <row r="152" spans="17:81" x14ac:dyDescent="0.3">
      <c r="Q152" s="32">
        <v>145</v>
      </c>
      <c r="S152" s="99">
        <f t="shared" si="175"/>
        <v>60</v>
      </c>
      <c r="T152" s="97">
        <f t="shared" si="210"/>
        <v>0.28999999999999998</v>
      </c>
      <c r="U152" s="97">
        <f t="shared" si="176"/>
        <v>15</v>
      </c>
      <c r="V152" s="100">
        <f t="shared" si="177"/>
        <v>1.45</v>
      </c>
      <c r="W152" s="99">
        <f t="shared" si="178"/>
        <v>2</v>
      </c>
      <c r="X152" s="97">
        <f t="shared" si="179"/>
        <v>0.75</v>
      </c>
      <c r="Y152" s="100">
        <f t="shared" si="180"/>
        <v>0.25</v>
      </c>
      <c r="Z152" s="99">
        <f t="shared" si="181"/>
        <v>0.45000000000000007</v>
      </c>
      <c r="AA152" s="97">
        <f t="shared" si="211"/>
        <v>1.675</v>
      </c>
      <c r="AB152" s="97">
        <f t="shared" si="212"/>
        <v>1.4558073361540669</v>
      </c>
      <c r="AC152" s="97">
        <v>0</v>
      </c>
      <c r="AD152" s="97">
        <f t="shared" si="182"/>
        <v>2.1193750000000004E-2</v>
      </c>
      <c r="AE152" s="100">
        <f t="shared" si="213"/>
        <v>2.1193750000000004E-2</v>
      </c>
      <c r="AF152" s="99">
        <f t="shared" si="183"/>
        <v>1.0874999999999999</v>
      </c>
      <c r="AG152" s="97">
        <f t="shared" si="184"/>
        <v>1.2607661361251736</v>
      </c>
      <c r="AH152" s="97">
        <f t="shared" si="185"/>
        <v>8.2374313291666681E-2</v>
      </c>
      <c r="AI152" s="97">
        <f t="shared" si="214"/>
        <v>1.5225</v>
      </c>
      <c r="AJ152" s="100">
        <f t="shared" si="215"/>
        <v>1.6048743132916667</v>
      </c>
      <c r="AK152" s="99">
        <f t="shared" si="186"/>
        <v>0.36249999999999999</v>
      </c>
      <c r="AL152" s="97">
        <f t="shared" si="187"/>
        <v>0.72790366807703333</v>
      </c>
      <c r="AM152" s="97">
        <f t="shared" si="188"/>
        <v>0.12179999999999999</v>
      </c>
      <c r="AN152" s="97">
        <f t="shared" si="189"/>
        <v>0.75525000000000009</v>
      </c>
      <c r="AO152" s="100">
        <f t="shared" si="216"/>
        <v>0.87705000000000011</v>
      </c>
      <c r="AP152" s="99">
        <f t="shared" si="217"/>
        <v>0</v>
      </c>
      <c r="AQ152" s="97">
        <f t="shared" si="190"/>
        <v>8.7499999999999994E-2</v>
      </c>
      <c r="AR152" s="100">
        <f t="shared" si="191"/>
        <v>1.155E-2</v>
      </c>
      <c r="AS152" s="99">
        <f t="shared" si="148"/>
        <v>1.7039243132916666</v>
      </c>
      <c r="AT152" s="215">
        <f t="shared" si="192"/>
        <v>127.2354587975</v>
      </c>
      <c r="AU152" s="216">
        <f t="shared" si="193"/>
        <v>7.8200192147455175E-2</v>
      </c>
      <c r="AV152" s="97">
        <f t="shared" si="194"/>
        <v>17.399999999999999</v>
      </c>
      <c r="AW152" s="100">
        <f t="shared" si="218"/>
        <v>91.080762856110411</v>
      </c>
      <c r="AX152" s="32"/>
      <c r="AY152" s="99">
        <f t="shared" si="195"/>
        <v>60</v>
      </c>
      <c r="AZ152" s="97">
        <f t="shared" si="196"/>
        <v>0.28999999999999998</v>
      </c>
      <c r="BA152" s="97">
        <f t="shared" si="197"/>
        <v>15</v>
      </c>
      <c r="BB152" s="100">
        <f t="shared" si="198"/>
        <v>1.45</v>
      </c>
      <c r="BC152" s="99">
        <f t="shared" si="199"/>
        <v>2</v>
      </c>
      <c r="BD152" s="97">
        <f t="shared" si="200"/>
        <v>0.75</v>
      </c>
      <c r="BE152" s="100">
        <f t="shared" si="201"/>
        <v>0.25</v>
      </c>
      <c r="BF152" s="99">
        <f t="shared" si="202"/>
        <v>0.45000000000000007</v>
      </c>
      <c r="BG152" s="97">
        <f t="shared" si="232"/>
        <v>1.675</v>
      </c>
      <c r="BH152" s="97">
        <f t="shared" si="233"/>
        <v>1.4558073361540669</v>
      </c>
      <c r="BI152" s="97">
        <v>0</v>
      </c>
      <c r="BJ152" s="97">
        <f t="shared" si="203"/>
        <v>2.1193750000000004E-2</v>
      </c>
      <c r="BK152" s="100">
        <f t="shared" si="219"/>
        <v>2.1193750000000004E-2</v>
      </c>
      <c r="BL152" s="99">
        <f t="shared" si="231"/>
        <v>1.0874999999999999</v>
      </c>
      <c r="BM152" s="97">
        <f t="shared" si="220"/>
        <v>1.2607661361251736</v>
      </c>
      <c r="BN152" s="97">
        <f t="shared" si="221"/>
        <v>0.12430164917438459</v>
      </c>
      <c r="BO152" s="97">
        <f t="shared" si="222"/>
        <v>1.5225</v>
      </c>
      <c r="BP152" s="100">
        <f t="shared" si="223"/>
        <v>1.6468016491743847</v>
      </c>
      <c r="BQ152" s="99">
        <f t="shared" si="224"/>
        <v>0.36249999999999999</v>
      </c>
      <c r="BR152" s="97">
        <f t="shared" si="204"/>
        <v>0.72790366807703333</v>
      </c>
      <c r="BS152" s="97">
        <f t="shared" si="205"/>
        <v>0.12179999999999999</v>
      </c>
      <c r="BT152" s="97">
        <f t="shared" si="206"/>
        <v>0.75525000000000009</v>
      </c>
      <c r="BU152" s="100">
        <f t="shared" si="225"/>
        <v>0.87705000000000011</v>
      </c>
      <c r="BV152" s="99">
        <f t="shared" si="226"/>
        <v>0</v>
      </c>
      <c r="BW152" s="97">
        <f t="shared" si="207"/>
        <v>8.7499999999999994E-2</v>
      </c>
      <c r="BX152" s="100">
        <f t="shared" si="208"/>
        <v>1.155E-2</v>
      </c>
      <c r="BY152" s="99">
        <f t="shared" si="227"/>
        <v>2.6440953991743852</v>
      </c>
      <c r="BZ152" s="97">
        <f t="shared" si="228"/>
        <v>17.399999999999999</v>
      </c>
      <c r="CA152" s="100">
        <f t="shared" si="229"/>
        <v>86.808606991147641</v>
      </c>
      <c r="CB152" s="51">
        <f t="shared" si="230"/>
        <v>1.7458516491743845</v>
      </c>
      <c r="CC152" s="32">
        <f t="shared" si="209"/>
        <v>86.104807721103455</v>
      </c>
    </row>
    <row r="153" spans="17:81" x14ac:dyDescent="0.3">
      <c r="Q153" s="32">
        <v>146</v>
      </c>
      <c r="S153" s="99">
        <f t="shared" si="175"/>
        <v>60</v>
      </c>
      <c r="T153" s="97">
        <f t="shared" si="210"/>
        <v>0.29199999999999998</v>
      </c>
      <c r="U153" s="97">
        <f t="shared" si="176"/>
        <v>15</v>
      </c>
      <c r="V153" s="100">
        <f t="shared" si="177"/>
        <v>1.46</v>
      </c>
      <c r="W153" s="99">
        <f t="shared" si="178"/>
        <v>2</v>
      </c>
      <c r="X153" s="97">
        <f t="shared" si="179"/>
        <v>0.75</v>
      </c>
      <c r="Y153" s="100">
        <f t="shared" si="180"/>
        <v>0.25</v>
      </c>
      <c r="Z153" s="99">
        <f t="shared" si="181"/>
        <v>0.45000000000000007</v>
      </c>
      <c r="AA153" s="97">
        <f t="shared" si="211"/>
        <v>1.6850000000000001</v>
      </c>
      <c r="AB153" s="97">
        <f t="shared" si="212"/>
        <v>1.4657677169319836</v>
      </c>
      <c r="AC153" s="97">
        <v>0</v>
      </c>
      <c r="AD153" s="97">
        <f t="shared" si="182"/>
        <v>2.1484749999999993E-2</v>
      </c>
      <c r="AE153" s="100">
        <f t="shared" si="213"/>
        <v>2.1484749999999993E-2</v>
      </c>
      <c r="AF153" s="99">
        <f t="shared" si="183"/>
        <v>1.095</v>
      </c>
      <c r="AG153" s="97">
        <f t="shared" si="184"/>
        <v>1.269392078910216</v>
      </c>
      <c r="AH153" s="97">
        <f t="shared" si="185"/>
        <v>8.3505350751666693E-2</v>
      </c>
      <c r="AI153" s="97">
        <f t="shared" si="214"/>
        <v>1.5329999999999999</v>
      </c>
      <c r="AJ153" s="100">
        <f t="shared" si="215"/>
        <v>1.6165053507516667</v>
      </c>
      <c r="AK153" s="99">
        <f t="shared" si="186"/>
        <v>0.36499999999999999</v>
      </c>
      <c r="AL153" s="97">
        <f t="shared" si="187"/>
        <v>0.73288385846599191</v>
      </c>
      <c r="AM153" s="97">
        <f t="shared" si="188"/>
        <v>0.12263999999999999</v>
      </c>
      <c r="AN153" s="97">
        <f t="shared" si="189"/>
        <v>0.75525000000000009</v>
      </c>
      <c r="AO153" s="100">
        <f t="shared" si="216"/>
        <v>0.87789000000000006</v>
      </c>
      <c r="AP153" s="99">
        <f t="shared" si="217"/>
        <v>0</v>
      </c>
      <c r="AQ153" s="97">
        <f t="shared" si="190"/>
        <v>8.7499999999999994E-2</v>
      </c>
      <c r="AR153" s="100">
        <f t="shared" si="191"/>
        <v>1.155E-2</v>
      </c>
      <c r="AS153" s="99">
        <f t="shared" si="148"/>
        <v>1.7155553507516665</v>
      </c>
      <c r="AT153" s="215">
        <f t="shared" si="192"/>
        <v>127.93332104509999</v>
      </c>
      <c r="AU153" s="216">
        <f t="shared" si="193"/>
        <v>7.8370546215153325E-2</v>
      </c>
      <c r="AV153" s="97">
        <f t="shared" si="194"/>
        <v>17.52</v>
      </c>
      <c r="AW153" s="100">
        <f t="shared" si="218"/>
        <v>91.081331838518352</v>
      </c>
      <c r="AX153" s="32"/>
      <c r="AY153" s="99">
        <f t="shared" si="195"/>
        <v>60</v>
      </c>
      <c r="AZ153" s="97">
        <f t="shared" si="196"/>
        <v>0.29199999999999998</v>
      </c>
      <c r="BA153" s="97">
        <f t="shared" si="197"/>
        <v>15</v>
      </c>
      <c r="BB153" s="100">
        <f t="shared" si="198"/>
        <v>1.46</v>
      </c>
      <c r="BC153" s="99">
        <f t="shared" si="199"/>
        <v>2</v>
      </c>
      <c r="BD153" s="97">
        <f t="shared" si="200"/>
        <v>0.75</v>
      </c>
      <c r="BE153" s="100">
        <f t="shared" si="201"/>
        <v>0.25</v>
      </c>
      <c r="BF153" s="99">
        <f t="shared" si="202"/>
        <v>0.45000000000000007</v>
      </c>
      <c r="BG153" s="97">
        <f t="shared" si="232"/>
        <v>1.6850000000000001</v>
      </c>
      <c r="BH153" s="97">
        <f t="shared" si="233"/>
        <v>1.4657677169319836</v>
      </c>
      <c r="BI153" s="97">
        <v>0</v>
      </c>
      <c r="BJ153" s="97">
        <f t="shared" si="203"/>
        <v>2.1484749999999993E-2</v>
      </c>
      <c r="BK153" s="100">
        <f t="shared" si="219"/>
        <v>2.1484749999999993E-2</v>
      </c>
      <c r="BL153" s="99">
        <f t="shared" si="231"/>
        <v>1.095</v>
      </c>
      <c r="BM153" s="97">
        <f t="shared" si="220"/>
        <v>1.269392078910216</v>
      </c>
      <c r="BN153" s="97">
        <f t="shared" si="221"/>
        <v>0.12628286945970116</v>
      </c>
      <c r="BO153" s="97">
        <f t="shared" si="222"/>
        <v>1.5329999999999999</v>
      </c>
      <c r="BP153" s="100">
        <f t="shared" si="223"/>
        <v>1.659282869459701</v>
      </c>
      <c r="BQ153" s="99">
        <f t="shared" si="224"/>
        <v>0.36499999999999999</v>
      </c>
      <c r="BR153" s="97">
        <f t="shared" si="204"/>
        <v>0.73288385846599191</v>
      </c>
      <c r="BS153" s="97">
        <f t="shared" si="205"/>
        <v>0.12263999999999999</v>
      </c>
      <c r="BT153" s="97">
        <f t="shared" si="206"/>
        <v>0.75525000000000009</v>
      </c>
      <c r="BU153" s="100">
        <f t="shared" si="225"/>
        <v>0.87789000000000006</v>
      </c>
      <c r="BV153" s="99">
        <f t="shared" si="226"/>
        <v>0</v>
      </c>
      <c r="BW153" s="97">
        <f t="shared" si="207"/>
        <v>8.7499999999999994E-2</v>
      </c>
      <c r="BX153" s="100">
        <f t="shared" si="208"/>
        <v>1.155E-2</v>
      </c>
      <c r="BY153" s="99">
        <f t="shared" si="227"/>
        <v>2.6577076194597011</v>
      </c>
      <c r="BZ153" s="97">
        <f t="shared" si="228"/>
        <v>17.52</v>
      </c>
      <c r="CA153" s="100">
        <f t="shared" si="229"/>
        <v>86.828495736073791</v>
      </c>
      <c r="CB153" s="51">
        <f t="shared" si="230"/>
        <v>1.7583328694597009</v>
      </c>
      <c r="CC153" s="32">
        <f t="shared" si="209"/>
        <v>86.541650431089522</v>
      </c>
    </row>
    <row r="154" spans="17:81" x14ac:dyDescent="0.3">
      <c r="Q154" s="32">
        <v>147</v>
      </c>
      <c r="S154" s="99">
        <f t="shared" si="175"/>
        <v>60</v>
      </c>
      <c r="T154" s="97">
        <f t="shared" si="210"/>
        <v>0.29399999999999998</v>
      </c>
      <c r="U154" s="97">
        <f t="shared" si="176"/>
        <v>15</v>
      </c>
      <c r="V154" s="100">
        <f t="shared" si="177"/>
        <v>1.47</v>
      </c>
      <c r="W154" s="99">
        <f t="shared" si="178"/>
        <v>2</v>
      </c>
      <c r="X154" s="97">
        <f t="shared" si="179"/>
        <v>0.75</v>
      </c>
      <c r="Y154" s="100">
        <f t="shared" si="180"/>
        <v>0.25</v>
      </c>
      <c r="Z154" s="99">
        <f t="shared" si="181"/>
        <v>0.45000000000000007</v>
      </c>
      <c r="AA154" s="97">
        <f t="shared" si="211"/>
        <v>1.6950000000000001</v>
      </c>
      <c r="AB154" s="97">
        <f t="shared" si="212"/>
        <v>1.4757286335908781</v>
      </c>
      <c r="AC154" s="97">
        <v>0</v>
      </c>
      <c r="AD154" s="97">
        <f t="shared" si="182"/>
        <v>2.1777750000000005E-2</v>
      </c>
      <c r="AE154" s="100">
        <f t="shared" si="213"/>
        <v>2.1777750000000005E-2</v>
      </c>
      <c r="AF154" s="99">
        <f t="shared" si="183"/>
        <v>1.1025</v>
      </c>
      <c r="AG154" s="97">
        <f t="shared" si="184"/>
        <v>1.278018485781798</v>
      </c>
      <c r="AH154" s="97">
        <f t="shared" si="185"/>
        <v>8.4644161665000023E-2</v>
      </c>
      <c r="AI154" s="97">
        <f t="shared" si="214"/>
        <v>1.5434999999999999</v>
      </c>
      <c r="AJ154" s="100">
        <f t="shared" si="215"/>
        <v>1.6281441616649999</v>
      </c>
      <c r="AK154" s="99">
        <f t="shared" si="186"/>
        <v>0.36749999999999999</v>
      </c>
      <c r="AL154" s="97">
        <f t="shared" si="187"/>
        <v>0.73786431679543907</v>
      </c>
      <c r="AM154" s="97">
        <f t="shared" si="188"/>
        <v>0.12347999999999999</v>
      </c>
      <c r="AN154" s="97">
        <f t="shared" si="189"/>
        <v>0.75525000000000009</v>
      </c>
      <c r="AO154" s="100">
        <f t="shared" si="216"/>
        <v>0.87873000000000012</v>
      </c>
      <c r="AP154" s="99">
        <f t="shared" si="217"/>
        <v>0</v>
      </c>
      <c r="AQ154" s="97">
        <f t="shared" si="190"/>
        <v>8.7499999999999994E-2</v>
      </c>
      <c r="AR154" s="100">
        <f t="shared" si="191"/>
        <v>1.155E-2</v>
      </c>
      <c r="AS154" s="99">
        <f t="shared" si="148"/>
        <v>1.7271941616649997</v>
      </c>
      <c r="AT154" s="215">
        <f t="shared" si="192"/>
        <v>128.63164969989998</v>
      </c>
      <c r="AU154" s="216">
        <f t="shared" si="193"/>
        <v>7.8541014136787518E-2</v>
      </c>
      <c r="AV154" s="97">
        <f t="shared" si="194"/>
        <v>17.64</v>
      </c>
      <c r="AW154" s="100">
        <f t="shared" si="218"/>
        <v>91.081856528893738</v>
      </c>
      <c r="AX154" s="32"/>
      <c r="AY154" s="99">
        <f t="shared" si="195"/>
        <v>60</v>
      </c>
      <c r="AZ154" s="97">
        <f t="shared" si="196"/>
        <v>0.29399999999999998</v>
      </c>
      <c r="BA154" s="97">
        <f t="shared" si="197"/>
        <v>15</v>
      </c>
      <c r="BB154" s="100">
        <f t="shared" si="198"/>
        <v>1.47</v>
      </c>
      <c r="BC154" s="99">
        <f t="shared" si="199"/>
        <v>2</v>
      </c>
      <c r="BD154" s="97">
        <f t="shared" si="200"/>
        <v>0.75</v>
      </c>
      <c r="BE154" s="100">
        <f t="shared" si="201"/>
        <v>0.25</v>
      </c>
      <c r="BF154" s="99">
        <f t="shared" si="202"/>
        <v>0.45000000000000007</v>
      </c>
      <c r="BG154" s="97">
        <f t="shared" si="232"/>
        <v>1.6950000000000001</v>
      </c>
      <c r="BH154" s="97">
        <f t="shared" si="233"/>
        <v>1.4757286335908781</v>
      </c>
      <c r="BI154" s="97">
        <v>0</v>
      </c>
      <c r="BJ154" s="97">
        <f t="shared" si="203"/>
        <v>2.1777750000000005E-2</v>
      </c>
      <c r="BK154" s="100">
        <f t="shared" si="219"/>
        <v>2.1777750000000005E-2</v>
      </c>
      <c r="BL154" s="99">
        <f t="shared" si="231"/>
        <v>1.1025</v>
      </c>
      <c r="BM154" s="97">
        <f t="shared" si="220"/>
        <v>1.278018485781798</v>
      </c>
      <c r="BN154" s="97">
        <f t="shared" si="221"/>
        <v>0.12828349279630683</v>
      </c>
      <c r="BO154" s="97">
        <f t="shared" si="222"/>
        <v>1.5434999999999999</v>
      </c>
      <c r="BP154" s="100">
        <f t="shared" si="223"/>
        <v>1.6717834927963067</v>
      </c>
      <c r="BQ154" s="99">
        <f t="shared" si="224"/>
        <v>0.36749999999999999</v>
      </c>
      <c r="BR154" s="97">
        <f t="shared" si="204"/>
        <v>0.73786431679543907</v>
      </c>
      <c r="BS154" s="97">
        <f t="shared" si="205"/>
        <v>0.12347999999999999</v>
      </c>
      <c r="BT154" s="97">
        <f t="shared" si="206"/>
        <v>0.75525000000000009</v>
      </c>
      <c r="BU154" s="100">
        <f t="shared" si="225"/>
        <v>0.87873000000000012</v>
      </c>
      <c r="BV154" s="99">
        <f t="shared" si="226"/>
        <v>0</v>
      </c>
      <c r="BW154" s="97">
        <f t="shared" si="207"/>
        <v>8.7499999999999994E-2</v>
      </c>
      <c r="BX154" s="100">
        <f t="shared" si="208"/>
        <v>1.155E-2</v>
      </c>
      <c r="BY154" s="99">
        <f t="shared" si="227"/>
        <v>2.671341242796307</v>
      </c>
      <c r="BZ154" s="97">
        <f t="shared" si="228"/>
        <v>17.64</v>
      </c>
      <c r="CA154" s="100">
        <f t="shared" si="229"/>
        <v>86.848031300031778</v>
      </c>
      <c r="CB154" s="51">
        <f t="shared" si="230"/>
        <v>1.7708334927963065</v>
      </c>
      <c r="CC154" s="32">
        <f t="shared" si="209"/>
        <v>86.979172247870736</v>
      </c>
    </row>
    <row r="155" spans="17:81" x14ac:dyDescent="0.3">
      <c r="Q155" s="32">
        <v>148</v>
      </c>
      <c r="S155" s="99">
        <f t="shared" si="175"/>
        <v>60</v>
      </c>
      <c r="T155" s="97">
        <f t="shared" si="210"/>
        <v>0.29599999999999999</v>
      </c>
      <c r="U155" s="97">
        <f t="shared" si="176"/>
        <v>15</v>
      </c>
      <c r="V155" s="100">
        <f t="shared" si="177"/>
        <v>1.4799999999999998</v>
      </c>
      <c r="W155" s="99">
        <f t="shared" si="178"/>
        <v>2</v>
      </c>
      <c r="X155" s="97">
        <f t="shared" si="179"/>
        <v>0.75</v>
      </c>
      <c r="Y155" s="100">
        <f t="shared" si="180"/>
        <v>0.25</v>
      </c>
      <c r="Z155" s="99">
        <f t="shared" si="181"/>
        <v>0.45000000000000007</v>
      </c>
      <c r="AA155" s="97">
        <f t="shared" si="211"/>
        <v>1.7049999999999998</v>
      </c>
      <c r="AB155" s="97">
        <f t="shared" si="212"/>
        <v>1.4856900753521913</v>
      </c>
      <c r="AC155" s="97">
        <v>0</v>
      </c>
      <c r="AD155" s="97">
        <f t="shared" si="182"/>
        <v>2.2072750000000002E-2</v>
      </c>
      <c r="AE155" s="100">
        <f t="shared" si="213"/>
        <v>2.2072750000000002E-2</v>
      </c>
      <c r="AF155" s="99">
        <f t="shared" si="183"/>
        <v>1.1099999999999999</v>
      </c>
      <c r="AG155" s="97">
        <f t="shared" si="184"/>
        <v>1.2866453474054143</v>
      </c>
      <c r="AH155" s="97">
        <f t="shared" si="185"/>
        <v>8.5790746031666643E-2</v>
      </c>
      <c r="AI155" s="97">
        <f t="shared" si="214"/>
        <v>1.5539999999999998</v>
      </c>
      <c r="AJ155" s="100">
        <f t="shared" si="215"/>
        <v>1.6397907460316665</v>
      </c>
      <c r="AK155" s="99">
        <f t="shared" si="186"/>
        <v>0.36999999999999994</v>
      </c>
      <c r="AL155" s="97">
        <f t="shared" si="187"/>
        <v>0.74284503767609555</v>
      </c>
      <c r="AM155" s="97">
        <f t="shared" si="188"/>
        <v>0.12431999999999999</v>
      </c>
      <c r="AN155" s="97">
        <f t="shared" si="189"/>
        <v>0.75525000000000009</v>
      </c>
      <c r="AO155" s="100">
        <f t="shared" si="216"/>
        <v>0.87957000000000007</v>
      </c>
      <c r="AP155" s="99">
        <f t="shared" si="217"/>
        <v>0</v>
      </c>
      <c r="AQ155" s="97">
        <f t="shared" si="190"/>
        <v>8.7499999999999994E-2</v>
      </c>
      <c r="AR155" s="100">
        <f t="shared" si="191"/>
        <v>1.155E-2</v>
      </c>
      <c r="AS155" s="99">
        <f t="shared" si="148"/>
        <v>1.7388407460316664</v>
      </c>
      <c r="AT155" s="215">
        <f t="shared" si="192"/>
        <v>129.33044476189997</v>
      </c>
      <c r="AU155" s="216">
        <f t="shared" si="193"/>
        <v>7.8711595912357796E-2</v>
      </c>
      <c r="AV155" s="97">
        <f t="shared" si="194"/>
        <v>17.759999999999998</v>
      </c>
      <c r="AW155" s="100">
        <f t="shared" si="218"/>
        <v>91.082337823670116</v>
      </c>
      <c r="AX155" s="32"/>
      <c r="AY155" s="99">
        <f t="shared" si="195"/>
        <v>60</v>
      </c>
      <c r="AZ155" s="97">
        <f t="shared" si="196"/>
        <v>0.29599999999999999</v>
      </c>
      <c r="BA155" s="97">
        <f t="shared" si="197"/>
        <v>15</v>
      </c>
      <c r="BB155" s="100">
        <f t="shared" si="198"/>
        <v>1.4799999999999998</v>
      </c>
      <c r="BC155" s="99">
        <f t="shared" si="199"/>
        <v>2</v>
      </c>
      <c r="BD155" s="97">
        <f t="shared" si="200"/>
        <v>0.75</v>
      </c>
      <c r="BE155" s="100">
        <f t="shared" si="201"/>
        <v>0.25</v>
      </c>
      <c r="BF155" s="99">
        <f t="shared" si="202"/>
        <v>0.45000000000000007</v>
      </c>
      <c r="BG155" s="97">
        <f t="shared" si="232"/>
        <v>1.7049999999999998</v>
      </c>
      <c r="BH155" s="97">
        <f t="shared" si="233"/>
        <v>1.4856900753521913</v>
      </c>
      <c r="BI155" s="97">
        <v>0</v>
      </c>
      <c r="BJ155" s="97">
        <f t="shared" si="203"/>
        <v>2.2072750000000002E-2</v>
      </c>
      <c r="BK155" s="100">
        <f t="shared" si="219"/>
        <v>2.2072750000000002E-2</v>
      </c>
      <c r="BL155" s="99">
        <f t="shared" si="231"/>
        <v>1.1099999999999999</v>
      </c>
      <c r="BM155" s="97">
        <f t="shared" si="220"/>
        <v>1.2866453474054143</v>
      </c>
      <c r="BN155" s="97">
        <f t="shared" si="221"/>
        <v>0.13030360340058711</v>
      </c>
      <c r="BO155" s="97">
        <f t="shared" si="222"/>
        <v>1.5539999999999998</v>
      </c>
      <c r="BP155" s="100">
        <f t="shared" si="223"/>
        <v>1.6843036034005869</v>
      </c>
      <c r="BQ155" s="99">
        <f t="shared" si="224"/>
        <v>0.36999999999999994</v>
      </c>
      <c r="BR155" s="97">
        <f t="shared" si="204"/>
        <v>0.74284503767609555</v>
      </c>
      <c r="BS155" s="97">
        <f t="shared" si="205"/>
        <v>0.12431999999999999</v>
      </c>
      <c r="BT155" s="97">
        <f t="shared" si="206"/>
        <v>0.75525000000000009</v>
      </c>
      <c r="BU155" s="100">
        <f t="shared" si="225"/>
        <v>0.87957000000000007</v>
      </c>
      <c r="BV155" s="99">
        <f t="shared" si="226"/>
        <v>0</v>
      </c>
      <c r="BW155" s="97">
        <f t="shared" si="207"/>
        <v>8.7499999999999994E-2</v>
      </c>
      <c r="BX155" s="100">
        <f t="shared" si="208"/>
        <v>1.155E-2</v>
      </c>
      <c r="BY155" s="99">
        <f t="shared" si="227"/>
        <v>2.684996353400587</v>
      </c>
      <c r="BZ155" s="97">
        <f t="shared" si="228"/>
        <v>17.759999999999998</v>
      </c>
      <c r="CA155" s="100">
        <f t="shared" si="229"/>
        <v>86.867220189286101</v>
      </c>
      <c r="CB155" s="51">
        <f t="shared" si="230"/>
        <v>1.7833536034005868</v>
      </c>
      <c r="CC155" s="32">
        <f t="shared" si="209"/>
        <v>87.417376119020531</v>
      </c>
    </row>
    <row r="156" spans="17:81" x14ac:dyDescent="0.3">
      <c r="Q156" s="32">
        <v>149</v>
      </c>
      <c r="S156" s="99">
        <f t="shared" si="175"/>
        <v>60</v>
      </c>
      <c r="T156" s="97">
        <f t="shared" si="210"/>
        <v>0.29799999999999999</v>
      </c>
      <c r="U156" s="97">
        <f t="shared" si="176"/>
        <v>15</v>
      </c>
      <c r="V156" s="100">
        <f t="shared" si="177"/>
        <v>1.49</v>
      </c>
      <c r="W156" s="99">
        <f t="shared" si="178"/>
        <v>2</v>
      </c>
      <c r="X156" s="97">
        <f t="shared" si="179"/>
        <v>0.75</v>
      </c>
      <c r="Y156" s="100">
        <f t="shared" si="180"/>
        <v>0.25</v>
      </c>
      <c r="Z156" s="99">
        <f t="shared" si="181"/>
        <v>0.45000000000000007</v>
      </c>
      <c r="AA156" s="97">
        <f t="shared" si="211"/>
        <v>1.7150000000000001</v>
      </c>
      <c r="AB156" s="97">
        <f t="shared" si="212"/>
        <v>1.495652031723957</v>
      </c>
      <c r="AC156" s="97">
        <v>0</v>
      </c>
      <c r="AD156" s="97">
        <f t="shared" si="182"/>
        <v>2.2369750000000008E-2</v>
      </c>
      <c r="AE156" s="100">
        <f t="shared" si="213"/>
        <v>2.2369750000000008E-2</v>
      </c>
      <c r="AF156" s="99">
        <f t="shared" si="183"/>
        <v>1.1174999999999999</v>
      </c>
      <c r="AG156" s="97">
        <f t="shared" si="184"/>
        <v>1.2952726546947557</v>
      </c>
      <c r="AH156" s="97">
        <f t="shared" si="185"/>
        <v>8.6945103851666691E-2</v>
      </c>
      <c r="AI156" s="97">
        <f t="shared" si="214"/>
        <v>1.5645</v>
      </c>
      <c r="AJ156" s="100">
        <f t="shared" si="215"/>
        <v>1.6514451038516667</v>
      </c>
      <c r="AK156" s="99">
        <f t="shared" si="186"/>
        <v>0.3725</v>
      </c>
      <c r="AL156" s="97">
        <f t="shared" si="187"/>
        <v>0.7478260158619785</v>
      </c>
      <c r="AM156" s="97">
        <f t="shared" si="188"/>
        <v>0.12515999999999999</v>
      </c>
      <c r="AN156" s="97">
        <f t="shared" si="189"/>
        <v>0.75525000000000009</v>
      </c>
      <c r="AO156" s="100">
        <f t="shared" si="216"/>
        <v>0.88041000000000014</v>
      </c>
      <c r="AP156" s="99">
        <f t="shared" si="217"/>
        <v>0</v>
      </c>
      <c r="AQ156" s="97">
        <f t="shared" si="190"/>
        <v>8.7499999999999994E-2</v>
      </c>
      <c r="AR156" s="100">
        <f t="shared" si="191"/>
        <v>1.155E-2</v>
      </c>
      <c r="AS156" s="99">
        <f t="shared" si="148"/>
        <v>1.7504951038516665</v>
      </c>
      <c r="AT156" s="215">
        <f t="shared" si="192"/>
        <v>130.02970623109999</v>
      </c>
      <c r="AU156" s="216">
        <f t="shared" si="193"/>
        <v>7.8882291541864144E-2</v>
      </c>
      <c r="AV156" s="97">
        <f t="shared" si="194"/>
        <v>17.88</v>
      </c>
      <c r="AW156" s="100">
        <f t="shared" si="218"/>
        <v>91.082776595338117</v>
      </c>
      <c r="AX156" s="32"/>
      <c r="AY156" s="99">
        <f t="shared" si="195"/>
        <v>60</v>
      </c>
      <c r="AZ156" s="97">
        <f t="shared" si="196"/>
        <v>0.29799999999999999</v>
      </c>
      <c r="BA156" s="97">
        <f t="shared" si="197"/>
        <v>15</v>
      </c>
      <c r="BB156" s="100">
        <f t="shared" si="198"/>
        <v>1.49</v>
      </c>
      <c r="BC156" s="99">
        <f t="shared" si="199"/>
        <v>2</v>
      </c>
      <c r="BD156" s="97">
        <f t="shared" si="200"/>
        <v>0.75</v>
      </c>
      <c r="BE156" s="100">
        <f t="shared" si="201"/>
        <v>0.25</v>
      </c>
      <c r="BF156" s="99">
        <f t="shared" si="202"/>
        <v>0.45000000000000007</v>
      </c>
      <c r="BG156" s="97">
        <f t="shared" si="232"/>
        <v>1.7150000000000001</v>
      </c>
      <c r="BH156" s="97">
        <f t="shared" si="233"/>
        <v>1.495652031723957</v>
      </c>
      <c r="BI156" s="97">
        <v>0</v>
      </c>
      <c r="BJ156" s="97">
        <f t="shared" si="203"/>
        <v>2.2369750000000008E-2</v>
      </c>
      <c r="BK156" s="100">
        <f t="shared" si="219"/>
        <v>2.2369750000000008E-2</v>
      </c>
      <c r="BL156" s="99">
        <f t="shared" si="231"/>
        <v>1.1174999999999999</v>
      </c>
      <c r="BM156" s="97">
        <f t="shared" si="220"/>
        <v>1.2952726546947557</v>
      </c>
      <c r="BN156" s="97">
        <f t="shared" si="221"/>
        <v>0.13234328559139616</v>
      </c>
      <c r="BO156" s="97">
        <f t="shared" si="222"/>
        <v>1.5645</v>
      </c>
      <c r="BP156" s="100">
        <f t="shared" si="223"/>
        <v>1.6968432855913962</v>
      </c>
      <c r="BQ156" s="99">
        <f t="shared" si="224"/>
        <v>0.3725</v>
      </c>
      <c r="BR156" s="97">
        <f t="shared" si="204"/>
        <v>0.7478260158619785</v>
      </c>
      <c r="BS156" s="97">
        <f t="shared" si="205"/>
        <v>0.12515999999999999</v>
      </c>
      <c r="BT156" s="97">
        <f t="shared" si="206"/>
        <v>0.75525000000000009</v>
      </c>
      <c r="BU156" s="100">
        <f t="shared" si="225"/>
        <v>0.88041000000000014</v>
      </c>
      <c r="BV156" s="99">
        <f t="shared" si="226"/>
        <v>0</v>
      </c>
      <c r="BW156" s="97">
        <f t="shared" si="207"/>
        <v>8.7499999999999994E-2</v>
      </c>
      <c r="BX156" s="100">
        <f t="shared" si="208"/>
        <v>1.155E-2</v>
      </c>
      <c r="BY156" s="99">
        <f t="shared" si="227"/>
        <v>2.6986730355913968</v>
      </c>
      <c r="BZ156" s="97">
        <f t="shared" si="228"/>
        <v>17.88</v>
      </c>
      <c r="CA156" s="100">
        <f t="shared" si="229"/>
        <v>86.886068742508485</v>
      </c>
      <c r="CB156" s="51">
        <f t="shared" si="230"/>
        <v>1.795893285591396</v>
      </c>
      <c r="CC156" s="32">
        <f t="shared" si="209"/>
        <v>87.856264995698865</v>
      </c>
    </row>
    <row r="157" spans="17:81" ht="15" thickBot="1" x14ac:dyDescent="0.35">
      <c r="Q157" s="32">
        <v>150</v>
      </c>
      <c r="S157" s="101">
        <f t="shared" si="175"/>
        <v>60</v>
      </c>
      <c r="T157" s="97">
        <f t="shared" si="210"/>
        <v>0.3</v>
      </c>
      <c r="U157" s="102">
        <f t="shared" si="176"/>
        <v>15</v>
      </c>
      <c r="V157" s="103">
        <f t="shared" si="177"/>
        <v>1.5</v>
      </c>
      <c r="W157" s="101">
        <f t="shared" si="178"/>
        <v>2</v>
      </c>
      <c r="X157" s="102">
        <f t="shared" si="179"/>
        <v>0.75</v>
      </c>
      <c r="Y157" s="100">
        <f t="shared" si="180"/>
        <v>0.25</v>
      </c>
      <c r="Z157" s="101">
        <f t="shared" si="181"/>
        <v>0.45000000000000007</v>
      </c>
      <c r="AA157" s="102">
        <f t="shared" si="211"/>
        <v>1.7250000000000001</v>
      </c>
      <c r="AB157" s="102">
        <f t="shared" si="212"/>
        <v>1.5056144924913548</v>
      </c>
      <c r="AC157" s="102">
        <v>0</v>
      </c>
      <c r="AD157" s="102">
        <f t="shared" si="182"/>
        <v>2.2668749999999998E-2</v>
      </c>
      <c r="AE157" s="103">
        <f t="shared" si="213"/>
        <v>2.2668749999999998E-2</v>
      </c>
      <c r="AF157" s="101">
        <f t="shared" si="183"/>
        <v>1.125</v>
      </c>
      <c r="AG157" s="97">
        <f t="shared" si="184"/>
        <v>1.3039003988035283</v>
      </c>
      <c r="AH157" s="102">
        <f t="shared" si="185"/>
        <v>8.810723512500003E-2</v>
      </c>
      <c r="AI157" s="97">
        <f t="shared" si="214"/>
        <v>1.575</v>
      </c>
      <c r="AJ157" s="103">
        <f t="shared" si="215"/>
        <v>1.663107235125</v>
      </c>
      <c r="AK157" s="101">
        <f t="shared" si="186"/>
        <v>0.375</v>
      </c>
      <c r="AL157" s="102">
        <f t="shared" si="187"/>
        <v>0.75280724624567741</v>
      </c>
      <c r="AM157" s="102">
        <f t="shared" si="188"/>
        <v>0.126</v>
      </c>
      <c r="AN157" s="102">
        <f t="shared" si="189"/>
        <v>0.75525000000000009</v>
      </c>
      <c r="AO157" s="103">
        <f t="shared" si="216"/>
        <v>0.88125000000000009</v>
      </c>
      <c r="AP157" s="99">
        <f t="shared" si="217"/>
        <v>0</v>
      </c>
      <c r="AQ157" s="102">
        <f t="shared" si="190"/>
        <v>8.7499999999999994E-2</v>
      </c>
      <c r="AR157" s="103">
        <f t="shared" si="191"/>
        <v>1.155E-2</v>
      </c>
      <c r="AS157" s="99">
        <f t="shared" si="148"/>
        <v>1.7621572351249999</v>
      </c>
      <c r="AT157" s="215">
        <f t="shared" si="192"/>
        <v>130.7294341075</v>
      </c>
      <c r="AU157" s="216">
        <f t="shared" si="193"/>
        <v>7.9053101025306577E-2</v>
      </c>
      <c r="AV157" s="102">
        <f t="shared" si="194"/>
        <v>18</v>
      </c>
      <c r="AW157" s="103">
        <f>(AV157/(AV157+AS157))*100</f>
        <v>91.083173693239502</v>
      </c>
      <c r="AX157" s="32"/>
      <c r="AY157" s="101">
        <f t="shared" si="195"/>
        <v>60</v>
      </c>
      <c r="AZ157" s="102">
        <f t="shared" si="196"/>
        <v>0.3</v>
      </c>
      <c r="BA157" s="102">
        <f t="shared" si="197"/>
        <v>15</v>
      </c>
      <c r="BB157" s="103">
        <f t="shared" si="198"/>
        <v>1.5</v>
      </c>
      <c r="BC157" s="101">
        <f t="shared" si="199"/>
        <v>2</v>
      </c>
      <c r="BD157" s="102">
        <f t="shared" si="200"/>
        <v>0.75</v>
      </c>
      <c r="BE157" s="100">
        <f t="shared" si="201"/>
        <v>0.25</v>
      </c>
      <c r="BF157" s="101">
        <f t="shared" si="202"/>
        <v>0.45000000000000007</v>
      </c>
      <c r="BG157" s="102">
        <f t="shared" si="232"/>
        <v>1.7250000000000001</v>
      </c>
      <c r="BH157" s="102">
        <f t="shared" si="233"/>
        <v>1.5056144924913548</v>
      </c>
      <c r="BI157" s="102">
        <v>0</v>
      </c>
      <c r="BJ157" s="102">
        <f t="shared" si="203"/>
        <v>2.2668749999999998E-2</v>
      </c>
      <c r="BK157" s="103">
        <f t="shared" si="219"/>
        <v>2.2668749999999998E-2</v>
      </c>
      <c r="BL157" s="101">
        <f t="shared" si="231"/>
        <v>1.125</v>
      </c>
      <c r="BM157" s="97">
        <f t="shared" si="220"/>
        <v>1.3039003988035283</v>
      </c>
      <c r="BN157" s="97">
        <f t="shared" si="221"/>
        <v>0.13440262379005638</v>
      </c>
      <c r="BO157" s="97">
        <f t="shared" si="222"/>
        <v>1.575</v>
      </c>
      <c r="BP157" s="103">
        <f t="shared" si="223"/>
        <v>1.7094026237900564</v>
      </c>
      <c r="BQ157" s="101">
        <f>BE157*BB157</f>
        <v>0.375</v>
      </c>
      <c r="BR157" s="102">
        <f t="shared" si="204"/>
        <v>0.75280724624567741</v>
      </c>
      <c r="BS157" s="102">
        <f t="shared" si="205"/>
        <v>0.126</v>
      </c>
      <c r="BT157" s="102">
        <f t="shared" si="206"/>
        <v>0.75525000000000009</v>
      </c>
      <c r="BU157" s="103">
        <f t="shared" si="225"/>
        <v>0.88125000000000009</v>
      </c>
      <c r="BV157" s="99">
        <f t="shared" si="226"/>
        <v>0</v>
      </c>
      <c r="BW157" s="102">
        <f t="shared" si="207"/>
        <v>8.7499999999999994E-2</v>
      </c>
      <c r="BX157" s="103">
        <f t="shared" si="208"/>
        <v>1.155E-2</v>
      </c>
      <c r="BY157" s="101">
        <f t="shared" si="227"/>
        <v>2.7123713737900563</v>
      </c>
      <c r="BZ157" s="102">
        <f t="shared" si="228"/>
        <v>18</v>
      </c>
      <c r="CA157" s="103">
        <f>(BZ157/(BZ157+BY157))*100</f>
        <v>86.904583136133041</v>
      </c>
      <c r="CB157" s="51">
        <f t="shared" si="230"/>
        <v>1.8084526237900562</v>
      </c>
      <c r="CC157" s="32">
        <f t="shared" si="209"/>
        <v>88.295841832651973</v>
      </c>
    </row>
    <row r="158" spans="17:81" ht="15" thickBot="1" x14ac:dyDescent="0.35">
      <c r="Q158" s="32">
        <v>151</v>
      </c>
      <c r="S158" s="101">
        <f t="shared" si="175"/>
        <v>60</v>
      </c>
      <c r="T158" s="97">
        <f t="shared" ref="T158:T221" si="234">Q158*$O$12</f>
        <v>0.30199999999999999</v>
      </c>
      <c r="U158" s="102">
        <f t="shared" si="176"/>
        <v>15</v>
      </c>
      <c r="V158" s="103">
        <f t="shared" ref="V158:V221" si="235">(S158*T158)/(U158*EFF_est)</f>
        <v>1.51</v>
      </c>
      <c r="W158" s="101">
        <f t="shared" ref="W158:W221" si="236">IF((T158*S158/U158)&lt;((U158*(1-(U158/S158)))/(2*Lm*Fsw)),1,2)</f>
        <v>2</v>
      </c>
      <c r="X158" s="102">
        <f t="shared" ref="X158:X221" si="237">CHOOSE(W158,SQRT((2*T158*Lm*Fsw*(S158-U158))/((U158)^2)),1-(U158/S158))</f>
        <v>0.75</v>
      </c>
      <c r="Y158" s="100">
        <f t="shared" ref="Y158:Y221" si="238">CHOOSE(W158,(Lm*AA158*Fsw)/(S158-U158),1-X158)</f>
        <v>0.25</v>
      </c>
      <c r="Z158" s="101">
        <f t="shared" ref="Z158:Z221" si="239">(U158*X158)/(Lm*Fsw)</f>
        <v>0.45000000000000007</v>
      </c>
      <c r="AA158" s="102">
        <f t="shared" ref="AA158:AA221" si="240">CHOOSE(W158,Z158,V158+(0.5*Z158))</f>
        <v>1.7350000000000001</v>
      </c>
      <c r="AB158" s="102">
        <f t="shared" ref="AB158:AB221" si="241">CHOOSE(W158,AA158*SQRT((X158+Y158)/3),SQRT((V158^2)+((Z158^2)/12)))</f>
        <v>1.5155774477076387</v>
      </c>
      <c r="AC158" s="102">
        <v>0</v>
      </c>
      <c r="AD158" s="102">
        <f t="shared" ref="AD158:AD221" si="242">(AB158^2)*Rdcr</f>
        <v>2.2969750000000004E-2</v>
      </c>
      <c r="AE158" s="103">
        <f t="shared" ref="AE158:AE221" si="243">AC158+AD158</f>
        <v>2.2969750000000004E-2</v>
      </c>
      <c r="AF158" s="101">
        <f t="shared" ref="AF158:AF221" si="244">V158*X158</f>
        <v>1.1325000000000001</v>
      </c>
      <c r="AG158" s="97">
        <f t="shared" ref="AG158:AG221" si="245">CHOOSE(W158,AA158*SQRT(X158/3),SQRT(X158*((AA158^2)+((Z158^2)/3)-(AA158*Z158))))</f>
        <v>1.3125285711175967</v>
      </c>
      <c r="AH158" s="102">
        <f t="shared" ref="AH158:AH221" si="246">(AG158^2)*RDS_on</f>
        <v>8.9277139851666701E-2</v>
      </c>
      <c r="AI158" s="97">
        <f t="shared" ref="AI158:AI221" si="247">((S158*V158)/2)*Fsw*(tr_sw_fix+tf_sw_fix)</f>
        <v>1.5854999999999999</v>
      </c>
      <c r="AJ158" s="103">
        <f t="shared" ref="AJ158:AJ221" si="248">AH158+AI158</f>
        <v>1.6747771398516667</v>
      </c>
      <c r="AK158" s="101">
        <f t="shared" ref="AK158:AK221" si="249">Y158*V158</f>
        <v>0.3775</v>
      </c>
      <c r="AL158" s="102">
        <f t="shared" ref="AL158:AL221" si="250">CHOOSE(W158,AA158*SQRT(Y158/3),SQRT(Y158*((AA158^2)+((Z158^2)/3)-(Z158*AA158))))</f>
        <v>0.75778872385381923</v>
      </c>
      <c r="AM158" s="102">
        <f t="shared" ref="AM158:AM221" si="251">T158*Vd_rect</f>
        <v>0.12683999999999998</v>
      </c>
      <c r="AN158" s="102">
        <f t="shared" ref="AN158:AN221" si="252">CHOOSE(W158,(S158+Vd_rect)*Qrr*Fsw,(S158+Vd_rect)*Qrr*Fsw)</f>
        <v>0.75525000000000009</v>
      </c>
      <c r="AO158" s="103">
        <f t="shared" ref="AO158:AO221" si="253">AM158+AN158</f>
        <v>0.88209000000000004</v>
      </c>
      <c r="AP158" s="99">
        <f t="shared" ref="AP158:AP221" si="254">(AG158^2)*0</f>
        <v>0</v>
      </c>
      <c r="AQ158" s="102">
        <f t="shared" si="190"/>
        <v>8.7499999999999994E-2</v>
      </c>
      <c r="AR158" s="103">
        <f t="shared" ref="AR158:AR221" si="255">IQ*U158</f>
        <v>1.155E-2</v>
      </c>
      <c r="AS158" s="99">
        <f t="shared" ref="AS158:AS221" si="256">AP158+AJ158+AQ158+AR158</f>
        <v>1.7738271398516665</v>
      </c>
      <c r="AT158" s="215">
        <f t="shared" ref="AT158:AT221" si="257">Ta+Tk*AS158</f>
        <v>131.42962839109998</v>
      </c>
      <c r="AU158" s="216">
        <f t="shared" ref="AU158:AU221" si="258">RDS_on/51.8*(47.12+AT158*0.244)</f>
        <v>7.9224024362685067E-2</v>
      </c>
      <c r="AV158" s="102">
        <f t="shared" ref="AV158:AV221" si="259">S158*T158</f>
        <v>18.12</v>
      </c>
      <c r="AW158" s="103">
        <f t="shared" ref="AW158:AW221" si="260">(AV158/(AV158+AS158))*100</f>
        <v>91.083529944329797</v>
      </c>
      <c r="AX158" s="32"/>
      <c r="AY158" s="101">
        <f t="shared" si="195"/>
        <v>60</v>
      </c>
      <c r="AZ158" s="102">
        <f t="shared" ref="AZ158:AZ221" si="261">Q158*$O$12</f>
        <v>0.30199999999999999</v>
      </c>
      <c r="BA158" s="102">
        <f t="shared" si="197"/>
        <v>15</v>
      </c>
      <c r="BB158" s="103">
        <f t="shared" ref="BB158:BB221" si="262">(AY158*AZ158)/(BA158*EFF_est)</f>
        <v>1.51</v>
      </c>
      <c r="BC158" s="101">
        <f t="shared" ref="BC158:BC221" si="263">IF((AZ158*AY158/BA158)&lt;((BA158*(1-(BA158/AY158)))/(2*Lm*Fsw)),1,2)</f>
        <v>2</v>
      </c>
      <c r="BD158" s="102">
        <f t="shared" ref="BD158:BD221" si="264">CHOOSE(BC158,SQRT((2*AZ158*Lm*Fsw*(AY158-BA158))/((BA158)^2)),1-(BA158/AY158))</f>
        <v>0.75</v>
      </c>
      <c r="BE158" s="100">
        <f t="shared" ref="BE158:BE221" si="265">CHOOSE(BC158,(Lm*BG158*Fsw)/(AY158-BA158),1-BD158)</f>
        <v>0.25</v>
      </c>
      <c r="BF158" s="101">
        <f t="shared" ref="BF158:BF221" si="266">(BA158*BD158)/(Lm*Fsw)</f>
        <v>0.45000000000000007</v>
      </c>
      <c r="BG158" s="102">
        <f t="shared" ref="BG158:BG221" si="267">CHOOSE(BC158,BF158,BB158+(0.5*BF158))</f>
        <v>1.7350000000000001</v>
      </c>
      <c r="BH158" s="102">
        <f t="shared" ref="BH158:BH221" si="268">CHOOSE(BC158,BG158*SQRT((BD158+BE158)/3),SQRT((BB158^2)+((BF158^2)/12)))</f>
        <v>1.5155774477076387</v>
      </c>
      <c r="BI158" s="102">
        <v>0</v>
      </c>
      <c r="BJ158" s="102">
        <f t="shared" ref="BJ158:BJ221" si="269">(BH158^2)*Rdcr</f>
        <v>2.2969750000000004E-2</v>
      </c>
      <c r="BK158" s="103">
        <f t="shared" ref="BK158:BK221" si="270">BI158+BJ158</f>
        <v>2.2969750000000004E-2</v>
      </c>
      <c r="BL158" s="101">
        <f t="shared" ref="BL158:BL221" si="271">BB158*BD158</f>
        <v>1.1325000000000001</v>
      </c>
      <c r="BM158" s="97">
        <f t="shared" ref="BM158:BM221" si="272">CHOOSE(BC158,BG158*SQRT(BD158/3),SQRT(BD158*((BG158^2)+((BF158^2)/3)-(BG158*BF158))))</f>
        <v>1.3125285711175967</v>
      </c>
      <c r="BN158" s="97">
        <f t="shared" ref="BN158:BN221" si="273">(BM158^2)*AU158</f>
        <v>0.13648170252035891</v>
      </c>
      <c r="BO158" s="97">
        <f t="shared" ref="BO158:BO221" si="274">((AY158*BB158)/2)*Fsw*(tr_sw_fix+tf_sw_fix)</f>
        <v>1.5854999999999999</v>
      </c>
      <c r="BP158" s="103">
        <f t="shared" ref="BP158:BP221" si="275">BN158+BO158</f>
        <v>1.7219817025203588</v>
      </c>
      <c r="BQ158" s="101">
        <f t="shared" ref="BQ158:BQ221" si="276">BE158*BB158</f>
        <v>0.3775</v>
      </c>
      <c r="BR158" s="102">
        <f t="shared" ref="BR158:BR221" si="277">CHOOSE(BC158,BG158*SQRT(BE158/3),SQRT(BE158*((BG158^2)+((BF158^2)/3)-(BF158*BG158))))</f>
        <v>0.75778872385381923</v>
      </c>
      <c r="BS158" s="102">
        <f t="shared" ref="BS158:BS221" si="278">AZ158*Vd_rect</f>
        <v>0.12683999999999998</v>
      </c>
      <c r="BT158" s="102">
        <f t="shared" ref="BT158:BT221" si="279">CHOOSE(BC158,(AY158+Vd_rect)*Qrr*Fsw,(AY158+Vd_rect)*Qrr*Fsw)</f>
        <v>0.75525000000000009</v>
      </c>
      <c r="BU158" s="103">
        <f t="shared" ref="BU158:BU221" si="280">BS158+BT158</f>
        <v>0.88209000000000004</v>
      </c>
      <c r="BV158" s="99">
        <f t="shared" ref="BV158:BV221" si="281">(BM158^2)*0</f>
        <v>0</v>
      </c>
      <c r="BW158" s="102">
        <f t="shared" si="207"/>
        <v>8.7499999999999994E-2</v>
      </c>
      <c r="BX158" s="103">
        <f t="shared" ref="BX158:BX221" si="282">IQ*BA158</f>
        <v>1.155E-2</v>
      </c>
      <c r="BY158" s="101">
        <f t="shared" ref="BY158:BY221" si="283">BV158+BU158+BP158+BK158+BW158+BX158</f>
        <v>2.7260914525203588</v>
      </c>
      <c r="BZ158" s="102">
        <f t="shared" ref="BZ158:BZ221" si="284">AY158*AZ158</f>
        <v>18.12</v>
      </c>
      <c r="CA158" s="103">
        <f t="shared" ref="CA158:CA221" si="285">(BZ158/(BZ158+BY158))*100</f>
        <v>86.92276938950701</v>
      </c>
      <c r="CB158" s="51">
        <f t="shared" ref="CB158:CB221" si="286">BP158+BW158+BX158+BV158</f>
        <v>1.8210317025203586</v>
      </c>
      <c r="CC158" s="32">
        <f t="shared" ref="CC158:CC221" si="287">Ta+Tk_f*CB158</f>
        <v>88.736109588212543</v>
      </c>
    </row>
    <row r="159" spans="17:81" ht="15" thickBot="1" x14ac:dyDescent="0.35">
      <c r="Q159" s="32">
        <v>152</v>
      </c>
      <c r="S159" s="101">
        <f t="shared" si="175"/>
        <v>60</v>
      </c>
      <c r="T159" s="97">
        <f t="shared" si="234"/>
        <v>0.30399999999999999</v>
      </c>
      <c r="U159" s="102">
        <f t="shared" si="176"/>
        <v>15</v>
      </c>
      <c r="V159" s="103">
        <f t="shared" si="235"/>
        <v>1.5199999999999998</v>
      </c>
      <c r="W159" s="101">
        <f t="shared" si="236"/>
        <v>2</v>
      </c>
      <c r="X159" s="102">
        <f t="shared" si="237"/>
        <v>0.75</v>
      </c>
      <c r="Y159" s="100">
        <f t="shared" si="238"/>
        <v>0.25</v>
      </c>
      <c r="Z159" s="101">
        <f t="shared" si="239"/>
        <v>0.45000000000000007</v>
      </c>
      <c r="AA159" s="102">
        <f t="shared" si="240"/>
        <v>1.7449999999999999</v>
      </c>
      <c r="AB159" s="102">
        <f t="shared" si="241"/>
        <v>1.5255408876854135</v>
      </c>
      <c r="AC159" s="102">
        <v>0</v>
      </c>
      <c r="AD159" s="102">
        <f t="shared" si="242"/>
        <v>2.3272749999999995E-2</v>
      </c>
      <c r="AE159" s="103">
        <f t="shared" si="243"/>
        <v>2.3272749999999995E-2</v>
      </c>
      <c r="AF159" s="101">
        <f t="shared" si="244"/>
        <v>1.1399999999999999</v>
      </c>
      <c r="AG159" s="97">
        <f t="shared" si="245"/>
        <v>1.3211571632474313</v>
      </c>
      <c r="AH159" s="102">
        <f t="shared" si="246"/>
        <v>9.0454818031666676E-2</v>
      </c>
      <c r="AI159" s="97">
        <f t="shared" si="247"/>
        <v>1.5959999999999996</v>
      </c>
      <c r="AJ159" s="103">
        <f t="shared" si="248"/>
        <v>1.6864548180316663</v>
      </c>
      <c r="AK159" s="101">
        <f t="shared" si="249"/>
        <v>0.37999999999999995</v>
      </c>
      <c r="AL159" s="102">
        <f t="shared" si="250"/>
        <v>0.76277044384270676</v>
      </c>
      <c r="AM159" s="102">
        <f t="shared" si="251"/>
        <v>0.12767999999999999</v>
      </c>
      <c r="AN159" s="102">
        <f t="shared" si="252"/>
        <v>0.75525000000000009</v>
      </c>
      <c r="AO159" s="103">
        <f t="shared" si="253"/>
        <v>0.8829300000000001</v>
      </c>
      <c r="AP159" s="99">
        <f t="shared" si="254"/>
        <v>0</v>
      </c>
      <c r="AQ159" s="102">
        <f t="shared" si="190"/>
        <v>8.7499999999999994E-2</v>
      </c>
      <c r="AR159" s="103">
        <f t="shared" si="255"/>
        <v>1.155E-2</v>
      </c>
      <c r="AS159" s="99">
        <f t="shared" si="256"/>
        <v>1.7855048180316662</v>
      </c>
      <c r="AT159" s="215">
        <f t="shared" si="257"/>
        <v>132.13028908189997</v>
      </c>
      <c r="AU159" s="216">
        <f t="shared" si="258"/>
        <v>7.9395061553999613E-2</v>
      </c>
      <c r="AV159" s="102">
        <f t="shared" si="259"/>
        <v>18.239999999999998</v>
      </c>
      <c r="AW159" s="103">
        <f t="shared" si="260"/>
        <v>91.083846153911026</v>
      </c>
      <c r="AX159" s="32"/>
      <c r="AY159" s="101">
        <f t="shared" si="195"/>
        <v>60</v>
      </c>
      <c r="AZ159" s="102">
        <f t="shared" si="261"/>
        <v>0.30399999999999999</v>
      </c>
      <c r="BA159" s="102">
        <f t="shared" si="197"/>
        <v>15</v>
      </c>
      <c r="BB159" s="103">
        <f t="shared" si="262"/>
        <v>1.5199999999999998</v>
      </c>
      <c r="BC159" s="101">
        <f t="shared" si="263"/>
        <v>2</v>
      </c>
      <c r="BD159" s="102">
        <f t="shared" si="264"/>
        <v>0.75</v>
      </c>
      <c r="BE159" s="100">
        <f t="shared" si="265"/>
        <v>0.25</v>
      </c>
      <c r="BF159" s="101">
        <f t="shared" si="266"/>
        <v>0.45000000000000007</v>
      </c>
      <c r="BG159" s="102">
        <f t="shared" si="267"/>
        <v>1.7449999999999999</v>
      </c>
      <c r="BH159" s="102">
        <f t="shared" si="268"/>
        <v>1.5255408876854135</v>
      </c>
      <c r="BI159" s="102">
        <v>0</v>
      </c>
      <c r="BJ159" s="102">
        <f t="shared" si="269"/>
        <v>2.3272749999999995E-2</v>
      </c>
      <c r="BK159" s="103">
        <f t="shared" si="270"/>
        <v>2.3272749999999995E-2</v>
      </c>
      <c r="BL159" s="101">
        <f t="shared" si="271"/>
        <v>1.1399999999999999</v>
      </c>
      <c r="BM159" s="97">
        <f t="shared" si="272"/>
        <v>1.3211571632474313</v>
      </c>
      <c r="BN159" s="97">
        <f t="shared" si="273"/>
        <v>0.13858060640856332</v>
      </c>
      <c r="BO159" s="97">
        <f t="shared" si="274"/>
        <v>1.5959999999999996</v>
      </c>
      <c r="BP159" s="103">
        <f t="shared" si="275"/>
        <v>1.7345806064085629</v>
      </c>
      <c r="BQ159" s="101">
        <f t="shared" si="276"/>
        <v>0.37999999999999995</v>
      </c>
      <c r="BR159" s="102">
        <f t="shared" si="277"/>
        <v>0.76277044384270676</v>
      </c>
      <c r="BS159" s="102">
        <f t="shared" si="278"/>
        <v>0.12767999999999999</v>
      </c>
      <c r="BT159" s="102">
        <f t="shared" si="279"/>
        <v>0.75525000000000009</v>
      </c>
      <c r="BU159" s="103">
        <f t="shared" si="280"/>
        <v>0.8829300000000001</v>
      </c>
      <c r="BV159" s="99">
        <f t="shared" si="281"/>
        <v>0</v>
      </c>
      <c r="BW159" s="102">
        <f t="shared" si="207"/>
        <v>8.7499999999999994E-2</v>
      </c>
      <c r="BX159" s="103">
        <f t="shared" si="282"/>
        <v>1.155E-2</v>
      </c>
      <c r="BY159" s="101">
        <f t="shared" si="283"/>
        <v>2.7398333564085631</v>
      </c>
      <c r="BZ159" s="102">
        <f t="shared" si="284"/>
        <v>18.239999999999998</v>
      </c>
      <c r="CA159" s="103">
        <f t="shared" si="285"/>
        <v>86.940633369846836</v>
      </c>
      <c r="CB159" s="51">
        <f t="shared" si="286"/>
        <v>1.8336306064085628</v>
      </c>
      <c r="CC159" s="32">
        <f t="shared" si="287"/>
        <v>89.177071224299695</v>
      </c>
    </row>
    <row r="160" spans="17:81" ht="15" thickBot="1" x14ac:dyDescent="0.35">
      <c r="Q160" s="32">
        <v>153</v>
      </c>
      <c r="S160" s="101">
        <f t="shared" si="175"/>
        <v>60</v>
      </c>
      <c r="T160" s="97">
        <f t="shared" si="234"/>
        <v>0.30599999999999999</v>
      </c>
      <c r="U160" s="102">
        <f t="shared" si="176"/>
        <v>15</v>
      </c>
      <c r="V160" s="103">
        <f t="shared" si="235"/>
        <v>1.53</v>
      </c>
      <c r="W160" s="101">
        <f t="shared" si="236"/>
        <v>2</v>
      </c>
      <c r="X160" s="102">
        <f t="shared" si="237"/>
        <v>0.75</v>
      </c>
      <c r="Y160" s="100">
        <f t="shared" si="238"/>
        <v>0.25</v>
      </c>
      <c r="Z160" s="101">
        <f t="shared" si="239"/>
        <v>0.45000000000000007</v>
      </c>
      <c r="AA160" s="102">
        <f t="shared" si="240"/>
        <v>1.7550000000000001</v>
      </c>
      <c r="AB160" s="102">
        <f t="shared" si="241"/>
        <v>1.5355048029882552</v>
      </c>
      <c r="AC160" s="102">
        <v>0</v>
      </c>
      <c r="AD160" s="102">
        <f t="shared" si="242"/>
        <v>2.3577750000000008E-2</v>
      </c>
      <c r="AE160" s="103">
        <f t="shared" si="243"/>
        <v>2.3577750000000008E-2</v>
      </c>
      <c r="AF160" s="101">
        <f t="shared" si="244"/>
        <v>1.1475</v>
      </c>
      <c r="AG160" s="97">
        <f t="shared" si="245"/>
        <v>1.3297861670208486</v>
      </c>
      <c r="AH160" s="102">
        <f t="shared" si="246"/>
        <v>9.1640269665000038E-2</v>
      </c>
      <c r="AI160" s="97">
        <f t="shared" si="247"/>
        <v>1.6065</v>
      </c>
      <c r="AJ160" s="103">
        <f t="shared" si="248"/>
        <v>1.6981402696650001</v>
      </c>
      <c r="AK160" s="101">
        <f t="shared" si="249"/>
        <v>0.38250000000000001</v>
      </c>
      <c r="AL160" s="102">
        <f t="shared" si="250"/>
        <v>0.7677524014941276</v>
      </c>
      <c r="AM160" s="102">
        <f t="shared" si="251"/>
        <v>0.12852</v>
      </c>
      <c r="AN160" s="102">
        <f t="shared" si="252"/>
        <v>0.75525000000000009</v>
      </c>
      <c r="AO160" s="103">
        <f t="shared" si="253"/>
        <v>0.88377000000000006</v>
      </c>
      <c r="AP160" s="99">
        <f t="shared" si="254"/>
        <v>0</v>
      </c>
      <c r="AQ160" s="102">
        <f t="shared" si="190"/>
        <v>8.7499999999999994E-2</v>
      </c>
      <c r="AR160" s="103">
        <f t="shared" si="255"/>
        <v>1.155E-2</v>
      </c>
      <c r="AS160" s="99">
        <f t="shared" si="256"/>
        <v>1.797190269665</v>
      </c>
      <c r="AT160" s="215">
        <f t="shared" si="257"/>
        <v>132.8314161799</v>
      </c>
      <c r="AU160" s="216">
        <f t="shared" si="258"/>
        <v>7.9566212599250244E-2</v>
      </c>
      <c r="AV160" s="102">
        <f t="shared" si="259"/>
        <v>18.36</v>
      </c>
      <c r="AW160" s="103">
        <f t="shared" si="260"/>
        <v>91.084123106335753</v>
      </c>
      <c r="AX160" s="32"/>
      <c r="AY160" s="101">
        <f t="shared" si="195"/>
        <v>60</v>
      </c>
      <c r="AZ160" s="102">
        <f t="shared" si="261"/>
        <v>0.30599999999999999</v>
      </c>
      <c r="BA160" s="102">
        <f t="shared" si="197"/>
        <v>15</v>
      </c>
      <c r="BB160" s="103">
        <f t="shared" si="262"/>
        <v>1.53</v>
      </c>
      <c r="BC160" s="101">
        <f t="shared" si="263"/>
        <v>2</v>
      </c>
      <c r="BD160" s="102">
        <f t="shared" si="264"/>
        <v>0.75</v>
      </c>
      <c r="BE160" s="100">
        <f t="shared" si="265"/>
        <v>0.25</v>
      </c>
      <c r="BF160" s="101">
        <f t="shared" si="266"/>
        <v>0.45000000000000007</v>
      </c>
      <c r="BG160" s="102">
        <f t="shared" si="267"/>
        <v>1.7550000000000001</v>
      </c>
      <c r="BH160" s="102">
        <f t="shared" si="268"/>
        <v>1.5355048029882552</v>
      </c>
      <c r="BI160" s="102">
        <v>0</v>
      </c>
      <c r="BJ160" s="102">
        <f t="shared" si="269"/>
        <v>2.3577750000000008E-2</v>
      </c>
      <c r="BK160" s="103">
        <f t="shared" si="270"/>
        <v>2.3577750000000008E-2</v>
      </c>
      <c r="BL160" s="101">
        <f t="shared" si="271"/>
        <v>1.1475</v>
      </c>
      <c r="BM160" s="97">
        <f t="shared" si="272"/>
        <v>1.3297861670208486</v>
      </c>
      <c r="BN160" s="97">
        <f t="shared" si="273"/>
        <v>0.14069942018339796</v>
      </c>
      <c r="BO160" s="97">
        <f t="shared" si="274"/>
        <v>1.6065</v>
      </c>
      <c r="BP160" s="103">
        <f t="shared" si="275"/>
        <v>1.747199420183398</v>
      </c>
      <c r="BQ160" s="101">
        <f t="shared" si="276"/>
        <v>0.38250000000000001</v>
      </c>
      <c r="BR160" s="102">
        <f t="shared" si="277"/>
        <v>0.7677524014941276</v>
      </c>
      <c r="BS160" s="102">
        <f t="shared" si="278"/>
        <v>0.12852</v>
      </c>
      <c r="BT160" s="102">
        <f t="shared" si="279"/>
        <v>0.75525000000000009</v>
      </c>
      <c r="BU160" s="103">
        <f t="shared" si="280"/>
        <v>0.88377000000000006</v>
      </c>
      <c r="BV160" s="99">
        <f t="shared" si="281"/>
        <v>0</v>
      </c>
      <c r="BW160" s="102">
        <f t="shared" si="207"/>
        <v>8.7499999999999994E-2</v>
      </c>
      <c r="BX160" s="103">
        <f t="shared" si="282"/>
        <v>1.155E-2</v>
      </c>
      <c r="BY160" s="101">
        <f t="shared" si="283"/>
        <v>2.7535971701833981</v>
      </c>
      <c r="BZ160" s="102">
        <f t="shared" si="284"/>
        <v>18.36</v>
      </c>
      <c r="CA160" s="103">
        <f t="shared" si="285"/>
        <v>86.958180797007785</v>
      </c>
      <c r="CB160" s="51">
        <f t="shared" si="286"/>
        <v>1.8462494201833979</v>
      </c>
      <c r="CC160" s="32">
        <f t="shared" si="287"/>
        <v>89.618729706418932</v>
      </c>
    </row>
    <row r="161" spans="17:81" ht="15" thickBot="1" x14ac:dyDescent="0.35">
      <c r="Q161" s="32">
        <v>154</v>
      </c>
      <c r="S161" s="101">
        <f t="shared" si="175"/>
        <v>60</v>
      </c>
      <c r="T161" s="97">
        <f t="shared" si="234"/>
        <v>0.308</v>
      </c>
      <c r="U161" s="102">
        <f t="shared" si="176"/>
        <v>15</v>
      </c>
      <c r="V161" s="103">
        <f t="shared" si="235"/>
        <v>1.54</v>
      </c>
      <c r="W161" s="101">
        <f t="shared" si="236"/>
        <v>2</v>
      </c>
      <c r="X161" s="102">
        <f t="shared" si="237"/>
        <v>0.75</v>
      </c>
      <c r="Y161" s="100">
        <f t="shared" si="238"/>
        <v>0.25</v>
      </c>
      <c r="Z161" s="101">
        <f t="shared" si="239"/>
        <v>0.45000000000000007</v>
      </c>
      <c r="AA161" s="102">
        <f t="shared" si="240"/>
        <v>1.7650000000000001</v>
      </c>
      <c r="AB161" s="102">
        <f t="shared" si="241"/>
        <v>1.5454691844226465</v>
      </c>
      <c r="AC161" s="102">
        <v>0</v>
      </c>
      <c r="AD161" s="102">
        <f t="shared" si="242"/>
        <v>2.3884750000000003E-2</v>
      </c>
      <c r="AE161" s="103">
        <f t="shared" si="243"/>
        <v>2.3884750000000003E-2</v>
      </c>
      <c r="AF161" s="101">
        <f t="shared" si="244"/>
        <v>1.155</v>
      </c>
      <c r="AG161" s="97">
        <f t="shared" si="245"/>
        <v>1.3384155744760295</v>
      </c>
      <c r="AH161" s="102">
        <f t="shared" si="246"/>
        <v>9.2833494751666704E-2</v>
      </c>
      <c r="AI161" s="97">
        <f t="shared" si="247"/>
        <v>1.617</v>
      </c>
      <c r="AJ161" s="103">
        <f t="shared" si="248"/>
        <v>1.7098334947516667</v>
      </c>
      <c r="AK161" s="101">
        <f t="shared" si="249"/>
        <v>0.38500000000000001</v>
      </c>
      <c r="AL161" s="102">
        <f t="shared" si="250"/>
        <v>0.77273459221132335</v>
      </c>
      <c r="AM161" s="102">
        <f t="shared" si="251"/>
        <v>0.12936</v>
      </c>
      <c r="AN161" s="102">
        <f t="shared" si="252"/>
        <v>0.75525000000000009</v>
      </c>
      <c r="AO161" s="103">
        <f t="shared" si="253"/>
        <v>0.88461000000000012</v>
      </c>
      <c r="AP161" s="99">
        <f t="shared" si="254"/>
        <v>0</v>
      </c>
      <c r="AQ161" s="102">
        <f t="shared" si="190"/>
        <v>8.7499999999999994E-2</v>
      </c>
      <c r="AR161" s="103">
        <f t="shared" si="255"/>
        <v>1.155E-2</v>
      </c>
      <c r="AS161" s="99">
        <f t="shared" si="256"/>
        <v>1.8088834947516665</v>
      </c>
      <c r="AT161" s="215">
        <f t="shared" si="257"/>
        <v>133.53300968510001</v>
      </c>
      <c r="AU161" s="216">
        <f t="shared" si="258"/>
        <v>7.9737477498436946E-2</v>
      </c>
      <c r="AV161" s="102">
        <f t="shared" si="259"/>
        <v>18.48</v>
      </c>
      <c r="AW161" s="103">
        <f t="shared" si="260"/>
        <v>91.084361565684048</v>
      </c>
      <c r="AX161" s="32"/>
      <c r="AY161" s="101">
        <f t="shared" si="195"/>
        <v>60</v>
      </c>
      <c r="AZ161" s="102">
        <f t="shared" si="261"/>
        <v>0.308</v>
      </c>
      <c r="BA161" s="102">
        <f t="shared" si="197"/>
        <v>15</v>
      </c>
      <c r="BB161" s="103">
        <f t="shared" si="262"/>
        <v>1.54</v>
      </c>
      <c r="BC161" s="101">
        <f t="shared" si="263"/>
        <v>2</v>
      </c>
      <c r="BD161" s="102">
        <f t="shared" si="264"/>
        <v>0.75</v>
      </c>
      <c r="BE161" s="100">
        <f t="shared" si="265"/>
        <v>0.25</v>
      </c>
      <c r="BF161" s="101">
        <f t="shared" si="266"/>
        <v>0.45000000000000007</v>
      </c>
      <c r="BG161" s="102">
        <f t="shared" si="267"/>
        <v>1.7650000000000001</v>
      </c>
      <c r="BH161" s="102">
        <f t="shared" si="268"/>
        <v>1.5454691844226465</v>
      </c>
      <c r="BI161" s="102">
        <v>0</v>
      </c>
      <c r="BJ161" s="102">
        <f t="shared" si="269"/>
        <v>2.3884750000000003E-2</v>
      </c>
      <c r="BK161" s="103">
        <f t="shared" si="270"/>
        <v>2.3884750000000003E-2</v>
      </c>
      <c r="BL161" s="101">
        <f t="shared" si="271"/>
        <v>1.155</v>
      </c>
      <c r="BM161" s="97">
        <f t="shared" si="272"/>
        <v>1.3384155744760295</v>
      </c>
      <c r="BN161" s="97">
        <f t="shared" si="273"/>
        <v>0.14283822867605941</v>
      </c>
      <c r="BO161" s="97">
        <f t="shared" si="274"/>
        <v>1.617</v>
      </c>
      <c r="BP161" s="103">
        <f t="shared" si="275"/>
        <v>1.7598382286760594</v>
      </c>
      <c r="BQ161" s="101">
        <f t="shared" si="276"/>
        <v>0.38500000000000001</v>
      </c>
      <c r="BR161" s="102">
        <f t="shared" si="277"/>
        <v>0.77273459221132335</v>
      </c>
      <c r="BS161" s="102">
        <f t="shared" si="278"/>
        <v>0.12936</v>
      </c>
      <c r="BT161" s="102">
        <f t="shared" si="279"/>
        <v>0.75525000000000009</v>
      </c>
      <c r="BU161" s="103">
        <f t="shared" si="280"/>
        <v>0.88461000000000012</v>
      </c>
      <c r="BV161" s="99">
        <f t="shared" si="281"/>
        <v>0</v>
      </c>
      <c r="BW161" s="102">
        <f t="shared" si="207"/>
        <v>8.7499999999999994E-2</v>
      </c>
      <c r="BX161" s="103">
        <f t="shared" si="282"/>
        <v>1.155E-2</v>
      </c>
      <c r="BY161" s="101">
        <f t="shared" si="283"/>
        <v>2.7673829786760598</v>
      </c>
      <c r="BZ161" s="102">
        <f t="shared" si="284"/>
        <v>18.48</v>
      </c>
      <c r="CA161" s="103">
        <f t="shared" si="285"/>
        <v>86.975417248075132</v>
      </c>
      <c r="CB161" s="51">
        <f t="shared" si="286"/>
        <v>1.8588882286760593</v>
      </c>
      <c r="CC161" s="32">
        <f t="shared" si="287"/>
        <v>90.061088003662078</v>
      </c>
    </row>
    <row r="162" spans="17:81" ht="15" thickBot="1" x14ac:dyDescent="0.35">
      <c r="Q162" s="32">
        <v>155</v>
      </c>
      <c r="S162" s="101">
        <f t="shared" si="175"/>
        <v>60</v>
      </c>
      <c r="T162" s="97">
        <f t="shared" si="234"/>
        <v>0.31</v>
      </c>
      <c r="U162" s="102">
        <f t="shared" si="176"/>
        <v>15</v>
      </c>
      <c r="V162" s="103">
        <f t="shared" si="235"/>
        <v>1.55</v>
      </c>
      <c r="W162" s="101">
        <f t="shared" si="236"/>
        <v>2</v>
      </c>
      <c r="X162" s="102">
        <f t="shared" si="237"/>
        <v>0.75</v>
      </c>
      <c r="Y162" s="100">
        <f t="shared" si="238"/>
        <v>0.25</v>
      </c>
      <c r="Z162" s="101">
        <f t="shared" si="239"/>
        <v>0.45000000000000007</v>
      </c>
      <c r="AA162" s="102">
        <f t="shared" si="240"/>
        <v>1.7750000000000001</v>
      </c>
      <c r="AB162" s="102">
        <f t="shared" si="241"/>
        <v>1.5554340230302282</v>
      </c>
      <c r="AC162" s="102">
        <v>0</v>
      </c>
      <c r="AD162" s="102">
        <f t="shared" si="242"/>
        <v>2.4193750000000007E-2</v>
      </c>
      <c r="AE162" s="103">
        <f t="shared" si="243"/>
        <v>2.4193750000000007E-2</v>
      </c>
      <c r="AF162" s="101">
        <f t="shared" si="244"/>
        <v>1.1625000000000001</v>
      </c>
      <c r="AG162" s="97">
        <f t="shared" si="245"/>
        <v>1.3470453778548073</v>
      </c>
      <c r="AH162" s="102">
        <f t="shared" si="246"/>
        <v>9.4034493291666729E-2</v>
      </c>
      <c r="AI162" s="97">
        <f t="shared" si="247"/>
        <v>1.6274999999999999</v>
      </c>
      <c r="AJ162" s="103">
        <f t="shared" si="248"/>
        <v>1.7215344932916667</v>
      </c>
      <c r="AK162" s="101">
        <f t="shared" si="249"/>
        <v>0.38750000000000001</v>
      </c>
      <c r="AL162" s="102">
        <f t="shared" si="250"/>
        <v>0.77771701151511408</v>
      </c>
      <c r="AM162" s="102">
        <f t="shared" si="251"/>
        <v>0.13019999999999998</v>
      </c>
      <c r="AN162" s="102">
        <f t="shared" si="252"/>
        <v>0.75525000000000009</v>
      </c>
      <c r="AO162" s="103">
        <f t="shared" si="253"/>
        <v>0.88545000000000007</v>
      </c>
      <c r="AP162" s="99">
        <f t="shared" si="254"/>
        <v>0</v>
      </c>
      <c r="AQ162" s="102">
        <f t="shared" si="190"/>
        <v>8.7499999999999994E-2</v>
      </c>
      <c r="AR162" s="103">
        <f t="shared" si="255"/>
        <v>1.155E-2</v>
      </c>
      <c r="AS162" s="99">
        <f t="shared" si="256"/>
        <v>1.8205844932916666</v>
      </c>
      <c r="AT162" s="215">
        <f t="shared" si="257"/>
        <v>134.2350695975</v>
      </c>
      <c r="AU162" s="216">
        <f t="shared" si="258"/>
        <v>7.9908856251559718E-2</v>
      </c>
      <c r="AV162" s="102">
        <f t="shared" si="259"/>
        <v>18.600000000000001</v>
      </c>
      <c r="AW162" s="103">
        <f t="shared" si="260"/>
        <v>91.084562276414061</v>
      </c>
      <c r="AX162" s="32"/>
      <c r="AY162" s="101">
        <f t="shared" si="195"/>
        <v>60</v>
      </c>
      <c r="AZ162" s="102">
        <f t="shared" si="261"/>
        <v>0.31</v>
      </c>
      <c r="BA162" s="102">
        <f t="shared" si="197"/>
        <v>15</v>
      </c>
      <c r="BB162" s="103">
        <f t="shared" si="262"/>
        <v>1.55</v>
      </c>
      <c r="BC162" s="101">
        <f t="shared" si="263"/>
        <v>2</v>
      </c>
      <c r="BD162" s="102">
        <f t="shared" si="264"/>
        <v>0.75</v>
      </c>
      <c r="BE162" s="100">
        <f t="shared" si="265"/>
        <v>0.25</v>
      </c>
      <c r="BF162" s="101">
        <f t="shared" si="266"/>
        <v>0.45000000000000007</v>
      </c>
      <c r="BG162" s="102">
        <f t="shared" si="267"/>
        <v>1.7750000000000001</v>
      </c>
      <c r="BH162" s="102">
        <f t="shared" si="268"/>
        <v>1.5554340230302282</v>
      </c>
      <c r="BI162" s="102">
        <v>0</v>
      </c>
      <c r="BJ162" s="102">
        <f t="shared" si="269"/>
        <v>2.4193750000000007E-2</v>
      </c>
      <c r="BK162" s="103">
        <f t="shared" si="270"/>
        <v>2.4193750000000007E-2</v>
      </c>
      <c r="BL162" s="101">
        <f t="shared" si="271"/>
        <v>1.1625000000000001</v>
      </c>
      <c r="BM162" s="97">
        <f t="shared" si="272"/>
        <v>1.3470453778548073</v>
      </c>
      <c r="BN162" s="97">
        <f t="shared" si="273"/>
        <v>0.14499711682021302</v>
      </c>
      <c r="BO162" s="97">
        <f t="shared" si="274"/>
        <v>1.6274999999999999</v>
      </c>
      <c r="BP162" s="103">
        <f t="shared" si="275"/>
        <v>1.772497116820213</v>
      </c>
      <c r="BQ162" s="101">
        <f t="shared" si="276"/>
        <v>0.38750000000000001</v>
      </c>
      <c r="BR162" s="102">
        <f t="shared" si="277"/>
        <v>0.77771701151511408</v>
      </c>
      <c r="BS162" s="102">
        <f t="shared" si="278"/>
        <v>0.13019999999999998</v>
      </c>
      <c r="BT162" s="102">
        <f t="shared" si="279"/>
        <v>0.75525000000000009</v>
      </c>
      <c r="BU162" s="103">
        <f t="shared" si="280"/>
        <v>0.88545000000000007</v>
      </c>
      <c r="BV162" s="99">
        <f t="shared" si="281"/>
        <v>0</v>
      </c>
      <c r="BW162" s="102">
        <f t="shared" si="207"/>
        <v>8.7499999999999994E-2</v>
      </c>
      <c r="BX162" s="103">
        <f t="shared" si="282"/>
        <v>1.155E-2</v>
      </c>
      <c r="BY162" s="101">
        <f t="shared" si="283"/>
        <v>2.781190866820213</v>
      </c>
      <c r="BZ162" s="102">
        <f t="shared" si="284"/>
        <v>18.600000000000001</v>
      </c>
      <c r="CA162" s="103">
        <f t="shared" si="285"/>
        <v>86.992348161784918</v>
      </c>
      <c r="CB162" s="51">
        <f t="shared" si="286"/>
        <v>1.8715471168202129</v>
      </c>
      <c r="CC162" s="32">
        <f t="shared" si="287"/>
        <v>90.50414908870745</v>
      </c>
    </row>
    <row r="163" spans="17:81" ht="15" thickBot="1" x14ac:dyDescent="0.35">
      <c r="Q163" s="32">
        <v>156</v>
      </c>
      <c r="S163" s="101">
        <f t="shared" si="175"/>
        <v>60</v>
      </c>
      <c r="T163" s="97">
        <f t="shared" si="234"/>
        <v>0.312</v>
      </c>
      <c r="U163" s="102">
        <f t="shared" si="176"/>
        <v>15</v>
      </c>
      <c r="V163" s="103">
        <f t="shared" si="235"/>
        <v>1.5599999999999998</v>
      </c>
      <c r="W163" s="101">
        <f t="shared" si="236"/>
        <v>2</v>
      </c>
      <c r="X163" s="102">
        <f t="shared" si="237"/>
        <v>0.75</v>
      </c>
      <c r="Y163" s="100">
        <f t="shared" si="238"/>
        <v>0.25</v>
      </c>
      <c r="Z163" s="101">
        <f t="shared" si="239"/>
        <v>0.45000000000000007</v>
      </c>
      <c r="AA163" s="102">
        <f t="shared" si="240"/>
        <v>1.7849999999999999</v>
      </c>
      <c r="AB163" s="102">
        <f t="shared" si="241"/>
        <v>1.5653993100803385</v>
      </c>
      <c r="AC163" s="102">
        <v>0</v>
      </c>
      <c r="AD163" s="102">
        <f t="shared" si="242"/>
        <v>2.4504749999999999E-2</v>
      </c>
      <c r="AE163" s="103">
        <f t="shared" si="243"/>
        <v>2.4504749999999999E-2</v>
      </c>
      <c r="AF163" s="101">
        <f t="shared" si="244"/>
        <v>1.17</v>
      </c>
      <c r="AG163" s="97">
        <f t="shared" si="245"/>
        <v>1.3556755695962068</v>
      </c>
      <c r="AH163" s="102">
        <f t="shared" si="246"/>
        <v>9.5243265285000017E-2</v>
      </c>
      <c r="AI163" s="97">
        <f t="shared" si="247"/>
        <v>1.6379999999999999</v>
      </c>
      <c r="AJ163" s="103">
        <f t="shared" si="248"/>
        <v>1.7332432652849998</v>
      </c>
      <c r="AK163" s="101">
        <f t="shared" si="249"/>
        <v>0.38999999999999996</v>
      </c>
      <c r="AL163" s="102">
        <f t="shared" si="250"/>
        <v>0.78269965504016925</v>
      </c>
      <c r="AM163" s="102">
        <f t="shared" si="251"/>
        <v>0.13103999999999999</v>
      </c>
      <c r="AN163" s="102">
        <f t="shared" si="252"/>
        <v>0.75525000000000009</v>
      </c>
      <c r="AO163" s="103">
        <f t="shared" si="253"/>
        <v>0.88629000000000002</v>
      </c>
      <c r="AP163" s="99">
        <f t="shared" si="254"/>
        <v>0</v>
      </c>
      <c r="AQ163" s="102">
        <f t="shared" si="190"/>
        <v>8.7499999999999994E-2</v>
      </c>
      <c r="AR163" s="103">
        <f t="shared" si="255"/>
        <v>1.155E-2</v>
      </c>
      <c r="AS163" s="99">
        <f t="shared" si="256"/>
        <v>1.8322932652849997</v>
      </c>
      <c r="AT163" s="215">
        <f t="shared" si="257"/>
        <v>134.9375959171</v>
      </c>
      <c r="AU163" s="216">
        <f t="shared" si="258"/>
        <v>8.0080348858618547E-2</v>
      </c>
      <c r="AV163" s="102">
        <f t="shared" si="259"/>
        <v>18.72</v>
      </c>
      <c r="AW163" s="103">
        <f t="shared" si="260"/>
        <v>91.084725963987992</v>
      </c>
      <c r="AX163" s="32"/>
      <c r="AY163" s="101">
        <f t="shared" si="195"/>
        <v>60</v>
      </c>
      <c r="AZ163" s="102">
        <f t="shared" si="261"/>
        <v>0.312</v>
      </c>
      <c r="BA163" s="102">
        <f t="shared" si="197"/>
        <v>15</v>
      </c>
      <c r="BB163" s="103">
        <f t="shared" si="262"/>
        <v>1.5599999999999998</v>
      </c>
      <c r="BC163" s="101">
        <f t="shared" si="263"/>
        <v>2</v>
      </c>
      <c r="BD163" s="102">
        <f t="shared" si="264"/>
        <v>0.75</v>
      </c>
      <c r="BE163" s="100">
        <f t="shared" si="265"/>
        <v>0.25</v>
      </c>
      <c r="BF163" s="101">
        <f t="shared" si="266"/>
        <v>0.45000000000000007</v>
      </c>
      <c r="BG163" s="102">
        <f t="shared" si="267"/>
        <v>1.7849999999999999</v>
      </c>
      <c r="BH163" s="102">
        <f t="shared" si="268"/>
        <v>1.5653993100803385</v>
      </c>
      <c r="BI163" s="102">
        <v>0</v>
      </c>
      <c r="BJ163" s="102">
        <f t="shared" si="269"/>
        <v>2.4504749999999999E-2</v>
      </c>
      <c r="BK163" s="103">
        <f t="shared" si="270"/>
        <v>2.4504749999999999E-2</v>
      </c>
      <c r="BL163" s="101">
        <f t="shared" si="271"/>
        <v>1.17</v>
      </c>
      <c r="BM163" s="97">
        <f t="shared" si="272"/>
        <v>1.3556755695962068</v>
      </c>
      <c r="BN163" s="97">
        <f t="shared" si="273"/>
        <v>0.14717616965199246</v>
      </c>
      <c r="BO163" s="97">
        <f t="shared" si="274"/>
        <v>1.6379999999999999</v>
      </c>
      <c r="BP163" s="103">
        <f t="shared" si="275"/>
        <v>1.7851761696519923</v>
      </c>
      <c r="BQ163" s="101">
        <f t="shared" si="276"/>
        <v>0.38999999999999996</v>
      </c>
      <c r="BR163" s="102">
        <f t="shared" si="277"/>
        <v>0.78269965504016925</v>
      </c>
      <c r="BS163" s="102">
        <f t="shared" si="278"/>
        <v>0.13103999999999999</v>
      </c>
      <c r="BT163" s="102">
        <f t="shared" si="279"/>
        <v>0.75525000000000009</v>
      </c>
      <c r="BU163" s="103">
        <f t="shared" si="280"/>
        <v>0.88629000000000002</v>
      </c>
      <c r="BV163" s="99">
        <f t="shared" si="281"/>
        <v>0</v>
      </c>
      <c r="BW163" s="102">
        <f t="shared" si="207"/>
        <v>8.7499999999999994E-2</v>
      </c>
      <c r="BX163" s="103">
        <f t="shared" si="282"/>
        <v>1.155E-2</v>
      </c>
      <c r="BY163" s="101">
        <f t="shared" si="283"/>
        <v>2.7950209196519928</v>
      </c>
      <c r="BZ163" s="102">
        <f t="shared" si="284"/>
        <v>18.72</v>
      </c>
      <c r="CA163" s="103">
        <f t="shared" si="285"/>
        <v>87.008978842781431</v>
      </c>
      <c r="CB163" s="51">
        <f t="shared" si="286"/>
        <v>1.8842261696519922</v>
      </c>
      <c r="CC163" s="32">
        <f t="shared" si="287"/>
        <v>90.947915937819729</v>
      </c>
    </row>
    <row r="164" spans="17:81" ht="15" thickBot="1" x14ac:dyDescent="0.35">
      <c r="Q164" s="32">
        <v>157</v>
      </c>
      <c r="S164" s="101">
        <f t="shared" si="175"/>
        <v>60</v>
      </c>
      <c r="T164" s="97">
        <f t="shared" si="234"/>
        <v>0.314</v>
      </c>
      <c r="U164" s="102">
        <f t="shared" si="176"/>
        <v>15</v>
      </c>
      <c r="V164" s="103">
        <f t="shared" si="235"/>
        <v>1.57</v>
      </c>
      <c r="W164" s="101">
        <f t="shared" si="236"/>
        <v>2</v>
      </c>
      <c r="X164" s="102">
        <f t="shared" si="237"/>
        <v>0.75</v>
      </c>
      <c r="Y164" s="100">
        <f t="shared" si="238"/>
        <v>0.25</v>
      </c>
      <c r="Z164" s="101">
        <f t="shared" si="239"/>
        <v>0.45000000000000007</v>
      </c>
      <c r="AA164" s="102">
        <f t="shared" si="240"/>
        <v>1.7950000000000002</v>
      </c>
      <c r="AB164" s="102">
        <f t="shared" si="241"/>
        <v>1.5753650370628391</v>
      </c>
      <c r="AC164" s="102">
        <v>0</v>
      </c>
      <c r="AD164" s="102">
        <f t="shared" si="242"/>
        <v>2.4817750000000006E-2</v>
      </c>
      <c r="AE164" s="103">
        <f t="shared" si="243"/>
        <v>2.4817750000000006E-2</v>
      </c>
      <c r="AF164" s="101">
        <f t="shared" si="244"/>
        <v>1.1775</v>
      </c>
      <c r="AG164" s="97">
        <f t="shared" si="245"/>
        <v>1.3643061423302323</v>
      </c>
      <c r="AH164" s="102">
        <f t="shared" si="246"/>
        <v>9.6459810731666706E-2</v>
      </c>
      <c r="AI164" s="97">
        <f t="shared" si="247"/>
        <v>1.6484999999999999</v>
      </c>
      <c r="AJ164" s="103">
        <f t="shared" si="248"/>
        <v>1.7449598107316666</v>
      </c>
      <c r="AK164" s="101">
        <f t="shared" si="249"/>
        <v>0.39250000000000002</v>
      </c>
      <c r="AL164" s="102">
        <f t="shared" si="250"/>
        <v>0.78768251853141946</v>
      </c>
      <c r="AM164" s="102">
        <f t="shared" si="251"/>
        <v>0.13188</v>
      </c>
      <c r="AN164" s="102">
        <f t="shared" si="252"/>
        <v>0.75525000000000009</v>
      </c>
      <c r="AO164" s="103">
        <f t="shared" si="253"/>
        <v>0.88713000000000009</v>
      </c>
      <c r="AP164" s="99">
        <f t="shared" si="254"/>
        <v>0</v>
      </c>
      <c r="AQ164" s="102">
        <f t="shared" si="190"/>
        <v>8.7499999999999994E-2</v>
      </c>
      <c r="AR164" s="103">
        <f t="shared" si="255"/>
        <v>1.155E-2</v>
      </c>
      <c r="AS164" s="99">
        <f t="shared" si="256"/>
        <v>1.8440098107316665</v>
      </c>
      <c r="AT164" s="215">
        <f t="shared" si="257"/>
        <v>135.6405886439</v>
      </c>
      <c r="AU164" s="216">
        <f t="shared" si="258"/>
        <v>8.0251955319613461E-2</v>
      </c>
      <c r="AV164" s="102">
        <f t="shared" si="259"/>
        <v>18.84</v>
      </c>
      <c r="AW164" s="103">
        <f t="shared" si="260"/>
        <v>91.084853335474037</v>
      </c>
      <c r="AX164" s="32"/>
      <c r="AY164" s="101">
        <f t="shared" si="195"/>
        <v>60</v>
      </c>
      <c r="AZ164" s="102">
        <f t="shared" si="261"/>
        <v>0.314</v>
      </c>
      <c r="BA164" s="102">
        <f t="shared" si="197"/>
        <v>15</v>
      </c>
      <c r="BB164" s="103">
        <f t="shared" si="262"/>
        <v>1.57</v>
      </c>
      <c r="BC164" s="101">
        <f t="shared" si="263"/>
        <v>2</v>
      </c>
      <c r="BD164" s="102">
        <f t="shared" si="264"/>
        <v>0.75</v>
      </c>
      <c r="BE164" s="100">
        <f t="shared" si="265"/>
        <v>0.25</v>
      </c>
      <c r="BF164" s="101">
        <f t="shared" si="266"/>
        <v>0.45000000000000007</v>
      </c>
      <c r="BG164" s="102">
        <f t="shared" si="267"/>
        <v>1.7950000000000002</v>
      </c>
      <c r="BH164" s="102">
        <f t="shared" si="268"/>
        <v>1.5753650370628391</v>
      </c>
      <c r="BI164" s="102">
        <v>0</v>
      </c>
      <c r="BJ164" s="102">
        <f t="shared" si="269"/>
        <v>2.4817750000000006E-2</v>
      </c>
      <c r="BK164" s="103">
        <f t="shared" si="270"/>
        <v>2.4817750000000006E-2</v>
      </c>
      <c r="BL164" s="101">
        <f t="shared" si="271"/>
        <v>1.1775</v>
      </c>
      <c r="BM164" s="97">
        <f t="shared" si="272"/>
        <v>1.3643061423302323</v>
      </c>
      <c r="BN164" s="97">
        <f t="shared" si="273"/>
        <v>0.14937547231000028</v>
      </c>
      <c r="BO164" s="97">
        <f t="shared" si="274"/>
        <v>1.6484999999999999</v>
      </c>
      <c r="BP164" s="103">
        <f t="shared" si="275"/>
        <v>1.7978754723100001</v>
      </c>
      <c r="BQ164" s="101">
        <f t="shared" si="276"/>
        <v>0.39250000000000002</v>
      </c>
      <c r="BR164" s="102">
        <f t="shared" si="277"/>
        <v>0.78768251853141946</v>
      </c>
      <c r="BS164" s="102">
        <f t="shared" si="278"/>
        <v>0.13188</v>
      </c>
      <c r="BT164" s="102">
        <f t="shared" si="279"/>
        <v>0.75525000000000009</v>
      </c>
      <c r="BU164" s="103">
        <f t="shared" si="280"/>
        <v>0.88713000000000009</v>
      </c>
      <c r="BV164" s="99">
        <f t="shared" si="281"/>
        <v>0</v>
      </c>
      <c r="BW164" s="102">
        <f t="shared" si="207"/>
        <v>8.7499999999999994E-2</v>
      </c>
      <c r="BX164" s="103">
        <f t="shared" si="282"/>
        <v>1.155E-2</v>
      </c>
      <c r="BY164" s="101">
        <f t="shared" si="283"/>
        <v>2.8088732223100004</v>
      </c>
      <c r="BZ164" s="102">
        <f t="shared" si="284"/>
        <v>18.84</v>
      </c>
      <c r="CA164" s="103">
        <f t="shared" si="285"/>
        <v>87.025314465718466</v>
      </c>
      <c r="CB164" s="51">
        <f t="shared" si="286"/>
        <v>1.89692547231</v>
      </c>
      <c r="CC164" s="32">
        <f t="shared" si="287"/>
        <v>91.392391530850006</v>
      </c>
    </row>
    <row r="165" spans="17:81" ht="15" thickBot="1" x14ac:dyDescent="0.35">
      <c r="Q165" s="32">
        <v>158</v>
      </c>
      <c r="S165" s="101">
        <f t="shared" si="175"/>
        <v>60</v>
      </c>
      <c r="T165" s="97">
        <f t="shared" si="234"/>
        <v>0.316</v>
      </c>
      <c r="U165" s="102">
        <f t="shared" si="176"/>
        <v>15</v>
      </c>
      <c r="V165" s="103">
        <f t="shared" si="235"/>
        <v>1.58</v>
      </c>
      <c r="W165" s="101">
        <f t="shared" si="236"/>
        <v>2</v>
      </c>
      <c r="X165" s="102">
        <f t="shared" si="237"/>
        <v>0.75</v>
      </c>
      <c r="Y165" s="100">
        <f t="shared" si="238"/>
        <v>0.25</v>
      </c>
      <c r="Z165" s="101">
        <f t="shared" si="239"/>
        <v>0.45000000000000007</v>
      </c>
      <c r="AA165" s="102">
        <f t="shared" si="240"/>
        <v>1.8050000000000002</v>
      </c>
      <c r="AB165" s="102">
        <f t="shared" si="241"/>
        <v>1.5853311956812055</v>
      </c>
      <c r="AC165" s="102">
        <v>0</v>
      </c>
      <c r="AD165" s="102">
        <f t="shared" si="242"/>
        <v>2.5132750000000006E-2</v>
      </c>
      <c r="AE165" s="103">
        <f t="shared" si="243"/>
        <v>2.5132750000000006E-2</v>
      </c>
      <c r="AF165" s="101">
        <f t="shared" si="244"/>
        <v>1.1850000000000001</v>
      </c>
      <c r="AG165" s="97">
        <f t="shared" si="245"/>
        <v>1.3729370888718828</v>
      </c>
      <c r="AH165" s="102">
        <f t="shared" si="246"/>
        <v>9.7684129631666713E-2</v>
      </c>
      <c r="AI165" s="97">
        <f t="shared" si="247"/>
        <v>1.6590000000000003</v>
      </c>
      <c r="AJ165" s="103">
        <f t="shared" si="248"/>
        <v>1.7566841296316669</v>
      </c>
      <c r="AK165" s="101">
        <f t="shared" si="249"/>
        <v>0.39500000000000002</v>
      </c>
      <c r="AL165" s="102">
        <f t="shared" si="250"/>
        <v>0.79266559784060264</v>
      </c>
      <c r="AM165" s="102">
        <f t="shared" si="251"/>
        <v>0.13272</v>
      </c>
      <c r="AN165" s="102">
        <f t="shared" si="252"/>
        <v>0.75525000000000009</v>
      </c>
      <c r="AO165" s="103">
        <f t="shared" si="253"/>
        <v>0.88797000000000015</v>
      </c>
      <c r="AP165" s="99">
        <f t="shared" si="254"/>
        <v>0</v>
      </c>
      <c r="AQ165" s="102">
        <f t="shared" si="190"/>
        <v>8.7499999999999994E-2</v>
      </c>
      <c r="AR165" s="103">
        <f t="shared" si="255"/>
        <v>1.155E-2</v>
      </c>
      <c r="AS165" s="99">
        <f t="shared" si="256"/>
        <v>1.8557341296316667</v>
      </c>
      <c r="AT165" s="215">
        <f t="shared" si="257"/>
        <v>136.34404777790002</v>
      </c>
      <c r="AU165" s="216">
        <f t="shared" si="258"/>
        <v>8.0423675634544431E-2</v>
      </c>
      <c r="AV165" s="102">
        <f t="shared" si="259"/>
        <v>18.96</v>
      </c>
      <c r="AW165" s="103">
        <f t="shared" si="260"/>
        <v>91.084945080125763</v>
      </c>
      <c r="AX165" s="32"/>
      <c r="AY165" s="101">
        <f t="shared" si="195"/>
        <v>60</v>
      </c>
      <c r="AZ165" s="102">
        <f t="shared" si="261"/>
        <v>0.316</v>
      </c>
      <c r="BA165" s="102">
        <f t="shared" si="197"/>
        <v>15</v>
      </c>
      <c r="BB165" s="103">
        <f t="shared" si="262"/>
        <v>1.58</v>
      </c>
      <c r="BC165" s="101">
        <f t="shared" si="263"/>
        <v>2</v>
      </c>
      <c r="BD165" s="102">
        <f t="shared" si="264"/>
        <v>0.75</v>
      </c>
      <c r="BE165" s="100">
        <f t="shared" si="265"/>
        <v>0.25</v>
      </c>
      <c r="BF165" s="101">
        <f t="shared" si="266"/>
        <v>0.45000000000000007</v>
      </c>
      <c r="BG165" s="102">
        <f t="shared" si="267"/>
        <v>1.8050000000000002</v>
      </c>
      <c r="BH165" s="102">
        <f t="shared" si="268"/>
        <v>1.5853311956812055</v>
      </c>
      <c r="BI165" s="102">
        <v>0</v>
      </c>
      <c r="BJ165" s="102">
        <f t="shared" si="269"/>
        <v>2.5132750000000006E-2</v>
      </c>
      <c r="BK165" s="103">
        <f t="shared" si="270"/>
        <v>2.5132750000000006E-2</v>
      </c>
      <c r="BL165" s="101">
        <f t="shared" si="271"/>
        <v>1.1850000000000001</v>
      </c>
      <c r="BM165" s="97">
        <f t="shared" si="272"/>
        <v>1.3729370888718828</v>
      </c>
      <c r="BN165" s="97">
        <f t="shared" si="273"/>
        <v>0.15159511003530726</v>
      </c>
      <c r="BO165" s="97">
        <f t="shared" si="274"/>
        <v>1.6590000000000003</v>
      </c>
      <c r="BP165" s="103">
        <f t="shared" si="275"/>
        <v>1.8105951100353075</v>
      </c>
      <c r="BQ165" s="101">
        <f t="shared" si="276"/>
        <v>0.39500000000000002</v>
      </c>
      <c r="BR165" s="102">
        <f t="shared" si="277"/>
        <v>0.79266559784060264</v>
      </c>
      <c r="BS165" s="102">
        <f t="shared" si="278"/>
        <v>0.13272</v>
      </c>
      <c r="BT165" s="102">
        <f t="shared" si="279"/>
        <v>0.75525000000000009</v>
      </c>
      <c r="BU165" s="103">
        <f t="shared" si="280"/>
        <v>0.88797000000000015</v>
      </c>
      <c r="BV165" s="99">
        <f t="shared" si="281"/>
        <v>0</v>
      </c>
      <c r="BW165" s="102">
        <f t="shared" si="207"/>
        <v>8.7499999999999994E-2</v>
      </c>
      <c r="BX165" s="103">
        <f t="shared" si="282"/>
        <v>1.155E-2</v>
      </c>
      <c r="BY165" s="101">
        <f t="shared" si="283"/>
        <v>2.8227478600353075</v>
      </c>
      <c r="BZ165" s="102">
        <f t="shared" si="284"/>
        <v>18.96</v>
      </c>
      <c r="CA165" s="103">
        <f t="shared" si="285"/>
        <v>87.041360079211188</v>
      </c>
      <c r="CB165" s="51">
        <f t="shared" si="286"/>
        <v>1.9096451100353073</v>
      </c>
      <c r="CC165" s="32">
        <f t="shared" si="287"/>
        <v>91.837578851235762</v>
      </c>
    </row>
    <row r="166" spans="17:81" ht="15" thickBot="1" x14ac:dyDescent="0.35">
      <c r="Q166" s="32">
        <v>159</v>
      </c>
      <c r="S166" s="101">
        <f t="shared" si="175"/>
        <v>60</v>
      </c>
      <c r="T166" s="97">
        <f t="shared" si="234"/>
        <v>0.318</v>
      </c>
      <c r="U166" s="102">
        <f t="shared" si="176"/>
        <v>15</v>
      </c>
      <c r="V166" s="103">
        <f t="shared" si="235"/>
        <v>1.59</v>
      </c>
      <c r="W166" s="101">
        <f t="shared" si="236"/>
        <v>2</v>
      </c>
      <c r="X166" s="102">
        <f t="shared" si="237"/>
        <v>0.75</v>
      </c>
      <c r="Y166" s="100">
        <f t="shared" si="238"/>
        <v>0.25</v>
      </c>
      <c r="Z166" s="101">
        <f t="shared" si="239"/>
        <v>0.45000000000000007</v>
      </c>
      <c r="AA166" s="102">
        <f t="shared" si="240"/>
        <v>1.8150000000000002</v>
      </c>
      <c r="AB166" s="102">
        <f t="shared" si="241"/>
        <v>1.5952977778458792</v>
      </c>
      <c r="AC166" s="102">
        <v>0</v>
      </c>
      <c r="AD166" s="102">
        <f t="shared" si="242"/>
        <v>2.5449750000000004E-2</v>
      </c>
      <c r="AE166" s="103">
        <f t="shared" si="243"/>
        <v>2.5449750000000004E-2</v>
      </c>
      <c r="AF166" s="101">
        <f t="shared" si="244"/>
        <v>1.1925000000000001</v>
      </c>
      <c r="AG166" s="97">
        <f t="shared" si="245"/>
        <v>1.3815684022153951</v>
      </c>
      <c r="AH166" s="102">
        <f t="shared" si="246"/>
        <v>9.8916221985000011E-2</v>
      </c>
      <c r="AI166" s="97">
        <f t="shared" si="247"/>
        <v>1.6695</v>
      </c>
      <c r="AJ166" s="103">
        <f t="shared" si="248"/>
        <v>1.7684162219849999</v>
      </c>
      <c r="AK166" s="101">
        <f t="shared" si="249"/>
        <v>0.39750000000000002</v>
      </c>
      <c r="AL166" s="102">
        <f t="shared" si="250"/>
        <v>0.79764888892293961</v>
      </c>
      <c r="AM166" s="102">
        <f t="shared" si="251"/>
        <v>0.13355999999999998</v>
      </c>
      <c r="AN166" s="102">
        <f t="shared" si="252"/>
        <v>0.75525000000000009</v>
      </c>
      <c r="AO166" s="103">
        <f t="shared" si="253"/>
        <v>0.8888100000000001</v>
      </c>
      <c r="AP166" s="99">
        <f t="shared" si="254"/>
        <v>0</v>
      </c>
      <c r="AQ166" s="102">
        <f t="shared" si="190"/>
        <v>8.7499999999999994E-2</v>
      </c>
      <c r="AR166" s="103">
        <f t="shared" si="255"/>
        <v>1.155E-2</v>
      </c>
      <c r="AS166" s="99">
        <f t="shared" si="256"/>
        <v>1.8674662219849998</v>
      </c>
      <c r="AT166" s="215">
        <f t="shared" si="257"/>
        <v>137.04797331909998</v>
      </c>
      <c r="AU166" s="216">
        <f t="shared" si="258"/>
        <v>8.0595509803411472E-2</v>
      </c>
      <c r="AV166" s="102">
        <f t="shared" si="259"/>
        <v>19.080000000000002</v>
      </c>
      <c r="AW166" s="103">
        <f t="shared" si="260"/>
        <v>91.085001869939575</v>
      </c>
      <c r="AX166" s="32"/>
      <c r="AY166" s="101">
        <f t="shared" si="195"/>
        <v>60</v>
      </c>
      <c r="AZ166" s="102">
        <f t="shared" si="261"/>
        <v>0.318</v>
      </c>
      <c r="BA166" s="102">
        <f t="shared" si="197"/>
        <v>15</v>
      </c>
      <c r="BB166" s="103">
        <f t="shared" si="262"/>
        <v>1.59</v>
      </c>
      <c r="BC166" s="101">
        <f t="shared" si="263"/>
        <v>2</v>
      </c>
      <c r="BD166" s="102">
        <f t="shared" si="264"/>
        <v>0.75</v>
      </c>
      <c r="BE166" s="100">
        <f t="shared" si="265"/>
        <v>0.25</v>
      </c>
      <c r="BF166" s="101">
        <f t="shared" si="266"/>
        <v>0.45000000000000007</v>
      </c>
      <c r="BG166" s="102">
        <f t="shared" si="267"/>
        <v>1.8150000000000002</v>
      </c>
      <c r="BH166" s="102">
        <f t="shared" si="268"/>
        <v>1.5952977778458792</v>
      </c>
      <c r="BI166" s="102">
        <v>0</v>
      </c>
      <c r="BJ166" s="102">
        <f t="shared" si="269"/>
        <v>2.5449750000000004E-2</v>
      </c>
      <c r="BK166" s="103">
        <f t="shared" si="270"/>
        <v>2.5449750000000004E-2</v>
      </c>
      <c r="BL166" s="101">
        <f t="shared" si="271"/>
        <v>1.1925000000000001</v>
      </c>
      <c r="BM166" s="97">
        <f t="shared" si="272"/>
        <v>1.3815684022153951</v>
      </c>
      <c r="BN166" s="97">
        <f t="shared" si="273"/>
        <v>0.15383516817145282</v>
      </c>
      <c r="BO166" s="97">
        <f t="shared" si="274"/>
        <v>1.6695</v>
      </c>
      <c r="BP166" s="103">
        <f t="shared" si="275"/>
        <v>1.8233351681714529</v>
      </c>
      <c r="BQ166" s="101">
        <f t="shared" si="276"/>
        <v>0.39750000000000002</v>
      </c>
      <c r="BR166" s="102">
        <f t="shared" si="277"/>
        <v>0.79764888892293961</v>
      </c>
      <c r="BS166" s="102">
        <f t="shared" si="278"/>
        <v>0.13355999999999998</v>
      </c>
      <c r="BT166" s="102">
        <f t="shared" si="279"/>
        <v>0.75525000000000009</v>
      </c>
      <c r="BU166" s="103">
        <f t="shared" si="280"/>
        <v>0.8888100000000001</v>
      </c>
      <c r="BV166" s="99">
        <f t="shared" si="281"/>
        <v>0</v>
      </c>
      <c r="BW166" s="102">
        <f t="shared" si="207"/>
        <v>8.7499999999999994E-2</v>
      </c>
      <c r="BX166" s="103">
        <f t="shared" si="282"/>
        <v>1.155E-2</v>
      </c>
      <c r="BY166" s="101">
        <f t="shared" si="283"/>
        <v>2.8366449181714533</v>
      </c>
      <c r="BZ166" s="102">
        <f t="shared" si="284"/>
        <v>19.080000000000002</v>
      </c>
      <c r="CA166" s="103">
        <f t="shared" si="285"/>
        <v>87.057120609644286</v>
      </c>
      <c r="CB166" s="51">
        <f t="shared" si="286"/>
        <v>1.9223851681714528</v>
      </c>
      <c r="CC166" s="32">
        <f t="shared" si="287"/>
        <v>92.283480886000845</v>
      </c>
    </row>
    <row r="167" spans="17:81" ht="15" thickBot="1" x14ac:dyDescent="0.35">
      <c r="Q167" s="32">
        <v>160</v>
      </c>
      <c r="S167" s="101">
        <f t="shared" si="175"/>
        <v>60</v>
      </c>
      <c r="T167" s="97">
        <f t="shared" si="234"/>
        <v>0.32</v>
      </c>
      <c r="U167" s="102">
        <f t="shared" si="176"/>
        <v>15</v>
      </c>
      <c r="V167" s="103">
        <f t="shared" si="235"/>
        <v>1.5999999999999999</v>
      </c>
      <c r="W167" s="101">
        <f t="shared" si="236"/>
        <v>2</v>
      </c>
      <c r="X167" s="102">
        <f t="shared" si="237"/>
        <v>0.75</v>
      </c>
      <c r="Y167" s="100">
        <f t="shared" si="238"/>
        <v>0.25</v>
      </c>
      <c r="Z167" s="101">
        <f t="shared" si="239"/>
        <v>0.45000000000000007</v>
      </c>
      <c r="AA167" s="102">
        <f t="shared" si="240"/>
        <v>1.825</v>
      </c>
      <c r="AB167" s="102">
        <f t="shared" si="241"/>
        <v>1.6052647756678646</v>
      </c>
      <c r="AC167" s="102">
        <v>0</v>
      </c>
      <c r="AD167" s="102">
        <f t="shared" si="242"/>
        <v>2.576875E-2</v>
      </c>
      <c r="AE167" s="103">
        <f t="shared" si="243"/>
        <v>2.576875E-2</v>
      </c>
      <c r="AF167" s="101">
        <f t="shared" si="244"/>
        <v>1.2</v>
      </c>
      <c r="AG167" s="97">
        <f t="shared" si="245"/>
        <v>1.3902000755286987</v>
      </c>
      <c r="AH167" s="102">
        <f t="shared" si="246"/>
        <v>0.10015608779166668</v>
      </c>
      <c r="AI167" s="97">
        <f t="shared" si="247"/>
        <v>1.6799999999999997</v>
      </c>
      <c r="AJ167" s="103">
        <f t="shared" si="248"/>
        <v>1.7801560877916665</v>
      </c>
      <c r="AK167" s="101">
        <f t="shared" si="249"/>
        <v>0.39999999999999997</v>
      </c>
      <c r="AL167" s="102">
        <f t="shared" si="250"/>
        <v>0.80263238783393231</v>
      </c>
      <c r="AM167" s="102">
        <f t="shared" si="251"/>
        <v>0.13439999999999999</v>
      </c>
      <c r="AN167" s="102">
        <f t="shared" si="252"/>
        <v>0.75525000000000009</v>
      </c>
      <c r="AO167" s="103">
        <f t="shared" si="253"/>
        <v>0.88965000000000005</v>
      </c>
      <c r="AP167" s="99">
        <f t="shared" si="254"/>
        <v>0</v>
      </c>
      <c r="AQ167" s="102">
        <f t="shared" si="190"/>
        <v>8.7499999999999994E-2</v>
      </c>
      <c r="AR167" s="103">
        <f t="shared" si="255"/>
        <v>1.155E-2</v>
      </c>
      <c r="AS167" s="99">
        <f t="shared" si="256"/>
        <v>1.8792060877916663</v>
      </c>
      <c r="AT167" s="215">
        <f t="shared" si="257"/>
        <v>137.75236526749998</v>
      </c>
      <c r="AU167" s="216">
        <f t="shared" si="258"/>
        <v>8.0767457826214598E-2</v>
      </c>
      <c r="AV167" s="102">
        <f t="shared" si="259"/>
        <v>19.2</v>
      </c>
      <c r="AW167" s="103">
        <f t="shared" si="260"/>
        <v>91.085024360191454</v>
      </c>
      <c r="AX167" s="32"/>
      <c r="AY167" s="101">
        <f t="shared" si="195"/>
        <v>60</v>
      </c>
      <c r="AZ167" s="102">
        <f t="shared" si="261"/>
        <v>0.32</v>
      </c>
      <c r="BA167" s="102">
        <f t="shared" si="197"/>
        <v>15</v>
      </c>
      <c r="BB167" s="103">
        <f t="shared" si="262"/>
        <v>1.5999999999999999</v>
      </c>
      <c r="BC167" s="101">
        <f t="shared" si="263"/>
        <v>2</v>
      </c>
      <c r="BD167" s="102">
        <f t="shared" si="264"/>
        <v>0.75</v>
      </c>
      <c r="BE167" s="100">
        <f t="shared" si="265"/>
        <v>0.25</v>
      </c>
      <c r="BF167" s="101">
        <f t="shared" si="266"/>
        <v>0.45000000000000007</v>
      </c>
      <c r="BG167" s="102">
        <f t="shared" si="267"/>
        <v>1.825</v>
      </c>
      <c r="BH167" s="102">
        <f t="shared" si="268"/>
        <v>1.6052647756678646</v>
      </c>
      <c r="BI167" s="102">
        <v>0</v>
      </c>
      <c r="BJ167" s="102">
        <f t="shared" si="269"/>
        <v>2.576875E-2</v>
      </c>
      <c r="BK167" s="103">
        <f t="shared" si="270"/>
        <v>2.576875E-2</v>
      </c>
      <c r="BL167" s="101">
        <f t="shared" si="271"/>
        <v>1.2</v>
      </c>
      <c r="BM167" s="97">
        <f t="shared" si="272"/>
        <v>1.3902000755286987</v>
      </c>
      <c r="BN167" s="97">
        <f t="shared" si="273"/>
        <v>0.15609573216444503</v>
      </c>
      <c r="BO167" s="97">
        <f t="shared" si="274"/>
        <v>1.6799999999999997</v>
      </c>
      <c r="BP167" s="103">
        <f t="shared" si="275"/>
        <v>1.8360957321644447</v>
      </c>
      <c r="BQ167" s="101">
        <f t="shared" si="276"/>
        <v>0.39999999999999997</v>
      </c>
      <c r="BR167" s="102">
        <f t="shared" si="277"/>
        <v>0.80263238783393231</v>
      </c>
      <c r="BS167" s="102">
        <f t="shared" si="278"/>
        <v>0.13439999999999999</v>
      </c>
      <c r="BT167" s="102">
        <f t="shared" si="279"/>
        <v>0.75525000000000009</v>
      </c>
      <c r="BU167" s="103">
        <f t="shared" si="280"/>
        <v>0.88965000000000005</v>
      </c>
      <c r="BV167" s="99">
        <f t="shared" si="281"/>
        <v>0</v>
      </c>
      <c r="BW167" s="102">
        <f t="shared" si="207"/>
        <v>8.7499999999999994E-2</v>
      </c>
      <c r="BX167" s="103">
        <f t="shared" si="282"/>
        <v>1.155E-2</v>
      </c>
      <c r="BY167" s="101">
        <f t="shared" si="283"/>
        <v>2.8505644821644447</v>
      </c>
      <c r="BZ167" s="102">
        <f t="shared" si="284"/>
        <v>19.2</v>
      </c>
      <c r="CA167" s="103">
        <f t="shared" si="285"/>
        <v>87.072600864843537</v>
      </c>
      <c r="CB167" s="51">
        <f t="shared" si="286"/>
        <v>1.9351457321644445</v>
      </c>
      <c r="CC167" s="32">
        <f t="shared" si="287"/>
        <v>92.730100625755554</v>
      </c>
    </row>
    <row r="168" spans="17:81" ht="15" thickBot="1" x14ac:dyDescent="0.35">
      <c r="Q168" s="32">
        <v>161</v>
      </c>
      <c r="S168" s="101">
        <f t="shared" si="175"/>
        <v>60</v>
      </c>
      <c r="T168" s="97">
        <f t="shared" si="234"/>
        <v>0.32200000000000001</v>
      </c>
      <c r="U168" s="102">
        <f t="shared" si="176"/>
        <v>15</v>
      </c>
      <c r="V168" s="103">
        <f t="shared" si="235"/>
        <v>1.61</v>
      </c>
      <c r="W168" s="101">
        <f t="shared" si="236"/>
        <v>2</v>
      </c>
      <c r="X168" s="102">
        <f t="shared" si="237"/>
        <v>0.75</v>
      </c>
      <c r="Y168" s="100">
        <f t="shared" si="238"/>
        <v>0.25</v>
      </c>
      <c r="Z168" s="101">
        <f t="shared" si="239"/>
        <v>0.45000000000000007</v>
      </c>
      <c r="AA168" s="102">
        <f t="shared" si="240"/>
        <v>1.8350000000000002</v>
      </c>
      <c r="AB168" s="102">
        <f t="shared" si="241"/>
        <v>1.6152321814525614</v>
      </c>
      <c r="AC168" s="102">
        <v>0</v>
      </c>
      <c r="AD168" s="102">
        <f t="shared" si="242"/>
        <v>2.6089750000000005E-2</v>
      </c>
      <c r="AE168" s="103">
        <f t="shared" si="243"/>
        <v>2.6089750000000005E-2</v>
      </c>
      <c r="AF168" s="101">
        <f t="shared" si="244"/>
        <v>1.2075</v>
      </c>
      <c r="AG168" s="97">
        <f t="shared" si="245"/>
        <v>1.3988321021480743</v>
      </c>
      <c r="AH168" s="102">
        <f t="shared" si="246"/>
        <v>0.10140372705166673</v>
      </c>
      <c r="AI168" s="97">
        <f t="shared" si="247"/>
        <v>1.6905000000000001</v>
      </c>
      <c r="AJ168" s="103">
        <f t="shared" si="248"/>
        <v>1.7919037270516669</v>
      </c>
      <c r="AK168" s="101">
        <f t="shared" si="249"/>
        <v>0.40250000000000002</v>
      </c>
      <c r="AL168" s="102">
        <f t="shared" si="250"/>
        <v>0.80761609072628071</v>
      </c>
      <c r="AM168" s="102">
        <f t="shared" si="251"/>
        <v>0.13524</v>
      </c>
      <c r="AN168" s="102">
        <f t="shared" si="252"/>
        <v>0.75525000000000009</v>
      </c>
      <c r="AO168" s="103">
        <f t="shared" si="253"/>
        <v>0.89049000000000011</v>
      </c>
      <c r="AP168" s="99">
        <f t="shared" si="254"/>
        <v>0</v>
      </c>
      <c r="AQ168" s="102">
        <f t="shared" si="190"/>
        <v>8.7499999999999994E-2</v>
      </c>
      <c r="AR168" s="103">
        <f t="shared" si="255"/>
        <v>1.155E-2</v>
      </c>
      <c r="AS168" s="99">
        <f t="shared" si="256"/>
        <v>1.8909537270516668</v>
      </c>
      <c r="AT168" s="215">
        <f t="shared" si="257"/>
        <v>138.45722362309999</v>
      </c>
      <c r="AU168" s="216">
        <f t="shared" si="258"/>
        <v>8.093951970295378E-2</v>
      </c>
      <c r="AV168" s="102">
        <f t="shared" si="259"/>
        <v>19.32</v>
      </c>
      <c r="AW168" s="103">
        <f t="shared" si="260"/>
        <v>91.08501318995377</v>
      </c>
      <c r="AX168" s="32"/>
      <c r="AY168" s="101">
        <f t="shared" si="195"/>
        <v>60</v>
      </c>
      <c r="AZ168" s="102">
        <f t="shared" si="261"/>
        <v>0.32200000000000001</v>
      </c>
      <c r="BA168" s="102">
        <f t="shared" si="197"/>
        <v>15</v>
      </c>
      <c r="BB168" s="103">
        <f t="shared" si="262"/>
        <v>1.61</v>
      </c>
      <c r="BC168" s="101">
        <f t="shared" si="263"/>
        <v>2</v>
      </c>
      <c r="BD168" s="102">
        <f t="shared" si="264"/>
        <v>0.75</v>
      </c>
      <c r="BE168" s="100">
        <f t="shared" si="265"/>
        <v>0.25</v>
      </c>
      <c r="BF168" s="101">
        <f t="shared" si="266"/>
        <v>0.45000000000000007</v>
      </c>
      <c r="BG168" s="102">
        <f t="shared" si="267"/>
        <v>1.8350000000000002</v>
      </c>
      <c r="BH168" s="102">
        <f t="shared" si="268"/>
        <v>1.6152321814525614</v>
      </c>
      <c r="BI168" s="102">
        <v>0</v>
      </c>
      <c r="BJ168" s="102">
        <f t="shared" si="269"/>
        <v>2.6089750000000005E-2</v>
      </c>
      <c r="BK168" s="103">
        <f t="shared" si="270"/>
        <v>2.6089750000000005E-2</v>
      </c>
      <c r="BL168" s="101">
        <f t="shared" si="271"/>
        <v>1.2075</v>
      </c>
      <c r="BM168" s="97">
        <f t="shared" si="272"/>
        <v>1.3988321021480743</v>
      </c>
      <c r="BN168" s="97">
        <f t="shared" si="273"/>
        <v>0.15837688756276042</v>
      </c>
      <c r="BO168" s="97">
        <f t="shared" si="274"/>
        <v>1.6905000000000001</v>
      </c>
      <c r="BP168" s="103">
        <f t="shared" si="275"/>
        <v>1.8488768875627606</v>
      </c>
      <c r="BQ168" s="101">
        <f t="shared" si="276"/>
        <v>0.40250000000000002</v>
      </c>
      <c r="BR168" s="102">
        <f t="shared" si="277"/>
        <v>0.80761609072628071</v>
      </c>
      <c r="BS168" s="102">
        <f t="shared" si="278"/>
        <v>0.13524</v>
      </c>
      <c r="BT168" s="102">
        <f t="shared" si="279"/>
        <v>0.75525000000000009</v>
      </c>
      <c r="BU168" s="103">
        <f t="shared" si="280"/>
        <v>0.89049000000000011</v>
      </c>
      <c r="BV168" s="99">
        <f t="shared" si="281"/>
        <v>0</v>
      </c>
      <c r="BW168" s="102">
        <f t="shared" si="207"/>
        <v>8.7499999999999994E-2</v>
      </c>
      <c r="BX168" s="103">
        <f t="shared" si="282"/>
        <v>1.155E-2</v>
      </c>
      <c r="BY168" s="101">
        <f t="shared" si="283"/>
        <v>2.8645066375627608</v>
      </c>
      <c r="BZ168" s="102">
        <f t="shared" si="284"/>
        <v>19.32</v>
      </c>
      <c r="CA168" s="103">
        <f t="shared" si="285"/>
        <v>87.087805537615225</v>
      </c>
      <c r="CB168" s="51">
        <f t="shared" si="286"/>
        <v>1.9479268875627604</v>
      </c>
      <c r="CC168" s="32">
        <f t="shared" si="287"/>
        <v>93.177441064696609</v>
      </c>
    </row>
    <row r="169" spans="17:81" ht="15" thickBot="1" x14ac:dyDescent="0.35">
      <c r="Q169" s="32">
        <v>162</v>
      </c>
      <c r="S169" s="101">
        <f t="shared" si="175"/>
        <v>60</v>
      </c>
      <c r="T169" s="97">
        <f t="shared" si="234"/>
        <v>0.32400000000000001</v>
      </c>
      <c r="U169" s="102">
        <f t="shared" si="176"/>
        <v>15</v>
      </c>
      <c r="V169" s="103">
        <f t="shared" si="235"/>
        <v>1.62</v>
      </c>
      <c r="W169" s="101">
        <f t="shared" si="236"/>
        <v>2</v>
      </c>
      <c r="X169" s="102">
        <f t="shared" si="237"/>
        <v>0.75</v>
      </c>
      <c r="Y169" s="100">
        <f t="shared" si="238"/>
        <v>0.25</v>
      </c>
      <c r="Z169" s="101">
        <f t="shared" si="239"/>
        <v>0.45000000000000007</v>
      </c>
      <c r="AA169" s="102">
        <f t="shared" si="240"/>
        <v>1.8450000000000002</v>
      </c>
      <c r="AB169" s="102">
        <f t="shared" si="241"/>
        <v>1.6251999876938226</v>
      </c>
      <c r="AC169" s="102">
        <v>0</v>
      </c>
      <c r="AD169" s="102">
        <f t="shared" si="242"/>
        <v>2.6412750000000013E-2</v>
      </c>
      <c r="AE169" s="103">
        <f t="shared" si="243"/>
        <v>2.6412750000000013E-2</v>
      </c>
      <c r="AF169" s="101">
        <f t="shared" si="244"/>
        <v>1.2150000000000001</v>
      </c>
      <c r="AG169" s="97">
        <f t="shared" si="245"/>
        <v>1.4074644755730072</v>
      </c>
      <c r="AH169" s="102">
        <f t="shared" si="246"/>
        <v>0.10265913976500005</v>
      </c>
      <c r="AI169" s="97">
        <f t="shared" si="247"/>
        <v>1.7009999999999998</v>
      </c>
      <c r="AJ169" s="103">
        <f t="shared" si="248"/>
        <v>1.8036591397649999</v>
      </c>
      <c r="AK169" s="101">
        <f t="shared" si="249"/>
        <v>0.40500000000000003</v>
      </c>
      <c r="AL169" s="102">
        <f t="shared" si="250"/>
        <v>0.81259999384691117</v>
      </c>
      <c r="AM169" s="102">
        <f t="shared" si="251"/>
        <v>0.13608000000000001</v>
      </c>
      <c r="AN169" s="102">
        <f t="shared" si="252"/>
        <v>0.75525000000000009</v>
      </c>
      <c r="AO169" s="103">
        <f t="shared" si="253"/>
        <v>0.89133000000000007</v>
      </c>
      <c r="AP169" s="99">
        <f t="shared" si="254"/>
        <v>0</v>
      </c>
      <c r="AQ169" s="102">
        <f t="shared" si="190"/>
        <v>8.7499999999999994E-2</v>
      </c>
      <c r="AR169" s="103">
        <f t="shared" si="255"/>
        <v>1.155E-2</v>
      </c>
      <c r="AS169" s="99">
        <f t="shared" si="256"/>
        <v>1.9027091397649998</v>
      </c>
      <c r="AT169" s="215">
        <f t="shared" si="257"/>
        <v>139.16254838589998</v>
      </c>
      <c r="AU169" s="216">
        <f t="shared" si="258"/>
        <v>8.1111695433629019E-2</v>
      </c>
      <c r="AV169" s="102">
        <f t="shared" si="259"/>
        <v>19.440000000000001</v>
      </c>
      <c r="AW169" s="103">
        <f t="shared" si="260"/>
        <v>91.08496898259304</v>
      </c>
      <c r="AX169" s="32"/>
      <c r="AY169" s="101">
        <f t="shared" si="195"/>
        <v>60</v>
      </c>
      <c r="AZ169" s="102">
        <f t="shared" si="261"/>
        <v>0.32400000000000001</v>
      </c>
      <c r="BA169" s="102">
        <f t="shared" si="197"/>
        <v>15</v>
      </c>
      <c r="BB169" s="103">
        <f t="shared" si="262"/>
        <v>1.62</v>
      </c>
      <c r="BC169" s="101">
        <f t="shared" si="263"/>
        <v>2</v>
      </c>
      <c r="BD169" s="102">
        <f t="shared" si="264"/>
        <v>0.75</v>
      </c>
      <c r="BE169" s="100">
        <f t="shared" si="265"/>
        <v>0.25</v>
      </c>
      <c r="BF169" s="101">
        <f t="shared" si="266"/>
        <v>0.45000000000000007</v>
      </c>
      <c r="BG169" s="102">
        <f t="shared" si="267"/>
        <v>1.8450000000000002</v>
      </c>
      <c r="BH169" s="102">
        <f t="shared" si="268"/>
        <v>1.6251999876938226</v>
      </c>
      <c r="BI169" s="102">
        <v>0</v>
      </c>
      <c r="BJ169" s="102">
        <f t="shared" si="269"/>
        <v>2.6412750000000013E-2</v>
      </c>
      <c r="BK169" s="103">
        <f t="shared" si="270"/>
        <v>2.6412750000000013E-2</v>
      </c>
      <c r="BL169" s="101">
        <f t="shared" si="271"/>
        <v>1.2150000000000001</v>
      </c>
      <c r="BM169" s="97">
        <f t="shared" si="272"/>
        <v>1.4074644755730072</v>
      </c>
      <c r="BN169" s="97">
        <f t="shared" si="273"/>
        <v>0.1606787200173439</v>
      </c>
      <c r="BO169" s="97">
        <f t="shared" si="274"/>
        <v>1.7009999999999998</v>
      </c>
      <c r="BP169" s="103">
        <f t="shared" si="275"/>
        <v>1.8616787200173437</v>
      </c>
      <c r="BQ169" s="101">
        <f t="shared" si="276"/>
        <v>0.40500000000000003</v>
      </c>
      <c r="BR169" s="102">
        <f t="shared" si="277"/>
        <v>0.81259999384691117</v>
      </c>
      <c r="BS169" s="102">
        <f t="shared" si="278"/>
        <v>0.13608000000000001</v>
      </c>
      <c r="BT169" s="102">
        <f t="shared" si="279"/>
        <v>0.75525000000000009</v>
      </c>
      <c r="BU169" s="103">
        <f t="shared" si="280"/>
        <v>0.89133000000000007</v>
      </c>
      <c r="BV169" s="99">
        <f t="shared" si="281"/>
        <v>0</v>
      </c>
      <c r="BW169" s="102">
        <f t="shared" si="207"/>
        <v>8.7499999999999994E-2</v>
      </c>
      <c r="BX169" s="103">
        <f t="shared" si="282"/>
        <v>1.155E-2</v>
      </c>
      <c r="BY169" s="101">
        <f t="shared" si="283"/>
        <v>2.8784714700173439</v>
      </c>
      <c r="BZ169" s="102">
        <f t="shared" si="284"/>
        <v>19.440000000000001</v>
      </c>
      <c r="CA169" s="103">
        <f t="shared" si="285"/>
        <v>87.102739209160063</v>
      </c>
      <c r="CB169" s="51">
        <f t="shared" si="286"/>
        <v>1.9607287200173436</v>
      </c>
      <c r="CC169" s="32">
        <f t="shared" si="287"/>
        <v>93.625505200607023</v>
      </c>
    </row>
    <row r="170" spans="17:81" ht="15" thickBot="1" x14ac:dyDescent="0.35">
      <c r="Q170" s="32">
        <v>163</v>
      </c>
      <c r="S170" s="101">
        <f t="shared" si="175"/>
        <v>60</v>
      </c>
      <c r="T170" s="97">
        <f t="shared" si="234"/>
        <v>0.32600000000000001</v>
      </c>
      <c r="U170" s="102">
        <f t="shared" si="176"/>
        <v>15</v>
      </c>
      <c r="V170" s="103">
        <f t="shared" si="235"/>
        <v>1.6300000000000001</v>
      </c>
      <c r="W170" s="101">
        <f t="shared" si="236"/>
        <v>2</v>
      </c>
      <c r="X170" s="102">
        <f t="shared" si="237"/>
        <v>0.75</v>
      </c>
      <c r="Y170" s="100">
        <f t="shared" si="238"/>
        <v>0.25</v>
      </c>
      <c r="Z170" s="101">
        <f t="shared" si="239"/>
        <v>0.45000000000000007</v>
      </c>
      <c r="AA170" s="102">
        <f t="shared" si="240"/>
        <v>1.8550000000000002</v>
      </c>
      <c r="AB170" s="102">
        <f t="shared" si="241"/>
        <v>1.6351681870682295</v>
      </c>
      <c r="AC170" s="102">
        <v>0</v>
      </c>
      <c r="AD170" s="102">
        <f t="shared" si="242"/>
        <v>2.6737750000000005E-2</v>
      </c>
      <c r="AE170" s="103">
        <f t="shared" si="243"/>
        <v>2.6737750000000005E-2</v>
      </c>
      <c r="AF170" s="101">
        <f t="shared" si="244"/>
        <v>1.2225000000000001</v>
      </c>
      <c r="AG170" s="97">
        <f t="shared" si="245"/>
        <v>1.416097189461232</v>
      </c>
      <c r="AH170" s="102">
        <f t="shared" si="246"/>
        <v>0.10392232593166671</v>
      </c>
      <c r="AI170" s="97">
        <f t="shared" si="247"/>
        <v>1.7115000000000002</v>
      </c>
      <c r="AJ170" s="103">
        <f t="shared" si="248"/>
        <v>1.8154223259316669</v>
      </c>
      <c r="AK170" s="101">
        <f t="shared" si="249"/>
        <v>0.40750000000000003</v>
      </c>
      <c r="AL170" s="102">
        <f t="shared" si="250"/>
        <v>0.81758409353411476</v>
      </c>
      <c r="AM170" s="102">
        <f t="shared" si="251"/>
        <v>0.13691999999999999</v>
      </c>
      <c r="AN170" s="102">
        <f t="shared" si="252"/>
        <v>0.75525000000000009</v>
      </c>
      <c r="AO170" s="103">
        <f t="shared" si="253"/>
        <v>0.89217000000000013</v>
      </c>
      <c r="AP170" s="99">
        <f t="shared" si="254"/>
        <v>0</v>
      </c>
      <c r="AQ170" s="102">
        <f t="shared" si="190"/>
        <v>8.7499999999999994E-2</v>
      </c>
      <c r="AR170" s="103">
        <f t="shared" si="255"/>
        <v>1.155E-2</v>
      </c>
      <c r="AS170" s="99">
        <f t="shared" si="256"/>
        <v>1.9144723259316667</v>
      </c>
      <c r="AT170" s="215">
        <f t="shared" si="257"/>
        <v>139.86833955590001</v>
      </c>
      <c r="AU170" s="216">
        <f t="shared" si="258"/>
        <v>8.1283985018240371E-2</v>
      </c>
      <c r="AV170" s="102">
        <f t="shared" si="259"/>
        <v>19.560000000000002</v>
      </c>
      <c r="AW170" s="103">
        <f t="shared" si="260"/>
        <v>91.084892346249504</v>
      </c>
      <c r="AX170" s="32"/>
      <c r="AY170" s="101">
        <f t="shared" si="195"/>
        <v>60</v>
      </c>
      <c r="AZ170" s="102">
        <f t="shared" si="261"/>
        <v>0.32600000000000001</v>
      </c>
      <c r="BA170" s="102">
        <f t="shared" si="197"/>
        <v>15</v>
      </c>
      <c r="BB170" s="103">
        <f t="shared" si="262"/>
        <v>1.6300000000000001</v>
      </c>
      <c r="BC170" s="101">
        <f t="shared" si="263"/>
        <v>2</v>
      </c>
      <c r="BD170" s="102">
        <f t="shared" si="264"/>
        <v>0.75</v>
      </c>
      <c r="BE170" s="100">
        <f t="shared" si="265"/>
        <v>0.25</v>
      </c>
      <c r="BF170" s="101">
        <f t="shared" si="266"/>
        <v>0.45000000000000007</v>
      </c>
      <c r="BG170" s="102">
        <f t="shared" si="267"/>
        <v>1.8550000000000002</v>
      </c>
      <c r="BH170" s="102">
        <f t="shared" si="268"/>
        <v>1.6351681870682295</v>
      </c>
      <c r="BI170" s="102">
        <v>0</v>
      </c>
      <c r="BJ170" s="102">
        <f t="shared" si="269"/>
        <v>2.6737750000000005E-2</v>
      </c>
      <c r="BK170" s="103">
        <f t="shared" si="270"/>
        <v>2.6737750000000005E-2</v>
      </c>
      <c r="BL170" s="101">
        <f t="shared" si="271"/>
        <v>1.2225000000000001</v>
      </c>
      <c r="BM170" s="97">
        <f t="shared" si="272"/>
        <v>1.416097189461232</v>
      </c>
      <c r="BN170" s="97">
        <f t="shared" si="273"/>
        <v>0.16300131528160924</v>
      </c>
      <c r="BO170" s="97">
        <f t="shared" si="274"/>
        <v>1.7115000000000002</v>
      </c>
      <c r="BP170" s="103">
        <f t="shared" si="275"/>
        <v>1.8745013152816095</v>
      </c>
      <c r="BQ170" s="101">
        <f t="shared" si="276"/>
        <v>0.40750000000000003</v>
      </c>
      <c r="BR170" s="102">
        <f t="shared" si="277"/>
        <v>0.81758409353411476</v>
      </c>
      <c r="BS170" s="102">
        <f t="shared" si="278"/>
        <v>0.13691999999999999</v>
      </c>
      <c r="BT170" s="102">
        <f t="shared" si="279"/>
        <v>0.75525000000000009</v>
      </c>
      <c r="BU170" s="103">
        <f t="shared" si="280"/>
        <v>0.89217000000000013</v>
      </c>
      <c r="BV170" s="99">
        <f t="shared" si="281"/>
        <v>0</v>
      </c>
      <c r="BW170" s="102">
        <f t="shared" si="207"/>
        <v>8.7499999999999994E-2</v>
      </c>
      <c r="BX170" s="103">
        <f t="shared" si="282"/>
        <v>1.155E-2</v>
      </c>
      <c r="BY170" s="101">
        <f t="shared" si="283"/>
        <v>2.8924590652816096</v>
      </c>
      <c r="BZ170" s="102">
        <f t="shared" si="284"/>
        <v>19.560000000000002</v>
      </c>
      <c r="CA170" s="103">
        <f t="shared" si="285"/>
        <v>87.117406352365919</v>
      </c>
      <c r="CB170" s="51">
        <f t="shared" si="286"/>
        <v>1.9735513152816093</v>
      </c>
      <c r="CC170" s="32">
        <f t="shared" si="287"/>
        <v>94.074296034856332</v>
      </c>
    </row>
    <row r="171" spans="17:81" ht="15" thickBot="1" x14ac:dyDescent="0.35">
      <c r="Q171" s="32">
        <v>164</v>
      </c>
      <c r="S171" s="101">
        <f t="shared" si="175"/>
        <v>60</v>
      </c>
      <c r="T171" s="97">
        <f t="shared" si="234"/>
        <v>0.32800000000000001</v>
      </c>
      <c r="U171" s="102">
        <f t="shared" si="176"/>
        <v>15</v>
      </c>
      <c r="V171" s="103">
        <f t="shared" si="235"/>
        <v>1.64</v>
      </c>
      <c r="W171" s="101">
        <f t="shared" si="236"/>
        <v>2</v>
      </c>
      <c r="X171" s="102">
        <f t="shared" si="237"/>
        <v>0.75</v>
      </c>
      <c r="Y171" s="100">
        <f t="shared" si="238"/>
        <v>0.25</v>
      </c>
      <c r="Z171" s="101">
        <f t="shared" si="239"/>
        <v>0.45000000000000007</v>
      </c>
      <c r="AA171" s="102">
        <f t="shared" si="240"/>
        <v>1.865</v>
      </c>
      <c r="AB171" s="102">
        <f t="shared" si="241"/>
        <v>1.6451367724295751</v>
      </c>
      <c r="AC171" s="102">
        <v>0</v>
      </c>
      <c r="AD171" s="102">
        <f t="shared" si="242"/>
        <v>2.7064749999999999E-2</v>
      </c>
      <c r="AE171" s="103">
        <f t="shared" si="243"/>
        <v>2.7064749999999999E-2</v>
      </c>
      <c r="AF171" s="101">
        <f t="shared" si="244"/>
        <v>1.23</v>
      </c>
      <c r="AG171" s="97">
        <f t="shared" si="245"/>
        <v>1.424730237623951</v>
      </c>
      <c r="AH171" s="102">
        <f t="shared" si="246"/>
        <v>0.1051932855516667</v>
      </c>
      <c r="AI171" s="97">
        <f t="shared" si="247"/>
        <v>1.7219999999999998</v>
      </c>
      <c r="AJ171" s="103">
        <f t="shared" si="248"/>
        <v>1.8271932855516664</v>
      </c>
      <c r="AK171" s="101">
        <f t="shared" si="249"/>
        <v>0.41</v>
      </c>
      <c r="AL171" s="102">
        <f t="shared" si="250"/>
        <v>0.82256838621478756</v>
      </c>
      <c r="AM171" s="102">
        <f t="shared" si="251"/>
        <v>0.13775999999999999</v>
      </c>
      <c r="AN171" s="102">
        <f t="shared" si="252"/>
        <v>0.75525000000000009</v>
      </c>
      <c r="AO171" s="103">
        <f t="shared" si="253"/>
        <v>0.89301000000000008</v>
      </c>
      <c r="AP171" s="99">
        <f t="shared" si="254"/>
        <v>0</v>
      </c>
      <c r="AQ171" s="102">
        <f t="shared" si="190"/>
        <v>8.7499999999999994E-2</v>
      </c>
      <c r="AR171" s="103">
        <f t="shared" si="255"/>
        <v>1.155E-2</v>
      </c>
      <c r="AS171" s="99">
        <f t="shared" si="256"/>
        <v>1.9262432855516662</v>
      </c>
      <c r="AT171" s="215">
        <f t="shared" si="257"/>
        <v>140.57459713309999</v>
      </c>
      <c r="AU171" s="216">
        <f t="shared" si="258"/>
        <v>8.1456388456787737E-2</v>
      </c>
      <c r="AV171" s="102">
        <f t="shared" si="259"/>
        <v>19.68</v>
      </c>
      <c r="AW171" s="103">
        <f t="shared" si="260"/>
        <v>91.08478387429912</v>
      </c>
      <c r="AX171" s="32"/>
      <c r="AY171" s="101">
        <f t="shared" si="195"/>
        <v>60</v>
      </c>
      <c r="AZ171" s="102">
        <f t="shared" si="261"/>
        <v>0.32800000000000001</v>
      </c>
      <c r="BA171" s="102">
        <f t="shared" si="197"/>
        <v>15</v>
      </c>
      <c r="BB171" s="103">
        <f t="shared" si="262"/>
        <v>1.64</v>
      </c>
      <c r="BC171" s="101">
        <f t="shared" si="263"/>
        <v>2</v>
      </c>
      <c r="BD171" s="102">
        <f t="shared" si="264"/>
        <v>0.75</v>
      </c>
      <c r="BE171" s="100">
        <f t="shared" si="265"/>
        <v>0.25</v>
      </c>
      <c r="BF171" s="101">
        <f t="shared" si="266"/>
        <v>0.45000000000000007</v>
      </c>
      <c r="BG171" s="102">
        <f t="shared" si="267"/>
        <v>1.865</v>
      </c>
      <c r="BH171" s="102">
        <f t="shared" si="268"/>
        <v>1.6451367724295751</v>
      </c>
      <c r="BI171" s="102">
        <v>0</v>
      </c>
      <c r="BJ171" s="102">
        <f t="shared" si="269"/>
        <v>2.7064749999999999E-2</v>
      </c>
      <c r="BK171" s="103">
        <f t="shared" si="270"/>
        <v>2.7064749999999999E-2</v>
      </c>
      <c r="BL171" s="101">
        <f t="shared" si="271"/>
        <v>1.23</v>
      </c>
      <c r="BM171" s="97">
        <f t="shared" si="272"/>
        <v>1.424730237623951</v>
      </c>
      <c r="BN171" s="97">
        <f t="shared" si="273"/>
        <v>0.16534475921143843</v>
      </c>
      <c r="BO171" s="97">
        <f t="shared" si="274"/>
        <v>1.7219999999999998</v>
      </c>
      <c r="BP171" s="103">
        <f t="shared" si="275"/>
        <v>1.8873447592114383</v>
      </c>
      <c r="BQ171" s="101">
        <f t="shared" si="276"/>
        <v>0.41</v>
      </c>
      <c r="BR171" s="102">
        <f t="shared" si="277"/>
        <v>0.82256838621478756</v>
      </c>
      <c r="BS171" s="102">
        <f t="shared" si="278"/>
        <v>0.13775999999999999</v>
      </c>
      <c r="BT171" s="102">
        <f t="shared" si="279"/>
        <v>0.75525000000000009</v>
      </c>
      <c r="BU171" s="103">
        <f t="shared" si="280"/>
        <v>0.89301000000000008</v>
      </c>
      <c r="BV171" s="99">
        <f t="shared" si="281"/>
        <v>0</v>
      </c>
      <c r="BW171" s="102">
        <f t="shared" si="207"/>
        <v>8.7499999999999994E-2</v>
      </c>
      <c r="BX171" s="103">
        <f t="shared" si="282"/>
        <v>1.155E-2</v>
      </c>
      <c r="BY171" s="101">
        <f t="shared" si="283"/>
        <v>2.9064695092114388</v>
      </c>
      <c r="BZ171" s="102">
        <f t="shared" si="284"/>
        <v>19.68</v>
      </c>
      <c r="CA171" s="103">
        <f t="shared" si="285"/>
        <v>87.131811334984889</v>
      </c>
      <c r="CB171" s="51">
        <f t="shared" si="286"/>
        <v>1.9863947592114382</v>
      </c>
      <c r="CC171" s="32">
        <f t="shared" si="287"/>
        <v>94.523816572400335</v>
      </c>
    </row>
    <row r="172" spans="17:81" ht="15" thickBot="1" x14ac:dyDescent="0.35">
      <c r="Q172" s="32">
        <v>165</v>
      </c>
      <c r="S172" s="101">
        <f t="shared" si="175"/>
        <v>60</v>
      </c>
      <c r="T172" s="97">
        <f t="shared" si="234"/>
        <v>0.33</v>
      </c>
      <c r="U172" s="102">
        <f t="shared" si="176"/>
        <v>15</v>
      </c>
      <c r="V172" s="103">
        <f t="shared" si="235"/>
        <v>1.6500000000000001</v>
      </c>
      <c r="W172" s="101">
        <f t="shared" si="236"/>
        <v>2</v>
      </c>
      <c r="X172" s="102">
        <f t="shared" si="237"/>
        <v>0.75</v>
      </c>
      <c r="Y172" s="100">
        <f t="shared" si="238"/>
        <v>0.25</v>
      </c>
      <c r="Z172" s="101">
        <f t="shared" si="239"/>
        <v>0.45000000000000007</v>
      </c>
      <c r="AA172" s="102">
        <f t="shared" si="240"/>
        <v>1.8750000000000002</v>
      </c>
      <c r="AB172" s="102">
        <f t="shared" si="241"/>
        <v>1.6551057368035436</v>
      </c>
      <c r="AC172" s="102">
        <v>0</v>
      </c>
      <c r="AD172" s="102">
        <f t="shared" si="242"/>
        <v>2.7393750000000008E-2</v>
      </c>
      <c r="AE172" s="103">
        <f t="shared" si="243"/>
        <v>2.7393750000000008E-2</v>
      </c>
      <c r="AF172" s="101">
        <f t="shared" si="244"/>
        <v>1.2375</v>
      </c>
      <c r="AG172" s="97">
        <f t="shared" si="245"/>
        <v>1.4333636140212296</v>
      </c>
      <c r="AH172" s="102">
        <f t="shared" si="246"/>
        <v>0.10647201862500007</v>
      </c>
      <c r="AI172" s="97">
        <f t="shared" si="247"/>
        <v>1.7325000000000002</v>
      </c>
      <c r="AJ172" s="103">
        <f t="shared" si="248"/>
        <v>1.8389720186250003</v>
      </c>
      <c r="AK172" s="101">
        <f t="shared" si="249"/>
        <v>0.41250000000000003</v>
      </c>
      <c r="AL172" s="102">
        <f t="shared" si="250"/>
        <v>0.82755286840177178</v>
      </c>
      <c r="AM172" s="102">
        <f t="shared" si="251"/>
        <v>0.1386</v>
      </c>
      <c r="AN172" s="102">
        <f t="shared" si="252"/>
        <v>0.75525000000000009</v>
      </c>
      <c r="AO172" s="103">
        <f t="shared" si="253"/>
        <v>0.89385000000000003</v>
      </c>
      <c r="AP172" s="99">
        <f t="shared" si="254"/>
        <v>0</v>
      </c>
      <c r="AQ172" s="102">
        <f t="shared" si="190"/>
        <v>8.7499999999999994E-2</v>
      </c>
      <c r="AR172" s="103">
        <f t="shared" si="255"/>
        <v>1.155E-2</v>
      </c>
      <c r="AS172" s="99">
        <f t="shared" si="256"/>
        <v>1.9380220186250001</v>
      </c>
      <c r="AT172" s="215">
        <f t="shared" si="257"/>
        <v>141.2813211175</v>
      </c>
      <c r="AU172" s="216">
        <f t="shared" si="258"/>
        <v>8.1628905749271216E-2</v>
      </c>
      <c r="AV172" s="102">
        <f t="shared" si="259"/>
        <v>19.8</v>
      </c>
      <c r="AW172" s="103">
        <f t="shared" si="260"/>
        <v>91.084644145798947</v>
      </c>
      <c r="AX172" s="32"/>
      <c r="AY172" s="101">
        <f t="shared" si="195"/>
        <v>60</v>
      </c>
      <c r="AZ172" s="102">
        <f t="shared" si="261"/>
        <v>0.33</v>
      </c>
      <c r="BA172" s="102">
        <f t="shared" si="197"/>
        <v>15</v>
      </c>
      <c r="BB172" s="103">
        <f t="shared" si="262"/>
        <v>1.6500000000000001</v>
      </c>
      <c r="BC172" s="101">
        <f t="shared" si="263"/>
        <v>2</v>
      </c>
      <c r="BD172" s="102">
        <f t="shared" si="264"/>
        <v>0.75</v>
      </c>
      <c r="BE172" s="100">
        <f t="shared" si="265"/>
        <v>0.25</v>
      </c>
      <c r="BF172" s="101">
        <f t="shared" si="266"/>
        <v>0.45000000000000007</v>
      </c>
      <c r="BG172" s="102">
        <f t="shared" si="267"/>
        <v>1.8750000000000002</v>
      </c>
      <c r="BH172" s="102">
        <f t="shared" si="268"/>
        <v>1.6551057368035436</v>
      </c>
      <c r="BI172" s="102">
        <v>0</v>
      </c>
      <c r="BJ172" s="102">
        <f t="shared" si="269"/>
        <v>2.7393750000000008E-2</v>
      </c>
      <c r="BK172" s="103">
        <f t="shared" si="270"/>
        <v>2.7393750000000008E-2</v>
      </c>
      <c r="BL172" s="101">
        <f t="shared" si="271"/>
        <v>1.2375</v>
      </c>
      <c r="BM172" s="97">
        <f t="shared" si="272"/>
        <v>1.4333636140212296</v>
      </c>
      <c r="BN172" s="97">
        <f t="shared" si="273"/>
        <v>0.16770913776518243</v>
      </c>
      <c r="BO172" s="97">
        <f t="shared" si="274"/>
        <v>1.7325000000000002</v>
      </c>
      <c r="BP172" s="103">
        <f t="shared" si="275"/>
        <v>1.9002091377651826</v>
      </c>
      <c r="BQ172" s="101">
        <f t="shared" si="276"/>
        <v>0.41250000000000003</v>
      </c>
      <c r="BR172" s="102">
        <f t="shared" si="277"/>
        <v>0.82755286840177178</v>
      </c>
      <c r="BS172" s="102">
        <f t="shared" si="278"/>
        <v>0.1386</v>
      </c>
      <c r="BT172" s="102">
        <f t="shared" si="279"/>
        <v>0.75525000000000009</v>
      </c>
      <c r="BU172" s="103">
        <f t="shared" si="280"/>
        <v>0.89385000000000003</v>
      </c>
      <c r="BV172" s="99">
        <f t="shared" si="281"/>
        <v>0</v>
      </c>
      <c r="BW172" s="102">
        <f t="shared" si="207"/>
        <v>8.7499999999999994E-2</v>
      </c>
      <c r="BX172" s="103">
        <f t="shared" si="282"/>
        <v>1.155E-2</v>
      </c>
      <c r="BY172" s="101">
        <f t="shared" si="283"/>
        <v>2.9205028877651826</v>
      </c>
      <c r="BZ172" s="102">
        <f t="shared" si="284"/>
        <v>19.8</v>
      </c>
      <c r="CA172" s="103">
        <f t="shared" si="285"/>
        <v>87.145958422699138</v>
      </c>
      <c r="CB172" s="51">
        <f t="shared" si="286"/>
        <v>1.9992591377651825</v>
      </c>
      <c r="CC172" s="32">
        <f t="shared" si="287"/>
        <v>94.974069821781384</v>
      </c>
    </row>
    <row r="173" spans="17:81" ht="15" thickBot="1" x14ac:dyDescent="0.35">
      <c r="Q173" s="32">
        <v>166</v>
      </c>
      <c r="S173" s="101">
        <f t="shared" si="175"/>
        <v>60</v>
      </c>
      <c r="T173" s="97">
        <f t="shared" si="234"/>
        <v>0.33200000000000002</v>
      </c>
      <c r="U173" s="102">
        <f t="shared" si="176"/>
        <v>15</v>
      </c>
      <c r="V173" s="103">
        <f t="shared" si="235"/>
        <v>1.6600000000000001</v>
      </c>
      <c r="W173" s="101">
        <f t="shared" si="236"/>
        <v>2</v>
      </c>
      <c r="X173" s="102">
        <f t="shared" si="237"/>
        <v>0.75</v>
      </c>
      <c r="Y173" s="100">
        <f t="shared" si="238"/>
        <v>0.25</v>
      </c>
      <c r="Z173" s="101">
        <f t="shared" si="239"/>
        <v>0.45000000000000007</v>
      </c>
      <c r="AA173" s="102">
        <f t="shared" si="240"/>
        <v>1.8850000000000002</v>
      </c>
      <c r="AB173" s="102">
        <f t="shared" si="241"/>
        <v>1.665075073382579</v>
      </c>
      <c r="AC173" s="102">
        <v>0</v>
      </c>
      <c r="AD173" s="102">
        <f t="shared" si="242"/>
        <v>2.772475000000001E-2</v>
      </c>
      <c r="AE173" s="103">
        <f t="shared" si="243"/>
        <v>2.772475000000001E-2</v>
      </c>
      <c r="AF173" s="101">
        <f t="shared" si="244"/>
        <v>1.2450000000000001</v>
      </c>
      <c r="AG173" s="97">
        <f t="shared" si="245"/>
        <v>1.4419973127575518</v>
      </c>
      <c r="AH173" s="102">
        <f t="shared" si="246"/>
        <v>0.10775852515166674</v>
      </c>
      <c r="AI173" s="97">
        <f t="shared" si="247"/>
        <v>1.7430000000000001</v>
      </c>
      <c r="AJ173" s="103">
        <f t="shared" si="248"/>
        <v>1.8507585251516669</v>
      </c>
      <c r="AK173" s="101">
        <f t="shared" si="249"/>
        <v>0.41500000000000004</v>
      </c>
      <c r="AL173" s="102">
        <f t="shared" si="250"/>
        <v>0.83253753669128949</v>
      </c>
      <c r="AM173" s="102">
        <f t="shared" si="251"/>
        <v>0.13944000000000001</v>
      </c>
      <c r="AN173" s="102">
        <f t="shared" si="252"/>
        <v>0.75525000000000009</v>
      </c>
      <c r="AO173" s="103">
        <f t="shared" si="253"/>
        <v>0.8946900000000001</v>
      </c>
      <c r="AP173" s="99">
        <f t="shared" si="254"/>
        <v>0</v>
      </c>
      <c r="AQ173" s="102">
        <f t="shared" si="190"/>
        <v>8.7499999999999994E-2</v>
      </c>
      <c r="AR173" s="103">
        <f t="shared" si="255"/>
        <v>1.155E-2</v>
      </c>
      <c r="AS173" s="99">
        <f t="shared" si="256"/>
        <v>1.9498085251516668</v>
      </c>
      <c r="AT173" s="215">
        <f t="shared" si="257"/>
        <v>141.98851150910002</v>
      </c>
      <c r="AU173" s="216">
        <f t="shared" si="258"/>
        <v>8.1801536895690752E-2</v>
      </c>
      <c r="AV173" s="102">
        <f t="shared" si="259"/>
        <v>19.920000000000002</v>
      </c>
      <c r="AW173" s="103">
        <f t="shared" si="260"/>
        <v>91.084473725916425</v>
      </c>
      <c r="AX173" s="32"/>
      <c r="AY173" s="101">
        <f t="shared" si="195"/>
        <v>60</v>
      </c>
      <c r="AZ173" s="102">
        <f t="shared" si="261"/>
        <v>0.33200000000000002</v>
      </c>
      <c r="BA173" s="102">
        <f t="shared" si="197"/>
        <v>15</v>
      </c>
      <c r="BB173" s="103">
        <f t="shared" si="262"/>
        <v>1.6600000000000001</v>
      </c>
      <c r="BC173" s="101">
        <f t="shared" si="263"/>
        <v>2</v>
      </c>
      <c r="BD173" s="102">
        <f t="shared" si="264"/>
        <v>0.75</v>
      </c>
      <c r="BE173" s="100">
        <f t="shared" si="265"/>
        <v>0.25</v>
      </c>
      <c r="BF173" s="101">
        <f t="shared" si="266"/>
        <v>0.45000000000000007</v>
      </c>
      <c r="BG173" s="102">
        <f t="shared" si="267"/>
        <v>1.8850000000000002</v>
      </c>
      <c r="BH173" s="102">
        <f t="shared" si="268"/>
        <v>1.665075073382579</v>
      </c>
      <c r="BI173" s="102">
        <v>0</v>
      </c>
      <c r="BJ173" s="102">
        <f t="shared" si="269"/>
        <v>2.772475000000001E-2</v>
      </c>
      <c r="BK173" s="103">
        <f t="shared" si="270"/>
        <v>2.772475000000001E-2</v>
      </c>
      <c r="BL173" s="101">
        <f t="shared" si="271"/>
        <v>1.2450000000000001</v>
      </c>
      <c r="BM173" s="97">
        <f t="shared" si="272"/>
        <v>1.4419973127575518</v>
      </c>
      <c r="BN173" s="97">
        <f t="shared" si="273"/>
        <v>0.17009453700366023</v>
      </c>
      <c r="BO173" s="97">
        <f t="shared" si="274"/>
        <v>1.7430000000000001</v>
      </c>
      <c r="BP173" s="103">
        <f t="shared" si="275"/>
        <v>1.9130945370036603</v>
      </c>
      <c r="BQ173" s="101">
        <f t="shared" si="276"/>
        <v>0.41500000000000004</v>
      </c>
      <c r="BR173" s="102">
        <f t="shared" si="277"/>
        <v>0.83253753669128949</v>
      </c>
      <c r="BS173" s="102">
        <f t="shared" si="278"/>
        <v>0.13944000000000001</v>
      </c>
      <c r="BT173" s="102">
        <f t="shared" si="279"/>
        <v>0.75525000000000009</v>
      </c>
      <c r="BU173" s="103">
        <f t="shared" si="280"/>
        <v>0.8946900000000001</v>
      </c>
      <c r="BV173" s="99">
        <f t="shared" si="281"/>
        <v>0</v>
      </c>
      <c r="BW173" s="102">
        <f t="shared" si="207"/>
        <v>8.7499999999999994E-2</v>
      </c>
      <c r="BX173" s="103">
        <f t="shared" si="282"/>
        <v>1.155E-2</v>
      </c>
      <c r="BY173" s="101">
        <f t="shared" si="283"/>
        <v>2.9345592870036605</v>
      </c>
      <c r="BZ173" s="102">
        <f t="shared" si="284"/>
        <v>19.920000000000002</v>
      </c>
      <c r="CA173" s="103">
        <f t="shared" si="285"/>
        <v>87.15985178208004</v>
      </c>
      <c r="CB173" s="51">
        <f t="shared" si="286"/>
        <v>2.0121445370036604</v>
      </c>
      <c r="CC173" s="32">
        <f t="shared" si="287"/>
        <v>95.425058795128109</v>
      </c>
    </row>
    <row r="174" spans="17:81" ht="15" thickBot="1" x14ac:dyDescent="0.35">
      <c r="Q174" s="32">
        <v>167</v>
      </c>
      <c r="S174" s="101">
        <f t="shared" si="175"/>
        <v>60</v>
      </c>
      <c r="T174" s="97">
        <f t="shared" si="234"/>
        <v>0.33400000000000002</v>
      </c>
      <c r="U174" s="102">
        <f t="shared" si="176"/>
        <v>15</v>
      </c>
      <c r="V174" s="103">
        <f t="shared" si="235"/>
        <v>1.6700000000000002</v>
      </c>
      <c r="W174" s="101">
        <f t="shared" si="236"/>
        <v>2</v>
      </c>
      <c r="X174" s="102">
        <f t="shared" si="237"/>
        <v>0.75</v>
      </c>
      <c r="Y174" s="100">
        <f t="shared" si="238"/>
        <v>0.25</v>
      </c>
      <c r="Z174" s="101">
        <f t="shared" si="239"/>
        <v>0.45000000000000007</v>
      </c>
      <c r="AA174" s="102">
        <f t="shared" si="240"/>
        <v>1.8950000000000002</v>
      </c>
      <c r="AB174" s="102">
        <f t="shared" si="241"/>
        <v>1.6750447755209412</v>
      </c>
      <c r="AC174" s="102">
        <v>0</v>
      </c>
      <c r="AD174" s="102">
        <f t="shared" si="242"/>
        <v>2.8057750000000006E-2</v>
      </c>
      <c r="AE174" s="103">
        <f t="shared" si="243"/>
        <v>2.8057750000000006E-2</v>
      </c>
      <c r="AF174" s="101">
        <f t="shared" si="244"/>
        <v>1.2525000000000002</v>
      </c>
      <c r="AG174" s="97">
        <f t="shared" si="245"/>
        <v>1.4506313280775376</v>
      </c>
      <c r="AH174" s="102">
        <f t="shared" si="246"/>
        <v>0.10905280513166672</v>
      </c>
      <c r="AI174" s="97">
        <f t="shared" si="247"/>
        <v>1.7535000000000001</v>
      </c>
      <c r="AJ174" s="103">
        <f t="shared" si="248"/>
        <v>1.8625528051316669</v>
      </c>
      <c r="AK174" s="101">
        <f t="shared" si="249"/>
        <v>0.41750000000000004</v>
      </c>
      <c r="AL174" s="102">
        <f t="shared" si="250"/>
        <v>0.83752238776047061</v>
      </c>
      <c r="AM174" s="102">
        <f t="shared" si="251"/>
        <v>0.14028000000000002</v>
      </c>
      <c r="AN174" s="102">
        <f t="shared" si="252"/>
        <v>0.75525000000000009</v>
      </c>
      <c r="AO174" s="103">
        <f t="shared" si="253"/>
        <v>0.89553000000000016</v>
      </c>
      <c r="AP174" s="99">
        <f t="shared" si="254"/>
        <v>0</v>
      </c>
      <c r="AQ174" s="102">
        <f t="shared" si="190"/>
        <v>8.7499999999999994E-2</v>
      </c>
      <c r="AR174" s="103">
        <f t="shared" si="255"/>
        <v>1.155E-2</v>
      </c>
      <c r="AS174" s="99">
        <f t="shared" si="256"/>
        <v>1.9616028051316667</v>
      </c>
      <c r="AT174" s="215">
        <f t="shared" si="257"/>
        <v>142.6961683079</v>
      </c>
      <c r="AU174" s="216">
        <f t="shared" si="258"/>
        <v>8.1974281896046358E-2</v>
      </c>
      <c r="AV174" s="102">
        <f t="shared" si="259"/>
        <v>20.040000000000003</v>
      </c>
      <c r="AW174" s="103">
        <f t="shared" si="260"/>
        <v>91.084273166343408</v>
      </c>
      <c r="AX174" s="32"/>
      <c r="AY174" s="101">
        <f t="shared" si="195"/>
        <v>60</v>
      </c>
      <c r="AZ174" s="102">
        <f t="shared" si="261"/>
        <v>0.33400000000000002</v>
      </c>
      <c r="BA174" s="102">
        <f t="shared" si="197"/>
        <v>15</v>
      </c>
      <c r="BB174" s="103">
        <f t="shared" si="262"/>
        <v>1.6700000000000002</v>
      </c>
      <c r="BC174" s="101">
        <f t="shared" si="263"/>
        <v>2</v>
      </c>
      <c r="BD174" s="102">
        <f t="shared" si="264"/>
        <v>0.75</v>
      </c>
      <c r="BE174" s="100">
        <f t="shared" si="265"/>
        <v>0.25</v>
      </c>
      <c r="BF174" s="101">
        <f t="shared" si="266"/>
        <v>0.45000000000000007</v>
      </c>
      <c r="BG174" s="102">
        <f t="shared" si="267"/>
        <v>1.8950000000000002</v>
      </c>
      <c r="BH174" s="102">
        <f t="shared" si="268"/>
        <v>1.6750447755209412</v>
      </c>
      <c r="BI174" s="102">
        <v>0</v>
      </c>
      <c r="BJ174" s="102">
        <f t="shared" si="269"/>
        <v>2.8057750000000006E-2</v>
      </c>
      <c r="BK174" s="103">
        <f t="shared" si="270"/>
        <v>2.8057750000000006E-2</v>
      </c>
      <c r="BL174" s="101">
        <f t="shared" si="271"/>
        <v>1.2525000000000002</v>
      </c>
      <c r="BM174" s="97">
        <f t="shared" si="272"/>
        <v>1.4506313280775376</v>
      </c>
      <c r="BN174" s="97">
        <f t="shared" si="273"/>
        <v>0.17250104309015965</v>
      </c>
      <c r="BO174" s="97">
        <f t="shared" si="274"/>
        <v>1.7535000000000001</v>
      </c>
      <c r="BP174" s="103">
        <f t="shared" si="275"/>
        <v>1.9260010430901597</v>
      </c>
      <c r="BQ174" s="101">
        <f t="shared" si="276"/>
        <v>0.41750000000000004</v>
      </c>
      <c r="BR174" s="102">
        <f t="shared" si="277"/>
        <v>0.83752238776047061</v>
      </c>
      <c r="BS174" s="102">
        <f t="shared" si="278"/>
        <v>0.14028000000000002</v>
      </c>
      <c r="BT174" s="102">
        <f t="shared" si="279"/>
        <v>0.75525000000000009</v>
      </c>
      <c r="BU174" s="103">
        <f t="shared" si="280"/>
        <v>0.89553000000000016</v>
      </c>
      <c r="BV174" s="99">
        <f t="shared" si="281"/>
        <v>0</v>
      </c>
      <c r="BW174" s="102">
        <f t="shared" si="207"/>
        <v>8.7499999999999994E-2</v>
      </c>
      <c r="BX174" s="103">
        <f t="shared" si="282"/>
        <v>1.155E-2</v>
      </c>
      <c r="BY174" s="101">
        <f t="shared" si="283"/>
        <v>2.9486387930901601</v>
      </c>
      <c r="BZ174" s="102">
        <f t="shared" si="284"/>
        <v>20.040000000000003</v>
      </c>
      <c r="CA174" s="103">
        <f t="shared" si="285"/>
        <v>87.173495483445279</v>
      </c>
      <c r="CB174" s="51">
        <f t="shared" si="286"/>
        <v>2.0250510430901598</v>
      </c>
      <c r="CC174" s="32">
        <f t="shared" si="287"/>
        <v>95.87678650815559</v>
      </c>
    </row>
    <row r="175" spans="17:81" ht="15" thickBot="1" x14ac:dyDescent="0.35">
      <c r="Q175" s="32">
        <v>168</v>
      </c>
      <c r="S175" s="101">
        <f t="shared" si="175"/>
        <v>60</v>
      </c>
      <c r="T175" s="97">
        <f t="shared" si="234"/>
        <v>0.33600000000000002</v>
      </c>
      <c r="U175" s="102">
        <f t="shared" si="176"/>
        <v>15</v>
      </c>
      <c r="V175" s="103">
        <f t="shared" si="235"/>
        <v>1.68</v>
      </c>
      <c r="W175" s="101">
        <f t="shared" si="236"/>
        <v>2</v>
      </c>
      <c r="X175" s="102">
        <f t="shared" si="237"/>
        <v>0.75</v>
      </c>
      <c r="Y175" s="100">
        <f t="shared" si="238"/>
        <v>0.25</v>
      </c>
      <c r="Z175" s="101">
        <f t="shared" si="239"/>
        <v>0.45000000000000007</v>
      </c>
      <c r="AA175" s="102">
        <f t="shared" si="240"/>
        <v>1.905</v>
      </c>
      <c r="AB175" s="102">
        <f t="shared" si="241"/>
        <v>1.685014836729932</v>
      </c>
      <c r="AC175" s="102">
        <v>0</v>
      </c>
      <c r="AD175" s="102">
        <f t="shared" si="242"/>
        <v>2.8392749999999994E-2</v>
      </c>
      <c r="AE175" s="103">
        <f t="shared" si="243"/>
        <v>2.8392749999999994E-2</v>
      </c>
      <c r="AF175" s="101">
        <f t="shared" si="244"/>
        <v>1.26</v>
      </c>
      <c r="AG175" s="97">
        <f t="shared" si="245"/>
        <v>1.4592656543618094</v>
      </c>
      <c r="AH175" s="102">
        <f t="shared" si="246"/>
        <v>0.11035485856500003</v>
      </c>
      <c r="AI175" s="97">
        <f t="shared" si="247"/>
        <v>1.764</v>
      </c>
      <c r="AJ175" s="103">
        <f t="shared" si="248"/>
        <v>1.8743548585650001</v>
      </c>
      <c r="AK175" s="101">
        <f t="shared" si="249"/>
        <v>0.42</v>
      </c>
      <c r="AL175" s="102">
        <f t="shared" si="250"/>
        <v>0.84250741836496601</v>
      </c>
      <c r="AM175" s="102">
        <f t="shared" si="251"/>
        <v>0.14112</v>
      </c>
      <c r="AN175" s="102">
        <f t="shared" si="252"/>
        <v>0.75525000000000009</v>
      </c>
      <c r="AO175" s="103">
        <f t="shared" si="253"/>
        <v>0.89637000000000011</v>
      </c>
      <c r="AP175" s="99">
        <f t="shared" si="254"/>
        <v>0</v>
      </c>
      <c r="AQ175" s="102">
        <f t="shared" si="190"/>
        <v>8.7499999999999994E-2</v>
      </c>
      <c r="AR175" s="103">
        <f t="shared" si="255"/>
        <v>1.155E-2</v>
      </c>
      <c r="AS175" s="99">
        <f t="shared" si="256"/>
        <v>1.9734048585649999</v>
      </c>
      <c r="AT175" s="215">
        <f t="shared" si="257"/>
        <v>143.40429151389998</v>
      </c>
      <c r="AU175" s="216">
        <f t="shared" si="258"/>
        <v>8.2147140750338021E-2</v>
      </c>
      <c r="AV175" s="102">
        <f t="shared" si="259"/>
        <v>20.16</v>
      </c>
      <c r="AW175" s="103">
        <f t="shared" si="260"/>
        <v>91.084043005695307</v>
      </c>
      <c r="AX175" s="32"/>
      <c r="AY175" s="101">
        <f t="shared" si="195"/>
        <v>60</v>
      </c>
      <c r="AZ175" s="102">
        <f t="shared" si="261"/>
        <v>0.33600000000000002</v>
      </c>
      <c r="BA175" s="102">
        <f t="shared" si="197"/>
        <v>15</v>
      </c>
      <c r="BB175" s="103">
        <f t="shared" si="262"/>
        <v>1.68</v>
      </c>
      <c r="BC175" s="101">
        <f t="shared" si="263"/>
        <v>2</v>
      </c>
      <c r="BD175" s="102">
        <f t="shared" si="264"/>
        <v>0.75</v>
      </c>
      <c r="BE175" s="100">
        <f t="shared" si="265"/>
        <v>0.25</v>
      </c>
      <c r="BF175" s="101">
        <f t="shared" si="266"/>
        <v>0.45000000000000007</v>
      </c>
      <c r="BG175" s="102">
        <f t="shared" si="267"/>
        <v>1.905</v>
      </c>
      <c r="BH175" s="102">
        <f t="shared" si="268"/>
        <v>1.685014836729932</v>
      </c>
      <c r="BI175" s="102">
        <v>0</v>
      </c>
      <c r="BJ175" s="102">
        <f t="shared" si="269"/>
        <v>2.8392749999999994E-2</v>
      </c>
      <c r="BK175" s="103">
        <f t="shared" si="270"/>
        <v>2.8392749999999994E-2</v>
      </c>
      <c r="BL175" s="101">
        <f t="shared" si="271"/>
        <v>1.26</v>
      </c>
      <c r="BM175" s="97">
        <f t="shared" si="272"/>
        <v>1.4592656543618094</v>
      </c>
      <c r="BN175" s="97">
        <f t="shared" si="273"/>
        <v>0.17492874229043701</v>
      </c>
      <c r="BO175" s="97">
        <f t="shared" si="274"/>
        <v>1.764</v>
      </c>
      <c r="BP175" s="103">
        <f t="shared" si="275"/>
        <v>1.9389287422904371</v>
      </c>
      <c r="BQ175" s="101">
        <f t="shared" si="276"/>
        <v>0.42</v>
      </c>
      <c r="BR175" s="102">
        <f t="shared" si="277"/>
        <v>0.84250741836496601</v>
      </c>
      <c r="BS175" s="102">
        <f t="shared" si="278"/>
        <v>0.14112</v>
      </c>
      <c r="BT175" s="102">
        <f t="shared" si="279"/>
        <v>0.75525000000000009</v>
      </c>
      <c r="BU175" s="103">
        <f t="shared" si="280"/>
        <v>0.89637000000000011</v>
      </c>
      <c r="BV175" s="99">
        <f t="shared" si="281"/>
        <v>0</v>
      </c>
      <c r="BW175" s="102">
        <f t="shared" si="207"/>
        <v>8.7499999999999994E-2</v>
      </c>
      <c r="BX175" s="103">
        <f t="shared" si="282"/>
        <v>1.155E-2</v>
      </c>
      <c r="BY175" s="101">
        <f t="shared" si="283"/>
        <v>2.9627414922904372</v>
      </c>
      <c r="BZ175" s="102">
        <f t="shared" si="284"/>
        <v>20.16</v>
      </c>
      <c r="CA175" s="103">
        <f t="shared" si="285"/>
        <v>87.186893503617341</v>
      </c>
      <c r="CB175" s="51">
        <f t="shared" si="286"/>
        <v>2.0379787422904374</v>
      </c>
      <c r="CC175" s="32">
        <f t="shared" si="287"/>
        <v>96.329255980165314</v>
      </c>
    </row>
    <row r="176" spans="17:81" ht="15" thickBot="1" x14ac:dyDescent="0.35">
      <c r="Q176" s="32">
        <v>169</v>
      </c>
      <c r="S176" s="101">
        <f t="shared" si="175"/>
        <v>60</v>
      </c>
      <c r="T176" s="97">
        <f t="shared" si="234"/>
        <v>0.33800000000000002</v>
      </c>
      <c r="U176" s="102">
        <f t="shared" si="176"/>
        <v>15</v>
      </c>
      <c r="V176" s="103">
        <f t="shared" si="235"/>
        <v>1.6900000000000002</v>
      </c>
      <c r="W176" s="101">
        <f t="shared" si="236"/>
        <v>2</v>
      </c>
      <c r="X176" s="102">
        <f t="shared" si="237"/>
        <v>0.75</v>
      </c>
      <c r="Y176" s="100">
        <f t="shared" si="238"/>
        <v>0.25</v>
      </c>
      <c r="Z176" s="101">
        <f t="shared" si="239"/>
        <v>0.45000000000000007</v>
      </c>
      <c r="AA176" s="102">
        <f t="shared" si="240"/>
        <v>1.9150000000000003</v>
      </c>
      <c r="AB176" s="102">
        <f t="shared" si="241"/>
        <v>1.6949852506732914</v>
      </c>
      <c r="AC176" s="102">
        <v>0</v>
      </c>
      <c r="AD176" s="102">
        <f t="shared" si="242"/>
        <v>2.8729750000000009E-2</v>
      </c>
      <c r="AE176" s="103">
        <f t="shared" si="243"/>
        <v>2.8729750000000009E-2</v>
      </c>
      <c r="AF176" s="101">
        <f t="shared" si="244"/>
        <v>1.2675000000000001</v>
      </c>
      <c r="AG176" s="97">
        <f t="shared" si="245"/>
        <v>1.4679002861230053</v>
      </c>
      <c r="AH176" s="102">
        <f t="shared" si="246"/>
        <v>0.11166468545166673</v>
      </c>
      <c r="AI176" s="97">
        <f t="shared" si="247"/>
        <v>1.7745</v>
      </c>
      <c r="AJ176" s="103">
        <f t="shared" si="248"/>
        <v>1.8861646854516667</v>
      </c>
      <c r="AK176" s="101">
        <f t="shared" si="249"/>
        <v>0.42250000000000004</v>
      </c>
      <c r="AL176" s="102">
        <f t="shared" si="250"/>
        <v>0.84749262533664571</v>
      </c>
      <c r="AM176" s="102">
        <f t="shared" si="251"/>
        <v>0.14196</v>
      </c>
      <c r="AN176" s="102">
        <f t="shared" si="252"/>
        <v>0.75525000000000009</v>
      </c>
      <c r="AO176" s="103">
        <f t="shared" si="253"/>
        <v>0.89721000000000006</v>
      </c>
      <c r="AP176" s="99">
        <f t="shared" si="254"/>
        <v>0</v>
      </c>
      <c r="AQ176" s="102">
        <f t="shared" si="190"/>
        <v>8.7499999999999994E-2</v>
      </c>
      <c r="AR176" s="103">
        <f t="shared" si="255"/>
        <v>1.155E-2</v>
      </c>
      <c r="AS176" s="99">
        <f t="shared" si="256"/>
        <v>1.9852146854516666</v>
      </c>
      <c r="AT176" s="215">
        <f t="shared" si="257"/>
        <v>144.1128811271</v>
      </c>
      <c r="AU176" s="216">
        <f t="shared" si="258"/>
        <v>8.2320113458565769E-2</v>
      </c>
      <c r="AV176" s="102">
        <f t="shared" si="259"/>
        <v>20.28</v>
      </c>
      <c r="AW176" s="103">
        <f t="shared" si="260"/>
        <v>91.083783769896328</v>
      </c>
      <c r="AX176" s="32"/>
      <c r="AY176" s="101">
        <f t="shared" si="195"/>
        <v>60</v>
      </c>
      <c r="AZ176" s="102">
        <f t="shared" si="261"/>
        <v>0.33800000000000002</v>
      </c>
      <c r="BA176" s="102">
        <f t="shared" si="197"/>
        <v>15</v>
      </c>
      <c r="BB176" s="103">
        <f t="shared" si="262"/>
        <v>1.6900000000000002</v>
      </c>
      <c r="BC176" s="101">
        <f t="shared" si="263"/>
        <v>2</v>
      </c>
      <c r="BD176" s="102">
        <f t="shared" si="264"/>
        <v>0.75</v>
      </c>
      <c r="BE176" s="100">
        <f t="shared" si="265"/>
        <v>0.25</v>
      </c>
      <c r="BF176" s="101">
        <f t="shared" si="266"/>
        <v>0.45000000000000007</v>
      </c>
      <c r="BG176" s="102">
        <f t="shared" si="267"/>
        <v>1.9150000000000003</v>
      </c>
      <c r="BH176" s="102">
        <f t="shared" si="268"/>
        <v>1.6949852506732914</v>
      </c>
      <c r="BI176" s="102">
        <v>0</v>
      </c>
      <c r="BJ176" s="102">
        <f t="shared" si="269"/>
        <v>2.8729750000000009E-2</v>
      </c>
      <c r="BK176" s="103">
        <f t="shared" si="270"/>
        <v>2.8729750000000009E-2</v>
      </c>
      <c r="BL176" s="101">
        <f t="shared" si="271"/>
        <v>1.2675000000000001</v>
      </c>
      <c r="BM176" s="97">
        <f t="shared" si="272"/>
        <v>1.4679002861230053</v>
      </c>
      <c r="BN176" s="97">
        <f t="shared" si="273"/>
        <v>0.17737772097271728</v>
      </c>
      <c r="BO176" s="97">
        <f t="shared" si="274"/>
        <v>1.7745</v>
      </c>
      <c r="BP176" s="103">
        <f t="shared" si="275"/>
        <v>1.9518777209727172</v>
      </c>
      <c r="BQ176" s="101">
        <f t="shared" si="276"/>
        <v>0.42250000000000004</v>
      </c>
      <c r="BR176" s="102">
        <f t="shared" si="277"/>
        <v>0.84749262533664571</v>
      </c>
      <c r="BS176" s="102">
        <f t="shared" si="278"/>
        <v>0.14196</v>
      </c>
      <c r="BT176" s="102">
        <f t="shared" si="279"/>
        <v>0.75525000000000009</v>
      </c>
      <c r="BU176" s="103">
        <f t="shared" si="280"/>
        <v>0.89721000000000006</v>
      </c>
      <c r="BV176" s="99">
        <f t="shared" si="281"/>
        <v>0</v>
      </c>
      <c r="BW176" s="102">
        <f t="shared" si="207"/>
        <v>8.7499999999999994E-2</v>
      </c>
      <c r="BX176" s="103">
        <f t="shared" si="282"/>
        <v>1.155E-2</v>
      </c>
      <c r="BY176" s="101">
        <f t="shared" si="283"/>
        <v>2.9768674709727172</v>
      </c>
      <c r="BZ176" s="102">
        <f t="shared" si="284"/>
        <v>20.28</v>
      </c>
      <c r="CA176" s="103">
        <f t="shared" si="285"/>
        <v>87.200049728587942</v>
      </c>
      <c r="CB176" s="51">
        <f t="shared" si="286"/>
        <v>2.0509277209727172</v>
      </c>
      <c r="CC176" s="32">
        <f t="shared" si="287"/>
        <v>96.782470234045107</v>
      </c>
    </row>
    <row r="177" spans="17:81" ht="15" thickBot="1" x14ac:dyDescent="0.35">
      <c r="Q177" s="32">
        <v>170</v>
      </c>
      <c r="S177" s="101">
        <f t="shared" si="175"/>
        <v>60</v>
      </c>
      <c r="T177" s="97">
        <f t="shared" si="234"/>
        <v>0.34</v>
      </c>
      <c r="U177" s="102">
        <f t="shared" si="176"/>
        <v>15</v>
      </c>
      <c r="V177" s="103">
        <f t="shared" si="235"/>
        <v>1.7000000000000002</v>
      </c>
      <c r="W177" s="101">
        <f t="shared" si="236"/>
        <v>2</v>
      </c>
      <c r="X177" s="102">
        <f t="shared" si="237"/>
        <v>0.75</v>
      </c>
      <c r="Y177" s="100">
        <f t="shared" si="238"/>
        <v>0.25</v>
      </c>
      <c r="Z177" s="101">
        <f t="shared" si="239"/>
        <v>0.45000000000000007</v>
      </c>
      <c r="AA177" s="102">
        <f t="shared" si="240"/>
        <v>1.9250000000000003</v>
      </c>
      <c r="AB177" s="102">
        <f t="shared" si="241"/>
        <v>1.7049560111627515</v>
      </c>
      <c r="AC177" s="102">
        <v>0</v>
      </c>
      <c r="AD177" s="102">
        <f t="shared" si="242"/>
        <v>2.9068750000000004E-2</v>
      </c>
      <c r="AE177" s="103">
        <f t="shared" si="243"/>
        <v>2.9068750000000004E-2</v>
      </c>
      <c r="AF177" s="101">
        <f t="shared" si="244"/>
        <v>1.2750000000000001</v>
      </c>
      <c r="AG177" s="97">
        <f t="shared" si="245"/>
        <v>1.4765352180019278</v>
      </c>
      <c r="AH177" s="102">
        <f t="shared" si="246"/>
        <v>0.11298228579166672</v>
      </c>
      <c r="AI177" s="97">
        <f t="shared" si="247"/>
        <v>1.7850000000000001</v>
      </c>
      <c r="AJ177" s="103">
        <f t="shared" si="248"/>
        <v>1.8979822857916668</v>
      </c>
      <c r="AK177" s="101">
        <f t="shared" si="249"/>
        <v>0.42500000000000004</v>
      </c>
      <c r="AL177" s="102">
        <f t="shared" si="250"/>
        <v>0.85247800558137576</v>
      </c>
      <c r="AM177" s="102">
        <f t="shared" si="251"/>
        <v>0.14280000000000001</v>
      </c>
      <c r="AN177" s="102">
        <f t="shared" si="252"/>
        <v>0.75525000000000009</v>
      </c>
      <c r="AO177" s="103">
        <f t="shared" si="253"/>
        <v>0.89805000000000013</v>
      </c>
      <c r="AP177" s="99">
        <f t="shared" si="254"/>
        <v>0</v>
      </c>
      <c r="AQ177" s="102">
        <f t="shared" si="190"/>
        <v>8.7499999999999994E-2</v>
      </c>
      <c r="AR177" s="103">
        <f t="shared" si="255"/>
        <v>1.155E-2</v>
      </c>
      <c r="AS177" s="99">
        <f t="shared" si="256"/>
        <v>1.9970322857916667</v>
      </c>
      <c r="AT177" s="215">
        <f t="shared" si="257"/>
        <v>144.82193714749999</v>
      </c>
      <c r="AU177" s="216">
        <f t="shared" si="258"/>
        <v>8.2493200020729587E-2</v>
      </c>
      <c r="AV177" s="102">
        <f t="shared" si="259"/>
        <v>20.400000000000002</v>
      </c>
      <c r="AW177" s="103">
        <f t="shared" si="260"/>
        <v>91.083495972551006</v>
      </c>
      <c r="AX177" s="32"/>
      <c r="AY177" s="101">
        <f t="shared" si="195"/>
        <v>60</v>
      </c>
      <c r="AZ177" s="102">
        <f t="shared" si="261"/>
        <v>0.34</v>
      </c>
      <c r="BA177" s="102">
        <f t="shared" si="197"/>
        <v>15</v>
      </c>
      <c r="BB177" s="103">
        <f t="shared" si="262"/>
        <v>1.7000000000000002</v>
      </c>
      <c r="BC177" s="101">
        <f t="shared" si="263"/>
        <v>2</v>
      </c>
      <c r="BD177" s="102">
        <f t="shared" si="264"/>
        <v>0.75</v>
      </c>
      <c r="BE177" s="100">
        <f t="shared" si="265"/>
        <v>0.25</v>
      </c>
      <c r="BF177" s="101">
        <f t="shared" si="266"/>
        <v>0.45000000000000007</v>
      </c>
      <c r="BG177" s="102">
        <f t="shared" si="267"/>
        <v>1.9250000000000003</v>
      </c>
      <c r="BH177" s="102">
        <f t="shared" si="268"/>
        <v>1.7049560111627515</v>
      </c>
      <c r="BI177" s="102">
        <v>0</v>
      </c>
      <c r="BJ177" s="102">
        <f t="shared" si="269"/>
        <v>2.9068750000000004E-2</v>
      </c>
      <c r="BK177" s="103">
        <f t="shared" si="270"/>
        <v>2.9068750000000004E-2</v>
      </c>
      <c r="BL177" s="101">
        <f t="shared" si="271"/>
        <v>1.2750000000000001</v>
      </c>
      <c r="BM177" s="97">
        <f t="shared" si="272"/>
        <v>1.4765352180019278</v>
      </c>
      <c r="BN177" s="97">
        <f t="shared" si="273"/>
        <v>0.17984806560769379</v>
      </c>
      <c r="BO177" s="97">
        <f t="shared" si="274"/>
        <v>1.7850000000000001</v>
      </c>
      <c r="BP177" s="103">
        <f t="shared" si="275"/>
        <v>1.9648480656076939</v>
      </c>
      <c r="BQ177" s="101">
        <f t="shared" si="276"/>
        <v>0.42500000000000004</v>
      </c>
      <c r="BR177" s="102">
        <f t="shared" si="277"/>
        <v>0.85247800558137576</v>
      </c>
      <c r="BS177" s="102">
        <f t="shared" si="278"/>
        <v>0.14280000000000001</v>
      </c>
      <c r="BT177" s="102">
        <f t="shared" si="279"/>
        <v>0.75525000000000009</v>
      </c>
      <c r="BU177" s="103">
        <f t="shared" si="280"/>
        <v>0.89805000000000013</v>
      </c>
      <c r="BV177" s="99">
        <f t="shared" si="281"/>
        <v>0</v>
      </c>
      <c r="BW177" s="102">
        <f t="shared" si="207"/>
        <v>8.7499999999999994E-2</v>
      </c>
      <c r="BX177" s="103">
        <f t="shared" si="282"/>
        <v>1.155E-2</v>
      </c>
      <c r="BY177" s="101">
        <f t="shared" si="283"/>
        <v>2.9910168156076939</v>
      </c>
      <c r="BZ177" s="102">
        <f t="shared" si="284"/>
        <v>20.400000000000002</v>
      </c>
      <c r="CA177" s="103">
        <f t="shared" si="285"/>
        <v>87.212967956091887</v>
      </c>
      <c r="CB177" s="51">
        <f t="shared" si="286"/>
        <v>2.063898065607694</v>
      </c>
      <c r="CC177" s="32">
        <f t="shared" si="287"/>
        <v>97.236432296269285</v>
      </c>
    </row>
    <row r="178" spans="17:81" ht="15" thickBot="1" x14ac:dyDescent="0.35">
      <c r="Q178" s="32">
        <v>171</v>
      </c>
      <c r="S178" s="101">
        <f t="shared" si="175"/>
        <v>60</v>
      </c>
      <c r="T178" s="97">
        <f t="shared" si="234"/>
        <v>0.34200000000000003</v>
      </c>
      <c r="U178" s="102">
        <f t="shared" si="176"/>
        <v>15</v>
      </c>
      <c r="V178" s="103">
        <f t="shared" si="235"/>
        <v>1.7100000000000002</v>
      </c>
      <c r="W178" s="101">
        <f t="shared" si="236"/>
        <v>2</v>
      </c>
      <c r="X178" s="102">
        <f t="shared" si="237"/>
        <v>0.75</v>
      </c>
      <c r="Y178" s="100">
        <f t="shared" si="238"/>
        <v>0.25</v>
      </c>
      <c r="Z178" s="101">
        <f t="shared" si="239"/>
        <v>0.45000000000000007</v>
      </c>
      <c r="AA178" s="102">
        <f t="shared" si="240"/>
        <v>1.9350000000000003</v>
      </c>
      <c r="AB178" s="102">
        <f t="shared" si="241"/>
        <v>1.7149271121537502</v>
      </c>
      <c r="AC178" s="102">
        <v>0</v>
      </c>
      <c r="AD178" s="102">
        <f t="shared" si="242"/>
        <v>2.9409750000000012E-2</v>
      </c>
      <c r="AE178" s="103">
        <f t="shared" si="243"/>
        <v>2.9409750000000012E-2</v>
      </c>
      <c r="AF178" s="101">
        <f t="shared" si="244"/>
        <v>1.2825000000000002</v>
      </c>
      <c r="AG178" s="97">
        <f t="shared" si="245"/>
        <v>1.4851704447638325</v>
      </c>
      <c r="AH178" s="102">
        <f t="shared" si="246"/>
        <v>0.11430765958500003</v>
      </c>
      <c r="AI178" s="97">
        <f t="shared" si="247"/>
        <v>1.7955000000000001</v>
      </c>
      <c r="AJ178" s="103">
        <f t="shared" si="248"/>
        <v>1.9098076595850002</v>
      </c>
      <c r="AK178" s="101">
        <f t="shared" si="249"/>
        <v>0.42750000000000005</v>
      </c>
      <c r="AL178" s="102">
        <f t="shared" si="250"/>
        <v>0.85746355607687508</v>
      </c>
      <c r="AM178" s="102">
        <f t="shared" si="251"/>
        <v>0.14364000000000002</v>
      </c>
      <c r="AN178" s="102">
        <f t="shared" si="252"/>
        <v>0.75525000000000009</v>
      </c>
      <c r="AO178" s="103">
        <f t="shared" si="253"/>
        <v>0.89889000000000008</v>
      </c>
      <c r="AP178" s="99">
        <f t="shared" si="254"/>
        <v>0</v>
      </c>
      <c r="AQ178" s="102">
        <f t="shared" si="190"/>
        <v>8.7499999999999994E-2</v>
      </c>
      <c r="AR178" s="103">
        <f t="shared" si="255"/>
        <v>1.155E-2</v>
      </c>
      <c r="AS178" s="99">
        <f t="shared" si="256"/>
        <v>2.0088576595850003</v>
      </c>
      <c r="AT178" s="215">
        <f t="shared" si="257"/>
        <v>145.53145957510003</v>
      </c>
      <c r="AU178" s="216">
        <f t="shared" si="258"/>
        <v>8.2666400436829476E-2</v>
      </c>
      <c r="AV178" s="102">
        <f t="shared" si="259"/>
        <v>20.520000000000003</v>
      </c>
      <c r="AW178" s="103">
        <f t="shared" si="260"/>
        <v>91.08318011530281</v>
      </c>
      <c r="AX178" s="32"/>
      <c r="AY178" s="101">
        <f t="shared" si="195"/>
        <v>60</v>
      </c>
      <c r="AZ178" s="102">
        <f t="shared" si="261"/>
        <v>0.34200000000000003</v>
      </c>
      <c r="BA178" s="102">
        <f t="shared" si="197"/>
        <v>15</v>
      </c>
      <c r="BB178" s="103">
        <f t="shared" si="262"/>
        <v>1.7100000000000002</v>
      </c>
      <c r="BC178" s="101">
        <f t="shared" si="263"/>
        <v>2</v>
      </c>
      <c r="BD178" s="102">
        <f t="shared" si="264"/>
        <v>0.75</v>
      </c>
      <c r="BE178" s="100">
        <f t="shared" si="265"/>
        <v>0.25</v>
      </c>
      <c r="BF178" s="101">
        <f t="shared" si="266"/>
        <v>0.45000000000000007</v>
      </c>
      <c r="BG178" s="102">
        <f t="shared" si="267"/>
        <v>1.9350000000000003</v>
      </c>
      <c r="BH178" s="102">
        <f t="shared" si="268"/>
        <v>1.7149271121537502</v>
      </c>
      <c r="BI178" s="102">
        <v>0</v>
      </c>
      <c r="BJ178" s="102">
        <f t="shared" si="269"/>
        <v>2.9409750000000012E-2</v>
      </c>
      <c r="BK178" s="103">
        <f t="shared" si="270"/>
        <v>2.9409750000000012E-2</v>
      </c>
      <c r="BL178" s="101">
        <f t="shared" si="271"/>
        <v>1.2825000000000002</v>
      </c>
      <c r="BM178" s="97">
        <f t="shared" si="272"/>
        <v>1.4851704447638325</v>
      </c>
      <c r="BN178" s="97">
        <f t="shared" si="273"/>
        <v>0.18233986276852843</v>
      </c>
      <c r="BO178" s="97">
        <f t="shared" si="274"/>
        <v>1.7955000000000001</v>
      </c>
      <c r="BP178" s="103">
        <f t="shared" si="275"/>
        <v>1.9778398627685285</v>
      </c>
      <c r="BQ178" s="101">
        <f t="shared" si="276"/>
        <v>0.42750000000000005</v>
      </c>
      <c r="BR178" s="102">
        <f t="shared" si="277"/>
        <v>0.85746355607687508</v>
      </c>
      <c r="BS178" s="102">
        <f t="shared" si="278"/>
        <v>0.14364000000000002</v>
      </c>
      <c r="BT178" s="102">
        <f t="shared" si="279"/>
        <v>0.75525000000000009</v>
      </c>
      <c r="BU178" s="103">
        <f t="shared" si="280"/>
        <v>0.89889000000000008</v>
      </c>
      <c r="BV178" s="99">
        <f t="shared" si="281"/>
        <v>0</v>
      </c>
      <c r="BW178" s="102">
        <f t="shared" si="207"/>
        <v>8.7499999999999994E-2</v>
      </c>
      <c r="BX178" s="103">
        <f t="shared" si="282"/>
        <v>1.155E-2</v>
      </c>
      <c r="BY178" s="101">
        <f t="shared" si="283"/>
        <v>3.0051896127685289</v>
      </c>
      <c r="BZ178" s="102">
        <f t="shared" si="284"/>
        <v>20.520000000000003</v>
      </c>
      <c r="CA178" s="103">
        <f t="shared" si="285"/>
        <v>87.225651898093815</v>
      </c>
      <c r="CB178" s="51">
        <f t="shared" si="286"/>
        <v>2.0768898627685286</v>
      </c>
      <c r="CC178" s="32">
        <f t="shared" si="287"/>
        <v>97.691145196898503</v>
      </c>
    </row>
    <row r="179" spans="17:81" ht="15" thickBot="1" x14ac:dyDescent="0.35">
      <c r="Q179" s="32">
        <v>172</v>
      </c>
      <c r="S179" s="101">
        <f t="shared" si="175"/>
        <v>60</v>
      </c>
      <c r="T179" s="97">
        <f t="shared" si="234"/>
        <v>0.34400000000000003</v>
      </c>
      <c r="U179" s="102">
        <f t="shared" si="176"/>
        <v>15</v>
      </c>
      <c r="V179" s="103">
        <f t="shared" si="235"/>
        <v>1.72</v>
      </c>
      <c r="W179" s="101">
        <f t="shared" si="236"/>
        <v>2</v>
      </c>
      <c r="X179" s="102">
        <f t="shared" si="237"/>
        <v>0.75</v>
      </c>
      <c r="Y179" s="100">
        <f t="shared" si="238"/>
        <v>0.25</v>
      </c>
      <c r="Z179" s="101">
        <f t="shared" si="239"/>
        <v>0.45000000000000007</v>
      </c>
      <c r="AA179" s="102">
        <f t="shared" si="240"/>
        <v>1.9450000000000001</v>
      </c>
      <c r="AB179" s="102">
        <f t="shared" si="241"/>
        <v>1.7248985477412866</v>
      </c>
      <c r="AC179" s="102">
        <v>0</v>
      </c>
      <c r="AD179" s="102">
        <f t="shared" si="242"/>
        <v>2.9752749999999994E-2</v>
      </c>
      <c r="AE179" s="103">
        <f t="shared" si="243"/>
        <v>2.9752749999999994E-2</v>
      </c>
      <c r="AF179" s="101">
        <f t="shared" si="244"/>
        <v>1.29</v>
      </c>
      <c r="AG179" s="97">
        <f t="shared" si="245"/>
        <v>1.4938059612948396</v>
      </c>
      <c r="AH179" s="102">
        <f t="shared" si="246"/>
        <v>0.11564080683166669</v>
      </c>
      <c r="AI179" s="97">
        <f t="shared" si="247"/>
        <v>1.806</v>
      </c>
      <c r="AJ179" s="103">
        <f t="shared" si="248"/>
        <v>1.9216408068316668</v>
      </c>
      <c r="AK179" s="101">
        <f t="shared" si="249"/>
        <v>0.43</v>
      </c>
      <c r="AL179" s="102">
        <f t="shared" si="250"/>
        <v>0.8624492738706433</v>
      </c>
      <c r="AM179" s="102">
        <f t="shared" si="251"/>
        <v>0.14448</v>
      </c>
      <c r="AN179" s="102">
        <f t="shared" si="252"/>
        <v>0.75525000000000009</v>
      </c>
      <c r="AO179" s="103">
        <f t="shared" si="253"/>
        <v>0.89973000000000014</v>
      </c>
      <c r="AP179" s="99">
        <f t="shared" si="254"/>
        <v>0</v>
      </c>
      <c r="AQ179" s="102">
        <f t="shared" si="190"/>
        <v>8.7499999999999994E-2</v>
      </c>
      <c r="AR179" s="103">
        <f t="shared" si="255"/>
        <v>1.155E-2</v>
      </c>
      <c r="AS179" s="99">
        <f t="shared" si="256"/>
        <v>2.0206908068316669</v>
      </c>
      <c r="AT179" s="215">
        <f t="shared" si="257"/>
        <v>146.24144840990002</v>
      </c>
      <c r="AU179" s="216">
        <f t="shared" si="258"/>
        <v>8.2839714706865422E-2</v>
      </c>
      <c r="AV179" s="102">
        <f t="shared" si="259"/>
        <v>20.64</v>
      </c>
      <c r="AW179" s="103">
        <f t="shared" si="260"/>
        <v>91.082836688180407</v>
      </c>
      <c r="AX179" s="32"/>
      <c r="AY179" s="101">
        <f t="shared" si="195"/>
        <v>60</v>
      </c>
      <c r="AZ179" s="102">
        <f t="shared" si="261"/>
        <v>0.34400000000000003</v>
      </c>
      <c r="BA179" s="102">
        <f t="shared" si="197"/>
        <v>15</v>
      </c>
      <c r="BB179" s="103">
        <f t="shared" si="262"/>
        <v>1.72</v>
      </c>
      <c r="BC179" s="101">
        <f t="shared" si="263"/>
        <v>2</v>
      </c>
      <c r="BD179" s="102">
        <f t="shared" si="264"/>
        <v>0.75</v>
      </c>
      <c r="BE179" s="100">
        <f t="shared" si="265"/>
        <v>0.25</v>
      </c>
      <c r="BF179" s="101">
        <f t="shared" si="266"/>
        <v>0.45000000000000007</v>
      </c>
      <c r="BG179" s="102">
        <f t="shared" si="267"/>
        <v>1.9450000000000001</v>
      </c>
      <c r="BH179" s="102">
        <f t="shared" si="268"/>
        <v>1.7248985477412866</v>
      </c>
      <c r="BI179" s="102">
        <v>0</v>
      </c>
      <c r="BJ179" s="102">
        <f t="shared" si="269"/>
        <v>2.9752749999999994E-2</v>
      </c>
      <c r="BK179" s="103">
        <f t="shared" si="270"/>
        <v>2.9752749999999994E-2</v>
      </c>
      <c r="BL179" s="101">
        <f t="shared" si="271"/>
        <v>1.29</v>
      </c>
      <c r="BM179" s="97">
        <f t="shared" si="272"/>
        <v>1.4938059612948396</v>
      </c>
      <c r="BN179" s="97">
        <f t="shared" si="273"/>
        <v>0.18485319913085177</v>
      </c>
      <c r="BO179" s="97">
        <f t="shared" si="274"/>
        <v>1.806</v>
      </c>
      <c r="BP179" s="103">
        <f t="shared" si="275"/>
        <v>1.9908531991308518</v>
      </c>
      <c r="BQ179" s="101">
        <f t="shared" si="276"/>
        <v>0.43</v>
      </c>
      <c r="BR179" s="102">
        <f t="shared" si="277"/>
        <v>0.8624492738706433</v>
      </c>
      <c r="BS179" s="102">
        <f t="shared" si="278"/>
        <v>0.14448</v>
      </c>
      <c r="BT179" s="102">
        <f t="shared" si="279"/>
        <v>0.75525000000000009</v>
      </c>
      <c r="BU179" s="103">
        <f t="shared" si="280"/>
        <v>0.89973000000000014</v>
      </c>
      <c r="BV179" s="99">
        <f t="shared" si="281"/>
        <v>0</v>
      </c>
      <c r="BW179" s="102">
        <f t="shared" si="207"/>
        <v>8.7499999999999994E-2</v>
      </c>
      <c r="BX179" s="103">
        <f t="shared" si="282"/>
        <v>1.155E-2</v>
      </c>
      <c r="BY179" s="101">
        <f t="shared" si="283"/>
        <v>3.0193859491308519</v>
      </c>
      <c r="BZ179" s="102">
        <f t="shared" si="284"/>
        <v>20.64</v>
      </c>
      <c r="CA179" s="103">
        <f t="shared" si="285"/>
        <v>87.238105183191493</v>
      </c>
      <c r="CB179" s="51">
        <f t="shared" si="286"/>
        <v>2.0899031991308519</v>
      </c>
      <c r="CC179" s="32">
        <f t="shared" si="287"/>
        <v>98.146611969579823</v>
      </c>
    </row>
    <row r="180" spans="17:81" ht="15" thickBot="1" x14ac:dyDescent="0.35">
      <c r="Q180" s="32">
        <v>173</v>
      </c>
      <c r="S180" s="101">
        <f t="shared" si="175"/>
        <v>60</v>
      </c>
      <c r="T180" s="97">
        <f t="shared" si="234"/>
        <v>0.34600000000000003</v>
      </c>
      <c r="U180" s="102">
        <f t="shared" si="176"/>
        <v>15</v>
      </c>
      <c r="V180" s="103">
        <f t="shared" si="235"/>
        <v>1.7300000000000002</v>
      </c>
      <c r="W180" s="101">
        <f t="shared" si="236"/>
        <v>2</v>
      </c>
      <c r="X180" s="102">
        <f t="shared" si="237"/>
        <v>0.75</v>
      </c>
      <c r="Y180" s="100">
        <f t="shared" si="238"/>
        <v>0.25</v>
      </c>
      <c r="Z180" s="101">
        <f t="shared" si="239"/>
        <v>0.45000000000000007</v>
      </c>
      <c r="AA180" s="102">
        <f t="shared" si="240"/>
        <v>1.9550000000000003</v>
      </c>
      <c r="AB180" s="102">
        <f t="shared" si="241"/>
        <v>1.7348703121559261</v>
      </c>
      <c r="AC180" s="102">
        <v>0</v>
      </c>
      <c r="AD180" s="102">
        <f t="shared" si="242"/>
        <v>3.009775000000001E-2</v>
      </c>
      <c r="AE180" s="103">
        <f t="shared" si="243"/>
        <v>3.009775000000001E-2</v>
      </c>
      <c r="AF180" s="101">
        <f t="shared" si="244"/>
        <v>1.2975000000000001</v>
      </c>
      <c r="AG180" s="97">
        <f t="shared" si="245"/>
        <v>1.5024417625984712</v>
      </c>
      <c r="AH180" s="102">
        <f t="shared" si="246"/>
        <v>0.11698172753166675</v>
      </c>
      <c r="AI180" s="97">
        <f t="shared" si="247"/>
        <v>1.8165000000000002</v>
      </c>
      <c r="AJ180" s="103">
        <f t="shared" si="248"/>
        <v>1.9334817275316669</v>
      </c>
      <c r="AK180" s="101">
        <f t="shared" si="249"/>
        <v>0.43250000000000005</v>
      </c>
      <c r="AL180" s="102">
        <f t="shared" si="250"/>
        <v>0.86743515607796318</v>
      </c>
      <c r="AM180" s="102">
        <f t="shared" si="251"/>
        <v>0.14532</v>
      </c>
      <c r="AN180" s="102">
        <f t="shared" si="252"/>
        <v>0.75525000000000009</v>
      </c>
      <c r="AO180" s="103">
        <f t="shared" si="253"/>
        <v>0.90057000000000009</v>
      </c>
      <c r="AP180" s="99">
        <f t="shared" si="254"/>
        <v>0</v>
      </c>
      <c r="AQ180" s="102">
        <f t="shared" si="190"/>
        <v>8.7499999999999994E-2</v>
      </c>
      <c r="AR180" s="103">
        <f t="shared" si="255"/>
        <v>1.155E-2</v>
      </c>
      <c r="AS180" s="99">
        <f t="shared" si="256"/>
        <v>2.032531727531667</v>
      </c>
      <c r="AT180" s="215">
        <f t="shared" si="257"/>
        <v>146.95190365190001</v>
      </c>
      <c r="AU180" s="216">
        <f t="shared" si="258"/>
        <v>8.3013142830837439E-2</v>
      </c>
      <c r="AV180" s="102">
        <f t="shared" si="259"/>
        <v>20.76</v>
      </c>
      <c r="AW180" s="103">
        <f t="shared" si="260"/>
        <v>91.082466169931791</v>
      </c>
      <c r="AX180" s="32"/>
      <c r="AY180" s="101">
        <f t="shared" si="195"/>
        <v>60</v>
      </c>
      <c r="AZ180" s="102">
        <f t="shared" si="261"/>
        <v>0.34600000000000003</v>
      </c>
      <c r="BA180" s="102">
        <f t="shared" si="197"/>
        <v>15</v>
      </c>
      <c r="BB180" s="103">
        <f t="shared" si="262"/>
        <v>1.7300000000000002</v>
      </c>
      <c r="BC180" s="101">
        <f t="shared" si="263"/>
        <v>2</v>
      </c>
      <c r="BD180" s="102">
        <f t="shared" si="264"/>
        <v>0.75</v>
      </c>
      <c r="BE180" s="100">
        <f t="shared" si="265"/>
        <v>0.25</v>
      </c>
      <c r="BF180" s="101">
        <f t="shared" si="266"/>
        <v>0.45000000000000007</v>
      </c>
      <c r="BG180" s="102">
        <f t="shared" si="267"/>
        <v>1.9550000000000003</v>
      </c>
      <c r="BH180" s="102">
        <f t="shared" si="268"/>
        <v>1.7348703121559261</v>
      </c>
      <c r="BI180" s="102">
        <v>0</v>
      </c>
      <c r="BJ180" s="102">
        <f t="shared" si="269"/>
        <v>3.009775000000001E-2</v>
      </c>
      <c r="BK180" s="103">
        <f t="shared" si="270"/>
        <v>3.009775000000001E-2</v>
      </c>
      <c r="BL180" s="101">
        <f t="shared" si="271"/>
        <v>1.2975000000000001</v>
      </c>
      <c r="BM180" s="97">
        <f t="shared" si="272"/>
        <v>1.5024417625984712</v>
      </c>
      <c r="BN180" s="97">
        <f t="shared" si="273"/>
        <v>0.18738816147276288</v>
      </c>
      <c r="BO180" s="97">
        <f t="shared" si="274"/>
        <v>1.8165000000000002</v>
      </c>
      <c r="BP180" s="103">
        <f t="shared" si="275"/>
        <v>2.0038881614727631</v>
      </c>
      <c r="BQ180" s="101">
        <f t="shared" si="276"/>
        <v>0.43250000000000005</v>
      </c>
      <c r="BR180" s="102">
        <f t="shared" si="277"/>
        <v>0.86743515607796318</v>
      </c>
      <c r="BS180" s="102">
        <f t="shared" si="278"/>
        <v>0.14532</v>
      </c>
      <c r="BT180" s="102">
        <f t="shared" si="279"/>
        <v>0.75525000000000009</v>
      </c>
      <c r="BU180" s="103">
        <f t="shared" si="280"/>
        <v>0.90057000000000009</v>
      </c>
      <c r="BV180" s="99">
        <f t="shared" si="281"/>
        <v>0</v>
      </c>
      <c r="BW180" s="102">
        <f t="shared" si="207"/>
        <v>8.7499999999999994E-2</v>
      </c>
      <c r="BX180" s="103">
        <f t="shared" si="282"/>
        <v>1.155E-2</v>
      </c>
      <c r="BY180" s="101">
        <f t="shared" si="283"/>
        <v>3.0336059114727632</v>
      </c>
      <c r="BZ180" s="102">
        <f t="shared" si="284"/>
        <v>20.76</v>
      </c>
      <c r="CA180" s="103">
        <f t="shared" si="285"/>
        <v>87.250331358938652</v>
      </c>
      <c r="CB180" s="51">
        <f t="shared" si="286"/>
        <v>2.1029381614727631</v>
      </c>
      <c r="CC180" s="32">
        <f t="shared" si="287"/>
        <v>98.602835651546712</v>
      </c>
    </row>
    <row r="181" spans="17:81" ht="15" thickBot="1" x14ac:dyDescent="0.35">
      <c r="Q181" s="32">
        <v>174</v>
      </c>
      <c r="S181" s="101">
        <f t="shared" si="175"/>
        <v>60</v>
      </c>
      <c r="T181" s="97">
        <f t="shared" si="234"/>
        <v>0.34800000000000003</v>
      </c>
      <c r="U181" s="102">
        <f t="shared" si="176"/>
        <v>15</v>
      </c>
      <c r="V181" s="103">
        <f t="shared" si="235"/>
        <v>1.7400000000000002</v>
      </c>
      <c r="W181" s="101">
        <f t="shared" si="236"/>
        <v>2</v>
      </c>
      <c r="X181" s="102">
        <f t="shared" si="237"/>
        <v>0.75</v>
      </c>
      <c r="Y181" s="100">
        <f t="shared" si="238"/>
        <v>0.25</v>
      </c>
      <c r="Z181" s="101">
        <f t="shared" si="239"/>
        <v>0.45000000000000007</v>
      </c>
      <c r="AA181" s="102">
        <f t="shared" si="240"/>
        <v>1.9650000000000003</v>
      </c>
      <c r="AB181" s="102">
        <f t="shared" si="241"/>
        <v>1.7448423997599327</v>
      </c>
      <c r="AC181" s="102">
        <v>0</v>
      </c>
      <c r="AD181" s="102">
        <f t="shared" si="242"/>
        <v>3.0444750000000007E-2</v>
      </c>
      <c r="AE181" s="103">
        <f t="shared" si="243"/>
        <v>3.0444750000000007E-2</v>
      </c>
      <c r="AF181" s="101">
        <f t="shared" si="244"/>
        <v>1.3050000000000002</v>
      </c>
      <c r="AG181" s="97">
        <f t="shared" si="245"/>
        <v>1.5110778437923047</v>
      </c>
      <c r="AH181" s="102">
        <f t="shared" si="246"/>
        <v>0.11833042168500006</v>
      </c>
      <c r="AI181" s="97">
        <f t="shared" si="247"/>
        <v>1.827</v>
      </c>
      <c r="AJ181" s="103">
        <f t="shared" si="248"/>
        <v>1.945330421685</v>
      </c>
      <c r="AK181" s="101">
        <f t="shared" si="249"/>
        <v>0.43500000000000005</v>
      </c>
      <c r="AL181" s="102">
        <f t="shared" si="250"/>
        <v>0.87242119987996636</v>
      </c>
      <c r="AM181" s="102">
        <f t="shared" si="251"/>
        <v>0.14616000000000001</v>
      </c>
      <c r="AN181" s="102">
        <f t="shared" si="252"/>
        <v>0.75525000000000009</v>
      </c>
      <c r="AO181" s="103">
        <f t="shared" si="253"/>
        <v>0.90141000000000004</v>
      </c>
      <c r="AP181" s="99">
        <f t="shared" si="254"/>
        <v>0</v>
      </c>
      <c r="AQ181" s="102">
        <f t="shared" si="190"/>
        <v>8.7499999999999994E-2</v>
      </c>
      <c r="AR181" s="103">
        <f t="shared" si="255"/>
        <v>1.155E-2</v>
      </c>
      <c r="AS181" s="99">
        <f t="shared" si="256"/>
        <v>2.0443804216850001</v>
      </c>
      <c r="AT181" s="215">
        <f t="shared" si="257"/>
        <v>147.66282530110001</v>
      </c>
      <c r="AU181" s="216">
        <f t="shared" si="258"/>
        <v>8.318668480874554E-2</v>
      </c>
      <c r="AV181" s="102">
        <f t="shared" si="259"/>
        <v>20.880000000000003</v>
      </c>
      <c r="AW181" s="103">
        <f t="shared" si="260"/>
        <v>91.082069028347021</v>
      </c>
      <c r="AX181" s="32"/>
      <c r="AY181" s="101">
        <f t="shared" si="195"/>
        <v>60</v>
      </c>
      <c r="AZ181" s="102">
        <f t="shared" si="261"/>
        <v>0.34800000000000003</v>
      </c>
      <c r="BA181" s="102">
        <f t="shared" si="197"/>
        <v>15</v>
      </c>
      <c r="BB181" s="103">
        <f t="shared" si="262"/>
        <v>1.7400000000000002</v>
      </c>
      <c r="BC181" s="101">
        <f t="shared" si="263"/>
        <v>2</v>
      </c>
      <c r="BD181" s="102">
        <f t="shared" si="264"/>
        <v>0.75</v>
      </c>
      <c r="BE181" s="100">
        <f t="shared" si="265"/>
        <v>0.25</v>
      </c>
      <c r="BF181" s="101">
        <f t="shared" si="266"/>
        <v>0.45000000000000007</v>
      </c>
      <c r="BG181" s="102">
        <f t="shared" si="267"/>
        <v>1.9650000000000003</v>
      </c>
      <c r="BH181" s="102">
        <f t="shared" si="268"/>
        <v>1.7448423997599327</v>
      </c>
      <c r="BI181" s="102">
        <v>0</v>
      </c>
      <c r="BJ181" s="102">
        <f t="shared" si="269"/>
        <v>3.0444750000000007E-2</v>
      </c>
      <c r="BK181" s="103">
        <f t="shared" si="270"/>
        <v>3.0444750000000007E-2</v>
      </c>
      <c r="BL181" s="101">
        <f t="shared" si="271"/>
        <v>1.3050000000000002</v>
      </c>
      <c r="BM181" s="97">
        <f t="shared" si="272"/>
        <v>1.5110778437923047</v>
      </c>
      <c r="BN181" s="97">
        <f t="shared" si="273"/>
        <v>0.18994483667482923</v>
      </c>
      <c r="BO181" s="97">
        <f t="shared" si="274"/>
        <v>1.827</v>
      </c>
      <c r="BP181" s="103">
        <f t="shared" si="275"/>
        <v>2.016944836674829</v>
      </c>
      <c r="BQ181" s="101">
        <f t="shared" si="276"/>
        <v>0.43500000000000005</v>
      </c>
      <c r="BR181" s="102">
        <f t="shared" si="277"/>
        <v>0.87242119987996636</v>
      </c>
      <c r="BS181" s="102">
        <f t="shared" si="278"/>
        <v>0.14616000000000001</v>
      </c>
      <c r="BT181" s="102">
        <f t="shared" si="279"/>
        <v>0.75525000000000009</v>
      </c>
      <c r="BU181" s="103">
        <f t="shared" si="280"/>
        <v>0.90141000000000004</v>
      </c>
      <c r="BV181" s="99">
        <f t="shared" si="281"/>
        <v>0</v>
      </c>
      <c r="BW181" s="102">
        <f t="shared" si="207"/>
        <v>8.7499999999999994E-2</v>
      </c>
      <c r="BX181" s="103">
        <f t="shared" si="282"/>
        <v>1.155E-2</v>
      </c>
      <c r="BY181" s="101">
        <f t="shared" si="283"/>
        <v>3.047849586674829</v>
      </c>
      <c r="BZ181" s="102">
        <f t="shared" si="284"/>
        <v>20.880000000000003</v>
      </c>
      <c r="CA181" s="103">
        <f t="shared" si="285"/>
        <v>87.262333894090744</v>
      </c>
      <c r="CB181" s="51">
        <f t="shared" si="286"/>
        <v>2.1159948366748291</v>
      </c>
      <c r="CC181" s="32">
        <f t="shared" si="287"/>
        <v>99.059819283619021</v>
      </c>
    </row>
    <row r="182" spans="17:81" ht="15" thickBot="1" x14ac:dyDescent="0.35">
      <c r="Q182" s="32">
        <v>175</v>
      </c>
      <c r="S182" s="101">
        <f t="shared" si="175"/>
        <v>60</v>
      </c>
      <c r="T182" s="97">
        <f t="shared" si="234"/>
        <v>0.35000000000000003</v>
      </c>
      <c r="U182" s="102">
        <f t="shared" si="176"/>
        <v>15</v>
      </c>
      <c r="V182" s="103">
        <f t="shared" si="235"/>
        <v>1.7500000000000002</v>
      </c>
      <c r="W182" s="101">
        <f t="shared" si="236"/>
        <v>2</v>
      </c>
      <c r="X182" s="102">
        <f t="shared" si="237"/>
        <v>0.75</v>
      </c>
      <c r="Y182" s="100">
        <f t="shared" si="238"/>
        <v>0.25</v>
      </c>
      <c r="Z182" s="101">
        <f t="shared" si="239"/>
        <v>0.45000000000000007</v>
      </c>
      <c r="AA182" s="102">
        <f t="shared" si="240"/>
        <v>1.9750000000000003</v>
      </c>
      <c r="AB182" s="102">
        <f t="shared" si="241"/>
        <v>1.754814805043541</v>
      </c>
      <c r="AC182" s="102">
        <v>0</v>
      </c>
      <c r="AD182" s="102">
        <f t="shared" si="242"/>
        <v>3.0793750000000012E-2</v>
      </c>
      <c r="AE182" s="103">
        <f t="shared" si="243"/>
        <v>3.0793750000000012E-2</v>
      </c>
      <c r="AF182" s="101">
        <f t="shared" si="244"/>
        <v>1.3125000000000002</v>
      </c>
      <c r="AG182" s="97">
        <f t="shared" si="245"/>
        <v>1.5197142001047435</v>
      </c>
      <c r="AH182" s="102">
        <f t="shared" si="246"/>
        <v>0.11968688929166671</v>
      </c>
      <c r="AI182" s="97">
        <f t="shared" si="247"/>
        <v>1.8375000000000001</v>
      </c>
      <c r="AJ182" s="103">
        <f t="shared" si="248"/>
        <v>1.9571868892916668</v>
      </c>
      <c r="AK182" s="101">
        <f t="shared" si="249"/>
        <v>0.43750000000000006</v>
      </c>
      <c r="AL182" s="102">
        <f t="shared" si="250"/>
        <v>0.87740740252177052</v>
      </c>
      <c r="AM182" s="102">
        <f t="shared" si="251"/>
        <v>0.14700000000000002</v>
      </c>
      <c r="AN182" s="102">
        <f t="shared" si="252"/>
        <v>0.75525000000000009</v>
      </c>
      <c r="AO182" s="103">
        <f t="shared" si="253"/>
        <v>0.90225000000000011</v>
      </c>
      <c r="AP182" s="99">
        <f t="shared" si="254"/>
        <v>0</v>
      </c>
      <c r="AQ182" s="102">
        <f t="shared" si="190"/>
        <v>8.7499999999999994E-2</v>
      </c>
      <c r="AR182" s="103">
        <f t="shared" si="255"/>
        <v>1.155E-2</v>
      </c>
      <c r="AS182" s="99">
        <f t="shared" si="256"/>
        <v>2.0562368892916671</v>
      </c>
      <c r="AT182" s="215">
        <f t="shared" si="257"/>
        <v>148.37421335750003</v>
      </c>
      <c r="AU182" s="216">
        <f t="shared" si="258"/>
        <v>8.3360340640589697E-2</v>
      </c>
      <c r="AV182" s="102">
        <f t="shared" si="259"/>
        <v>21.000000000000004</v>
      </c>
      <c r="AW182" s="103">
        <f t="shared" si="260"/>
        <v>91.081645720569966</v>
      </c>
      <c r="AX182" s="32"/>
      <c r="AY182" s="101">
        <f t="shared" si="195"/>
        <v>60</v>
      </c>
      <c r="AZ182" s="102">
        <f t="shared" si="261"/>
        <v>0.35000000000000003</v>
      </c>
      <c r="BA182" s="102">
        <f t="shared" si="197"/>
        <v>15</v>
      </c>
      <c r="BB182" s="103">
        <f t="shared" si="262"/>
        <v>1.7500000000000002</v>
      </c>
      <c r="BC182" s="101">
        <f t="shared" si="263"/>
        <v>2</v>
      </c>
      <c r="BD182" s="102">
        <f t="shared" si="264"/>
        <v>0.75</v>
      </c>
      <c r="BE182" s="100">
        <f t="shared" si="265"/>
        <v>0.25</v>
      </c>
      <c r="BF182" s="101">
        <f t="shared" si="266"/>
        <v>0.45000000000000007</v>
      </c>
      <c r="BG182" s="102">
        <f t="shared" si="267"/>
        <v>1.9750000000000003</v>
      </c>
      <c r="BH182" s="102">
        <f t="shared" si="268"/>
        <v>1.754814805043541</v>
      </c>
      <c r="BI182" s="102">
        <v>0</v>
      </c>
      <c r="BJ182" s="102">
        <f t="shared" si="269"/>
        <v>3.0793750000000012E-2</v>
      </c>
      <c r="BK182" s="103">
        <f t="shared" si="270"/>
        <v>3.0793750000000012E-2</v>
      </c>
      <c r="BL182" s="101">
        <f t="shared" si="271"/>
        <v>1.3125000000000002</v>
      </c>
      <c r="BM182" s="97">
        <f t="shared" si="272"/>
        <v>1.5197142001047435</v>
      </c>
      <c r="BN182" s="97">
        <f t="shared" si="273"/>
        <v>0.19252331172008694</v>
      </c>
      <c r="BO182" s="97">
        <f t="shared" si="274"/>
        <v>1.8375000000000001</v>
      </c>
      <c r="BP182" s="103">
        <f t="shared" si="275"/>
        <v>2.030023311720087</v>
      </c>
      <c r="BQ182" s="101">
        <f t="shared" si="276"/>
        <v>0.43750000000000006</v>
      </c>
      <c r="BR182" s="102">
        <f t="shared" si="277"/>
        <v>0.87740740252177052</v>
      </c>
      <c r="BS182" s="102">
        <f t="shared" si="278"/>
        <v>0.14700000000000002</v>
      </c>
      <c r="BT182" s="102">
        <f t="shared" si="279"/>
        <v>0.75525000000000009</v>
      </c>
      <c r="BU182" s="103">
        <f t="shared" si="280"/>
        <v>0.90225000000000011</v>
      </c>
      <c r="BV182" s="99">
        <f t="shared" si="281"/>
        <v>0</v>
      </c>
      <c r="BW182" s="102">
        <f t="shared" si="207"/>
        <v>8.7499999999999994E-2</v>
      </c>
      <c r="BX182" s="103">
        <f t="shared" si="282"/>
        <v>1.155E-2</v>
      </c>
      <c r="BY182" s="101">
        <f t="shared" si="283"/>
        <v>3.062117061720087</v>
      </c>
      <c r="BZ182" s="102">
        <f t="shared" si="284"/>
        <v>21.000000000000004</v>
      </c>
      <c r="CA182" s="103">
        <f t="shared" si="285"/>
        <v>87.27411618077636</v>
      </c>
      <c r="CB182" s="51">
        <f t="shared" si="286"/>
        <v>2.1290733117200871</v>
      </c>
      <c r="CC182" s="32">
        <f t="shared" si="287"/>
        <v>99.517565910203047</v>
      </c>
    </row>
    <row r="183" spans="17:81" ht="15" thickBot="1" x14ac:dyDescent="0.35">
      <c r="Q183" s="32">
        <v>176</v>
      </c>
      <c r="S183" s="101">
        <f t="shared" si="175"/>
        <v>60</v>
      </c>
      <c r="T183" s="97">
        <f t="shared" si="234"/>
        <v>0.35199999999999998</v>
      </c>
      <c r="U183" s="102">
        <f t="shared" si="176"/>
        <v>15</v>
      </c>
      <c r="V183" s="103">
        <f t="shared" si="235"/>
        <v>1.7599999999999998</v>
      </c>
      <c r="W183" s="101">
        <f t="shared" si="236"/>
        <v>2</v>
      </c>
      <c r="X183" s="102">
        <f t="shared" si="237"/>
        <v>0.75</v>
      </c>
      <c r="Y183" s="100">
        <f t="shared" si="238"/>
        <v>0.25</v>
      </c>
      <c r="Z183" s="101">
        <f t="shared" si="239"/>
        <v>0.45000000000000007</v>
      </c>
      <c r="AA183" s="102">
        <f t="shared" si="240"/>
        <v>1.9849999999999999</v>
      </c>
      <c r="AB183" s="102">
        <f t="shared" si="241"/>
        <v>1.7647875226213494</v>
      </c>
      <c r="AC183" s="102">
        <v>0</v>
      </c>
      <c r="AD183" s="102">
        <f t="shared" si="242"/>
        <v>3.1144749999999999E-2</v>
      </c>
      <c r="AE183" s="103">
        <f t="shared" si="243"/>
        <v>3.1144749999999999E-2</v>
      </c>
      <c r="AF183" s="101">
        <f t="shared" si="244"/>
        <v>1.3199999999999998</v>
      </c>
      <c r="AG183" s="97">
        <f t="shared" si="245"/>
        <v>1.5283508268718933</v>
      </c>
      <c r="AH183" s="102">
        <f t="shared" si="246"/>
        <v>0.1210511303516667</v>
      </c>
      <c r="AI183" s="97">
        <f t="shared" si="247"/>
        <v>1.8479999999999999</v>
      </c>
      <c r="AJ183" s="103">
        <f t="shared" si="248"/>
        <v>1.9690511303516667</v>
      </c>
      <c r="AK183" s="101">
        <f t="shared" si="249"/>
        <v>0.43999999999999995</v>
      </c>
      <c r="AL183" s="102">
        <f t="shared" si="250"/>
        <v>0.88239376131067471</v>
      </c>
      <c r="AM183" s="102">
        <f t="shared" si="251"/>
        <v>0.14784</v>
      </c>
      <c r="AN183" s="102">
        <f t="shared" si="252"/>
        <v>0.75525000000000009</v>
      </c>
      <c r="AO183" s="103">
        <f t="shared" si="253"/>
        <v>0.90309000000000006</v>
      </c>
      <c r="AP183" s="99">
        <f t="shared" si="254"/>
        <v>0</v>
      </c>
      <c r="AQ183" s="102">
        <f t="shared" si="190"/>
        <v>8.7499999999999994E-2</v>
      </c>
      <c r="AR183" s="103">
        <f t="shared" si="255"/>
        <v>1.155E-2</v>
      </c>
      <c r="AS183" s="99">
        <f t="shared" si="256"/>
        <v>2.0681011303516668</v>
      </c>
      <c r="AT183" s="215">
        <f t="shared" si="257"/>
        <v>149.08606782110002</v>
      </c>
      <c r="AU183" s="216">
        <f t="shared" si="258"/>
        <v>8.353411032636994E-2</v>
      </c>
      <c r="AV183" s="102">
        <f t="shared" si="259"/>
        <v>21.119999999999997</v>
      </c>
      <c r="AW183" s="103">
        <f t="shared" si="260"/>
        <v>91.081196693399519</v>
      </c>
      <c r="AX183" s="32"/>
      <c r="AY183" s="101">
        <f t="shared" si="195"/>
        <v>60</v>
      </c>
      <c r="AZ183" s="102">
        <f t="shared" si="261"/>
        <v>0.35199999999999998</v>
      </c>
      <c r="BA183" s="102">
        <f t="shared" si="197"/>
        <v>15</v>
      </c>
      <c r="BB183" s="103">
        <f t="shared" si="262"/>
        <v>1.7599999999999998</v>
      </c>
      <c r="BC183" s="101">
        <f t="shared" si="263"/>
        <v>2</v>
      </c>
      <c r="BD183" s="102">
        <f t="shared" si="264"/>
        <v>0.75</v>
      </c>
      <c r="BE183" s="100">
        <f t="shared" si="265"/>
        <v>0.25</v>
      </c>
      <c r="BF183" s="101">
        <f t="shared" si="266"/>
        <v>0.45000000000000007</v>
      </c>
      <c r="BG183" s="102">
        <f t="shared" si="267"/>
        <v>1.9849999999999999</v>
      </c>
      <c r="BH183" s="102">
        <f t="shared" si="268"/>
        <v>1.7647875226213494</v>
      </c>
      <c r="BI183" s="102">
        <v>0</v>
      </c>
      <c r="BJ183" s="102">
        <f t="shared" si="269"/>
        <v>3.1144749999999999E-2</v>
      </c>
      <c r="BK183" s="103">
        <f t="shared" si="270"/>
        <v>3.1144749999999999E-2</v>
      </c>
      <c r="BL183" s="101">
        <f t="shared" si="271"/>
        <v>1.3199999999999998</v>
      </c>
      <c r="BM183" s="97">
        <f t="shared" si="272"/>
        <v>1.5283508268718933</v>
      </c>
      <c r="BN183" s="97">
        <f t="shared" si="273"/>
        <v>0.19512367369404077</v>
      </c>
      <c r="BO183" s="97">
        <f t="shared" si="274"/>
        <v>1.8479999999999999</v>
      </c>
      <c r="BP183" s="103">
        <f t="shared" si="275"/>
        <v>2.0431236736940406</v>
      </c>
      <c r="BQ183" s="101">
        <f t="shared" si="276"/>
        <v>0.43999999999999995</v>
      </c>
      <c r="BR183" s="102">
        <f t="shared" si="277"/>
        <v>0.88239376131067471</v>
      </c>
      <c r="BS183" s="102">
        <f t="shared" si="278"/>
        <v>0.14784</v>
      </c>
      <c r="BT183" s="102">
        <f t="shared" si="279"/>
        <v>0.75525000000000009</v>
      </c>
      <c r="BU183" s="103">
        <f t="shared" si="280"/>
        <v>0.90309000000000006</v>
      </c>
      <c r="BV183" s="99">
        <f t="shared" si="281"/>
        <v>0</v>
      </c>
      <c r="BW183" s="102">
        <f t="shared" si="207"/>
        <v>8.7499999999999994E-2</v>
      </c>
      <c r="BX183" s="103">
        <f t="shared" si="282"/>
        <v>1.155E-2</v>
      </c>
      <c r="BY183" s="101">
        <f t="shared" si="283"/>
        <v>3.076408423694041</v>
      </c>
      <c r="BZ183" s="102">
        <f t="shared" si="284"/>
        <v>21.119999999999997</v>
      </c>
      <c r="CA183" s="103">
        <f t="shared" si="285"/>
        <v>87.285681536597366</v>
      </c>
      <c r="CB183" s="51">
        <f t="shared" si="286"/>
        <v>2.1421736736940407</v>
      </c>
      <c r="CC183" s="32">
        <f t="shared" si="287"/>
        <v>99.976078579291425</v>
      </c>
    </row>
    <row r="184" spans="17:81" ht="15" thickBot="1" x14ac:dyDescent="0.35">
      <c r="Q184" s="32">
        <v>177</v>
      </c>
      <c r="S184" s="101">
        <f t="shared" si="175"/>
        <v>60</v>
      </c>
      <c r="T184" s="97">
        <f t="shared" si="234"/>
        <v>0.35399999999999998</v>
      </c>
      <c r="U184" s="102">
        <f t="shared" si="176"/>
        <v>15</v>
      </c>
      <c r="V184" s="103">
        <f t="shared" si="235"/>
        <v>1.7699999999999998</v>
      </c>
      <c r="W184" s="101">
        <f t="shared" si="236"/>
        <v>2</v>
      </c>
      <c r="X184" s="102">
        <f t="shared" si="237"/>
        <v>0.75</v>
      </c>
      <c r="Y184" s="100">
        <f t="shared" si="238"/>
        <v>0.25</v>
      </c>
      <c r="Z184" s="101">
        <f t="shared" si="239"/>
        <v>0.45000000000000007</v>
      </c>
      <c r="AA184" s="102">
        <f t="shared" si="240"/>
        <v>1.9949999999999999</v>
      </c>
      <c r="AB184" s="102">
        <f t="shared" si="241"/>
        <v>1.7747605472288366</v>
      </c>
      <c r="AC184" s="102">
        <v>0</v>
      </c>
      <c r="AD184" s="102">
        <f t="shared" si="242"/>
        <v>3.1497749999999998E-2</v>
      </c>
      <c r="AE184" s="103">
        <f t="shared" si="243"/>
        <v>3.1497749999999998E-2</v>
      </c>
      <c r="AF184" s="101">
        <f t="shared" si="244"/>
        <v>1.3274999999999999</v>
      </c>
      <c r="AG184" s="97">
        <f t="shared" si="245"/>
        <v>1.5369877195345445</v>
      </c>
      <c r="AH184" s="102">
        <f t="shared" si="246"/>
        <v>0.12242314486500001</v>
      </c>
      <c r="AI184" s="97">
        <f t="shared" si="247"/>
        <v>1.8584999999999998</v>
      </c>
      <c r="AJ184" s="103">
        <f t="shared" si="248"/>
        <v>1.9809231448649998</v>
      </c>
      <c r="AK184" s="101">
        <f t="shared" si="249"/>
        <v>0.44249999999999995</v>
      </c>
      <c r="AL184" s="102">
        <f t="shared" si="250"/>
        <v>0.88738027361441829</v>
      </c>
      <c r="AM184" s="102">
        <f t="shared" si="251"/>
        <v>0.14867999999999998</v>
      </c>
      <c r="AN184" s="102">
        <f t="shared" si="252"/>
        <v>0.75525000000000009</v>
      </c>
      <c r="AO184" s="103">
        <f t="shared" si="253"/>
        <v>0.90393000000000012</v>
      </c>
      <c r="AP184" s="99">
        <f t="shared" si="254"/>
        <v>0</v>
      </c>
      <c r="AQ184" s="102">
        <f t="shared" si="190"/>
        <v>8.7499999999999994E-2</v>
      </c>
      <c r="AR184" s="103">
        <f t="shared" si="255"/>
        <v>1.155E-2</v>
      </c>
      <c r="AS184" s="99">
        <f t="shared" si="256"/>
        <v>2.0799731448649998</v>
      </c>
      <c r="AT184" s="215">
        <f t="shared" si="257"/>
        <v>149.79838869189999</v>
      </c>
      <c r="AU184" s="216">
        <f t="shared" si="258"/>
        <v>8.3707993866086211E-2</v>
      </c>
      <c r="AV184" s="102">
        <f t="shared" si="259"/>
        <v>21.24</v>
      </c>
      <c r="AW184" s="103">
        <f t="shared" si="260"/>
        <v>91.080722383580422</v>
      </c>
      <c r="AX184" s="32"/>
      <c r="AY184" s="101">
        <f t="shared" si="195"/>
        <v>60</v>
      </c>
      <c r="AZ184" s="102">
        <f t="shared" si="261"/>
        <v>0.35399999999999998</v>
      </c>
      <c r="BA184" s="102">
        <f t="shared" si="197"/>
        <v>15</v>
      </c>
      <c r="BB184" s="103">
        <f t="shared" si="262"/>
        <v>1.7699999999999998</v>
      </c>
      <c r="BC184" s="101">
        <f t="shared" si="263"/>
        <v>2</v>
      </c>
      <c r="BD184" s="102">
        <f t="shared" si="264"/>
        <v>0.75</v>
      </c>
      <c r="BE184" s="100">
        <f t="shared" si="265"/>
        <v>0.25</v>
      </c>
      <c r="BF184" s="101">
        <f t="shared" si="266"/>
        <v>0.45000000000000007</v>
      </c>
      <c r="BG184" s="102">
        <f t="shared" si="267"/>
        <v>1.9949999999999999</v>
      </c>
      <c r="BH184" s="102">
        <f t="shared" si="268"/>
        <v>1.7747605472288366</v>
      </c>
      <c r="BI184" s="102">
        <v>0</v>
      </c>
      <c r="BJ184" s="102">
        <f t="shared" si="269"/>
        <v>3.1497749999999998E-2</v>
      </c>
      <c r="BK184" s="103">
        <f t="shared" si="270"/>
        <v>3.1497749999999998E-2</v>
      </c>
      <c r="BL184" s="101">
        <f t="shared" si="271"/>
        <v>1.3274999999999999</v>
      </c>
      <c r="BM184" s="97">
        <f t="shared" si="272"/>
        <v>1.5369877195345445</v>
      </c>
      <c r="BN184" s="97">
        <f t="shared" si="273"/>
        <v>0.19774600978466372</v>
      </c>
      <c r="BO184" s="97">
        <f t="shared" si="274"/>
        <v>1.8584999999999998</v>
      </c>
      <c r="BP184" s="103">
        <f t="shared" si="275"/>
        <v>2.0562460097846635</v>
      </c>
      <c r="BQ184" s="101">
        <f t="shared" si="276"/>
        <v>0.44249999999999995</v>
      </c>
      <c r="BR184" s="102">
        <f t="shared" si="277"/>
        <v>0.88738027361441829</v>
      </c>
      <c r="BS184" s="102">
        <f t="shared" si="278"/>
        <v>0.14867999999999998</v>
      </c>
      <c r="BT184" s="102">
        <f t="shared" si="279"/>
        <v>0.75525000000000009</v>
      </c>
      <c r="BU184" s="103">
        <f t="shared" si="280"/>
        <v>0.90393000000000012</v>
      </c>
      <c r="BV184" s="99">
        <f t="shared" si="281"/>
        <v>0</v>
      </c>
      <c r="BW184" s="102">
        <f t="shared" si="207"/>
        <v>8.7499999999999994E-2</v>
      </c>
      <c r="BX184" s="103">
        <f t="shared" si="282"/>
        <v>1.155E-2</v>
      </c>
      <c r="BY184" s="101">
        <f t="shared" si="283"/>
        <v>3.0907237597846637</v>
      </c>
      <c r="BZ184" s="102">
        <f t="shared" si="284"/>
        <v>21.24</v>
      </c>
      <c r="CA184" s="103">
        <f t="shared" si="285"/>
        <v>87.297033206660274</v>
      </c>
      <c r="CB184" s="51">
        <f t="shared" si="286"/>
        <v>2.1552960097846636</v>
      </c>
      <c r="CC184" s="32">
        <f t="shared" si="287"/>
        <v>100.43536034246323</v>
      </c>
    </row>
    <row r="185" spans="17:81" ht="15" thickBot="1" x14ac:dyDescent="0.35">
      <c r="Q185" s="32">
        <v>178</v>
      </c>
      <c r="S185" s="101">
        <f t="shared" si="175"/>
        <v>60</v>
      </c>
      <c r="T185" s="97">
        <f t="shared" si="234"/>
        <v>0.35599999999999998</v>
      </c>
      <c r="U185" s="102">
        <f t="shared" si="176"/>
        <v>15</v>
      </c>
      <c r="V185" s="103">
        <f t="shared" si="235"/>
        <v>1.78</v>
      </c>
      <c r="W185" s="101">
        <f t="shared" si="236"/>
        <v>2</v>
      </c>
      <c r="X185" s="102">
        <f t="shared" si="237"/>
        <v>0.75</v>
      </c>
      <c r="Y185" s="100">
        <f t="shared" si="238"/>
        <v>0.25</v>
      </c>
      <c r="Z185" s="101">
        <f t="shared" si="239"/>
        <v>0.45000000000000007</v>
      </c>
      <c r="AA185" s="102">
        <f t="shared" si="240"/>
        <v>2.0049999999999999</v>
      </c>
      <c r="AB185" s="102">
        <f t="shared" si="241"/>
        <v>1.7847338737189924</v>
      </c>
      <c r="AC185" s="102">
        <v>0</v>
      </c>
      <c r="AD185" s="102">
        <f t="shared" si="242"/>
        <v>3.1852750000000006E-2</v>
      </c>
      <c r="AE185" s="103">
        <f t="shared" si="243"/>
        <v>3.1852750000000006E-2</v>
      </c>
      <c r="AF185" s="101">
        <f t="shared" si="244"/>
        <v>1.335</v>
      </c>
      <c r="AG185" s="97">
        <f t="shared" si="245"/>
        <v>1.5456248736352556</v>
      </c>
      <c r="AH185" s="102">
        <f t="shared" si="246"/>
        <v>0.12380293283166668</v>
      </c>
      <c r="AI185" s="97">
        <f t="shared" si="247"/>
        <v>1.869</v>
      </c>
      <c r="AJ185" s="103">
        <f t="shared" si="248"/>
        <v>1.9928029328316668</v>
      </c>
      <c r="AK185" s="101">
        <f t="shared" si="249"/>
        <v>0.44500000000000001</v>
      </c>
      <c r="AL185" s="102">
        <f t="shared" si="250"/>
        <v>0.89236693685949608</v>
      </c>
      <c r="AM185" s="102">
        <f t="shared" si="251"/>
        <v>0.14951999999999999</v>
      </c>
      <c r="AN185" s="102">
        <f t="shared" si="252"/>
        <v>0.75525000000000009</v>
      </c>
      <c r="AO185" s="103">
        <f t="shared" si="253"/>
        <v>0.90477000000000007</v>
      </c>
      <c r="AP185" s="99">
        <f t="shared" si="254"/>
        <v>0</v>
      </c>
      <c r="AQ185" s="102">
        <f t="shared" si="190"/>
        <v>8.7499999999999994E-2</v>
      </c>
      <c r="AR185" s="103">
        <f t="shared" si="255"/>
        <v>1.155E-2</v>
      </c>
      <c r="AS185" s="99">
        <f t="shared" si="256"/>
        <v>2.0918529328316668</v>
      </c>
      <c r="AT185" s="215">
        <f t="shared" si="257"/>
        <v>150.51117596990002</v>
      </c>
      <c r="AU185" s="216">
        <f t="shared" si="258"/>
        <v>8.3881991259738595E-2</v>
      </c>
      <c r="AV185" s="102">
        <f t="shared" si="259"/>
        <v>21.36</v>
      </c>
      <c r="AW185" s="103">
        <f t="shared" si="260"/>
        <v>91.080223218084583</v>
      </c>
      <c r="AX185" s="32"/>
      <c r="AY185" s="101">
        <f t="shared" si="195"/>
        <v>60</v>
      </c>
      <c r="AZ185" s="102">
        <f t="shared" si="261"/>
        <v>0.35599999999999998</v>
      </c>
      <c r="BA185" s="102">
        <f t="shared" si="197"/>
        <v>15</v>
      </c>
      <c r="BB185" s="103">
        <f t="shared" si="262"/>
        <v>1.78</v>
      </c>
      <c r="BC185" s="101">
        <f t="shared" si="263"/>
        <v>2</v>
      </c>
      <c r="BD185" s="102">
        <f t="shared" si="264"/>
        <v>0.75</v>
      </c>
      <c r="BE185" s="100">
        <f t="shared" si="265"/>
        <v>0.25</v>
      </c>
      <c r="BF185" s="101">
        <f t="shared" si="266"/>
        <v>0.45000000000000007</v>
      </c>
      <c r="BG185" s="102">
        <f t="shared" si="267"/>
        <v>2.0049999999999999</v>
      </c>
      <c r="BH185" s="102">
        <f t="shared" si="268"/>
        <v>1.7847338737189924</v>
      </c>
      <c r="BI185" s="102">
        <v>0</v>
      </c>
      <c r="BJ185" s="102">
        <f t="shared" si="269"/>
        <v>3.1852750000000006E-2</v>
      </c>
      <c r="BK185" s="103">
        <f t="shared" si="270"/>
        <v>3.1852750000000006E-2</v>
      </c>
      <c r="BL185" s="101">
        <f t="shared" si="271"/>
        <v>1.335</v>
      </c>
      <c r="BM185" s="97">
        <f t="shared" si="272"/>
        <v>1.5456248736352556</v>
      </c>
      <c r="BN185" s="97">
        <f t="shared" si="273"/>
        <v>0.20039040728239785</v>
      </c>
      <c r="BO185" s="97">
        <f t="shared" si="274"/>
        <v>1.869</v>
      </c>
      <c r="BP185" s="103">
        <f t="shared" si="275"/>
        <v>2.0693904072823979</v>
      </c>
      <c r="BQ185" s="101">
        <f t="shared" si="276"/>
        <v>0.44500000000000001</v>
      </c>
      <c r="BR185" s="102">
        <f t="shared" si="277"/>
        <v>0.89236693685949608</v>
      </c>
      <c r="BS185" s="102">
        <f t="shared" si="278"/>
        <v>0.14951999999999999</v>
      </c>
      <c r="BT185" s="102">
        <f t="shared" si="279"/>
        <v>0.75525000000000009</v>
      </c>
      <c r="BU185" s="103">
        <f t="shared" si="280"/>
        <v>0.90477000000000007</v>
      </c>
      <c r="BV185" s="99">
        <f t="shared" si="281"/>
        <v>0</v>
      </c>
      <c r="BW185" s="102">
        <f t="shared" si="207"/>
        <v>8.7499999999999994E-2</v>
      </c>
      <c r="BX185" s="103">
        <f t="shared" si="282"/>
        <v>1.155E-2</v>
      </c>
      <c r="BY185" s="101">
        <f t="shared" si="283"/>
        <v>3.1050631572823981</v>
      </c>
      <c r="BZ185" s="102">
        <f t="shared" si="284"/>
        <v>21.36</v>
      </c>
      <c r="CA185" s="103">
        <f t="shared" si="285"/>
        <v>87.308174365541618</v>
      </c>
      <c r="CB185" s="51">
        <f t="shared" si="286"/>
        <v>2.168440407282398</v>
      </c>
      <c r="CC185" s="32">
        <f t="shared" si="287"/>
        <v>100.89541425488393</v>
      </c>
    </row>
    <row r="186" spans="17:81" ht="15" thickBot="1" x14ac:dyDescent="0.35">
      <c r="Q186" s="32">
        <v>179</v>
      </c>
      <c r="S186" s="101">
        <f t="shared" si="175"/>
        <v>60</v>
      </c>
      <c r="T186" s="97">
        <f t="shared" si="234"/>
        <v>0.35799999999999998</v>
      </c>
      <c r="U186" s="102">
        <f t="shared" si="176"/>
        <v>15</v>
      </c>
      <c r="V186" s="103">
        <f t="shared" si="235"/>
        <v>1.79</v>
      </c>
      <c r="W186" s="101">
        <f t="shared" si="236"/>
        <v>2</v>
      </c>
      <c r="X186" s="102">
        <f t="shared" si="237"/>
        <v>0.75</v>
      </c>
      <c r="Y186" s="100">
        <f t="shared" si="238"/>
        <v>0.25</v>
      </c>
      <c r="Z186" s="101">
        <f t="shared" si="239"/>
        <v>0.45000000000000007</v>
      </c>
      <c r="AA186" s="102">
        <f t="shared" si="240"/>
        <v>2.0150000000000001</v>
      </c>
      <c r="AB186" s="102">
        <f t="shared" si="241"/>
        <v>1.7947074970590613</v>
      </c>
      <c r="AC186" s="102">
        <v>0</v>
      </c>
      <c r="AD186" s="102">
        <f t="shared" si="242"/>
        <v>3.2209750000000009E-2</v>
      </c>
      <c r="AE186" s="103">
        <f t="shared" si="243"/>
        <v>3.2209750000000009E-2</v>
      </c>
      <c r="AF186" s="101">
        <f t="shared" si="244"/>
        <v>1.3425</v>
      </c>
      <c r="AG186" s="97">
        <f t="shared" si="245"/>
        <v>1.5542622848155327</v>
      </c>
      <c r="AH186" s="102">
        <f t="shared" si="246"/>
        <v>0.12519049425166673</v>
      </c>
      <c r="AI186" s="97">
        <f t="shared" si="247"/>
        <v>1.8794999999999999</v>
      </c>
      <c r="AJ186" s="103">
        <f t="shared" si="248"/>
        <v>2.0046904942516668</v>
      </c>
      <c r="AK186" s="101">
        <f t="shared" si="249"/>
        <v>0.44750000000000001</v>
      </c>
      <c r="AL186" s="102">
        <f t="shared" si="250"/>
        <v>0.89735374852953065</v>
      </c>
      <c r="AM186" s="102">
        <f t="shared" si="251"/>
        <v>0.15035999999999999</v>
      </c>
      <c r="AN186" s="102">
        <f t="shared" si="252"/>
        <v>0.75525000000000009</v>
      </c>
      <c r="AO186" s="103">
        <f t="shared" si="253"/>
        <v>0.90561000000000003</v>
      </c>
      <c r="AP186" s="99">
        <f t="shared" si="254"/>
        <v>0</v>
      </c>
      <c r="AQ186" s="102">
        <f t="shared" si="190"/>
        <v>8.7499999999999994E-2</v>
      </c>
      <c r="AR186" s="103">
        <f t="shared" si="255"/>
        <v>1.155E-2</v>
      </c>
      <c r="AS186" s="99">
        <f t="shared" si="256"/>
        <v>2.1037404942516669</v>
      </c>
      <c r="AT186" s="215">
        <f t="shared" si="257"/>
        <v>151.22442965510001</v>
      </c>
      <c r="AU186" s="216">
        <f t="shared" si="258"/>
        <v>8.4056102507327035E-2</v>
      </c>
      <c r="AV186" s="102">
        <f t="shared" si="259"/>
        <v>21.48</v>
      </c>
      <c r="AW186" s="103">
        <f t="shared" si="260"/>
        <v>91.079699614382903</v>
      </c>
      <c r="AX186" s="32"/>
      <c r="AY186" s="101">
        <f t="shared" si="195"/>
        <v>60</v>
      </c>
      <c r="AZ186" s="102">
        <f t="shared" si="261"/>
        <v>0.35799999999999998</v>
      </c>
      <c r="BA186" s="102">
        <f t="shared" si="197"/>
        <v>15</v>
      </c>
      <c r="BB186" s="103">
        <f t="shared" si="262"/>
        <v>1.79</v>
      </c>
      <c r="BC186" s="101">
        <f t="shared" si="263"/>
        <v>2</v>
      </c>
      <c r="BD186" s="102">
        <f t="shared" si="264"/>
        <v>0.75</v>
      </c>
      <c r="BE186" s="100">
        <f t="shared" si="265"/>
        <v>0.25</v>
      </c>
      <c r="BF186" s="101">
        <f t="shared" si="266"/>
        <v>0.45000000000000007</v>
      </c>
      <c r="BG186" s="102">
        <f t="shared" si="267"/>
        <v>2.0150000000000001</v>
      </c>
      <c r="BH186" s="102">
        <f t="shared" si="268"/>
        <v>1.7947074970590613</v>
      </c>
      <c r="BI186" s="102">
        <v>0</v>
      </c>
      <c r="BJ186" s="102">
        <f t="shared" si="269"/>
        <v>3.2209750000000009E-2</v>
      </c>
      <c r="BK186" s="103">
        <f t="shared" si="270"/>
        <v>3.2209750000000009E-2</v>
      </c>
      <c r="BL186" s="101">
        <f t="shared" si="271"/>
        <v>1.3425</v>
      </c>
      <c r="BM186" s="97">
        <f t="shared" si="272"/>
        <v>1.5542622848155327</v>
      </c>
      <c r="BN186" s="97">
        <f t="shared" si="273"/>
        <v>0.2030569535801533</v>
      </c>
      <c r="BO186" s="97">
        <f t="shared" si="274"/>
        <v>1.8794999999999999</v>
      </c>
      <c r="BP186" s="103">
        <f t="shared" si="275"/>
        <v>2.0825569535801534</v>
      </c>
      <c r="BQ186" s="101">
        <f t="shared" si="276"/>
        <v>0.44750000000000001</v>
      </c>
      <c r="BR186" s="102">
        <f t="shared" si="277"/>
        <v>0.89735374852953065</v>
      </c>
      <c r="BS186" s="102">
        <f t="shared" si="278"/>
        <v>0.15035999999999999</v>
      </c>
      <c r="BT186" s="102">
        <f t="shared" si="279"/>
        <v>0.75525000000000009</v>
      </c>
      <c r="BU186" s="103">
        <f t="shared" si="280"/>
        <v>0.90561000000000003</v>
      </c>
      <c r="BV186" s="99">
        <f t="shared" si="281"/>
        <v>0</v>
      </c>
      <c r="BW186" s="102">
        <f t="shared" si="207"/>
        <v>8.7499999999999994E-2</v>
      </c>
      <c r="BX186" s="103">
        <f t="shared" si="282"/>
        <v>1.155E-2</v>
      </c>
      <c r="BY186" s="101">
        <f t="shared" si="283"/>
        <v>3.1194267035801531</v>
      </c>
      <c r="BZ186" s="102">
        <f t="shared" si="284"/>
        <v>21.48</v>
      </c>
      <c r="CA186" s="103">
        <f t="shared" si="285"/>
        <v>87.319108119189792</v>
      </c>
      <c r="CB186" s="51">
        <f t="shared" si="286"/>
        <v>2.1816069535801534</v>
      </c>
      <c r="CC186" s="32">
        <f t="shared" si="287"/>
        <v>101.35624337530537</v>
      </c>
    </row>
    <row r="187" spans="17:81" ht="15" thickBot="1" x14ac:dyDescent="0.35">
      <c r="Q187" s="32">
        <v>180</v>
      </c>
      <c r="S187" s="101">
        <f t="shared" si="175"/>
        <v>60</v>
      </c>
      <c r="T187" s="97">
        <f t="shared" si="234"/>
        <v>0.36</v>
      </c>
      <c r="U187" s="102">
        <f t="shared" si="176"/>
        <v>15</v>
      </c>
      <c r="V187" s="103">
        <f t="shared" si="235"/>
        <v>1.7999999999999998</v>
      </c>
      <c r="W187" s="101">
        <f t="shared" si="236"/>
        <v>2</v>
      </c>
      <c r="X187" s="102">
        <f t="shared" si="237"/>
        <v>0.75</v>
      </c>
      <c r="Y187" s="100">
        <f t="shared" si="238"/>
        <v>0.25</v>
      </c>
      <c r="Z187" s="101">
        <f t="shared" si="239"/>
        <v>0.45000000000000007</v>
      </c>
      <c r="AA187" s="102">
        <f t="shared" si="240"/>
        <v>2.0249999999999999</v>
      </c>
      <c r="AB187" s="102">
        <f t="shared" si="241"/>
        <v>1.8046814123273947</v>
      </c>
      <c r="AC187" s="102">
        <v>0</v>
      </c>
      <c r="AD187" s="102">
        <f t="shared" si="242"/>
        <v>3.256875E-2</v>
      </c>
      <c r="AE187" s="103">
        <f t="shared" si="243"/>
        <v>3.256875E-2</v>
      </c>
      <c r="AF187" s="101">
        <f t="shared" si="244"/>
        <v>1.3499999999999999</v>
      </c>
      <c r="AG187" s="97">
        <f t="shared" si="245"/>
        <v>1.562899948813103</v>
      </c>
      <c r="AH187" s="102">
        <f t="shared" si="246"/>
        <v>0.12658582912500005</v>
      </c>
      <c r="AI187" s="97">
        <f t="shared" si="247"/>
        <v>1.8899999999999995</v>
      </c>
      <c r="AJ187" s="103">
        <f t="shared" si="248"/>
        <v>2.0165858291249994</v>
      </c>
      <c r="AK187" s="101">
        <f t="shared" si="249"/>
        <v>0.44999999999999996</v>
      </c>
      <c r="AL187" s="102">
        <f t="shared" si="250"/>
        <v>0.90234070616369733</v>
      </c>
      <c r="AM187" s="102">
        <f t="shared" si="251"/>
        <v>0.1512</v>
      </c>
      <c r="AN187" s="102">
        <f t="shared" si="252"/>
        <v>0.75525000000000009</v>
      </c>
      <c r="AO187" s="103">
        <f t="shared" si="253"/>
        <v>0.90645000000000009</v>
      </c>
      <c r="AP187" s="99">
        <f t="shared" si="254"/>
        <v>0</v>
      </c>
      <c r="AQ187" s="102">
        <f t="shared" si="190"/>
        <v>8.7499999999999994E-2</v>
      </c>
      <c r="AR187" s="103">
        <f t="shared" si="255"/>
        <v>1.155E-2</v>
      </c>
      <c r="AS187" s="99">
        <f t="shared" si="256"/>
        <v>2.1156358291249995</v>
      </c>
      <c r="AT187" s="215">
        <f t="shared" si="257"/>
        <v>151.93814974749995</v>
      </c>
      <c r="AU187" s="216">
        <f t="shared" si="258"/>
        <v>8.4230327608851532E-2</v>
      </c>
      <c r="AV187" s="102">
        <f t="shared" si="259"/>
        <v>21.599999999999998</v>
      </c>
      <c r="AW187" s="103">
        <f t="shared" si="260"/>
        <v>91.079151980708005</v>
      </c>
      <c r="AX187" s="32"/>
      <c r="AY187" s="101">
        <f t="shared" si="195"/>
        <v>60</v>
      </c>
      <c r="AZ187" s="102">
        <f t="shared" si="261"/>
        <v>0.36</v>
      </c>
      <c r="BA187" s="102">
        <f t="shared" si="197"/>
        <v>15</v>
      </c>
      <c r="BB187" s="103">
        <f t="shared" si="262"/>
        <v>1.7999999999999998</v>
      </c>
      <c r="BC187" s="101">
        <f t="shared" si="263"/>
        <v>2</v>
      </c>
      <c r="BD187" s="102">
        <f t="shared" si="264"/>
        <v>0.75</v>
      </c>
      <c r="BE187" s="100">
        <f t="shared" si="265"/>
        <v>0.25</v>
      </c>
      <c r="BF187" s="101">
        <f t="shared" si="266"/>
        <v>0.45000000000000007</v>
      </c>
      <c r="BG187" s="102">
        <f t="shared" si="267"/>
        <v>2.0249999999999999</v>
      </c>
      <c r="BH187" s="102">
        <f t="shared" si="268"/>
        <v>1.8046814123273947</v>
      </c>
      <c r="BI187" s="102">
        <v>0</v>
      </c>
      <c r="BJ187" s="102">
        <f t="shared" si="269"/>
        <v>3.256875E-2</v>
      </c>
      <c r="BK187" s="103">
        <f t="shared" si="270"/>
        <v>3.256875E-2</v>
      </c>
      <c r="BL187" s="101">
        <f t="shared" si="271"/>
        <v>1.3499999999999999</v>
      </c>
      <c r="BM187" s="97">
        <f t="shared" si="272"/>
        <v>1.562899948813103</v>
      </c>
      <c r="BN187" s="97">
        <f t="shared" si="273"/>
        <v>0.20574573617330877</v>
      </c>
      <c r="BO187" s="97">
        <f t="shared" si="274"/>
        <v>1.8899999999999995</v>
      </c>
      <c r="BP187" s="103">
        <f t="shared" si="275"/>
        <v>2.0957457361733081</v>
      </c>
      <c r="BQ187" s="101">
        <f t="shared" si="276"/>
        <v>0.44999999999999996</v>
      </c>
      <c r="BR187" s="102">
        <f t="shared" si="277"/>
        <v>0.90234070616369733</v>
      </c>
      <c r="BS187" s="102">
        <f t="shared" si="278"/>
        <v>0.1512</v>
      </c>
      <c r="BT187" s="102">
        <f t="shared" si="279"/>
        <v>0.75525000000000009</v>
      </c>
      <c r="BU187" s="103">
        <f t="shared" si="280"/>
        <v>0.90645000000000009</v>
      </c>
      <c r="BV187" s="99">
        <f t="shared" si="281"/>
        <v>0</v>
      </c>
      <c r="BW187" s="102">
        <f t="shared" si="207"/>
        <v>8.7499999999999994E-2</v>
      </c>
      <c r="BX187" s="103">
        <f t="shared" si="282"/>
        <v>1.155E-2</v>
      </c>
      <c r="BY187" s="101">
        <f t="shared" si="283"/>
        <v>3.1338144861733079</v>
      </c>
      <c r="BZ187" s="102">
        <f t="shared" si="284"/>
        <v>21.599999999999998</v>
      </c>
      <c r="CA187" s="103">
        <f t="shared" si="285"/>
        <v>87.3298375067656</v>
      </c>
      <c r="CB187" s="51">
        <f t="shared" si="286"/>
        <v>2.1947957361733081</v>
      </c>
      <c r="CC187" s="32">
        <f t="shared" si="287"/>
        <v>101.81785076606579</v>
      </c>
    </row>
    <row r="188" spans="17:81" ht="15" thickBot="1" x14ac:dyDescent="0.35">
      <c r="Q188" s="32">
        <v>181</v>
      </c>
      <c r="S188" s="101">
        <f t="shared" si="175"/>
        <v>60</v>
      </c>
      <c r="T188" s="97">
        <f t="shared" si="234"/>
        <v>0.36199999999999999</v>
      </c>
      <c r="U188" s="102">
        <f t="shared" si="176"/>
        <v>15</v>
      </c>
      <c r="V188" s="103">
        <f t="shared" si="235"/>
        <v>1.8099999999999998</v>
      </c>
      <c r="W188" s="101">
        <f t="shared" si="236"/>
        <v>2</v>
      </c>
      <c r="X188" s="102">
        <f t="shared" si="237"/>
        <v>0.75</v>
      </c>
      <c r="Y188" s="100">
        <f t="shared" si="238"/>
        <v>0.25</v>
      </c>
      <c r="Z188" s="101">
        <f t="shared" si="239"/>
        <v>0.45000000000000007</v>
      </c>
      <c r="AA188" s="102">
        <f t="shared" si="240"/>
        <v>2.0349999999999997</v>
      </c>
      <c r="AB188" s="102">
        <f t="shared" si="241"/>
        <v>1.8146556147104056</v>
      </c>
      <c r="AC188" s="102">
        <v>0</v>
      </c>
      <c r="AD188" s="102">
        <f t="shared" si="242"/>
        <v>3.2929750000000001E-2</v>
      </c>
      <c r="AE188" s="103">
        <f t="shared" si="243"/>
        <v>3.2929750000000001E-2</v>
      </c>
      <c r="AF188" s="101">
        <f t="shared" si="244"/>
        <v>1.3574999999999999</v>
      </c>
      <c r="AG188" s="97">
        <f t="shared" si="245"/>
        <v>1.5715378614592774</v>
      </c>
      <c r="AH188" s="102">
        <f t="shared" si="246"/>
        <v>0.12798893745166667</v>
      </c>
      <c r="AI188" s="97">
        <f t="shared" si="247"/>
        <v>1.9004999999999999</v>
      </c>
      <c r="AJ188" s="103">
        <f t="shared" si="248"/>
        <v>2.0284889374516664</v>
      </c>
      <c r="AK188" s="101">
        <f t="shared" si="249"/>
        <v>0.45249999999999996</v>
      </c>
      <c r="AL188" s="102">
        <f t="shared" si="250"/>
        <v>0.90732780735520258</v>
      </c>
      <c r="AM188" s="102">
        <f t="shared" si="251"/>
        <v>0.15203999999999998</v>
      </c>
      <c r="AN188" s="102">
        <f t="shared" si="252"/>
        <v>0.75525000000000009</v>
      </c>
      <c r="AO188" s="103">
        <f t="shared" si="253"/>
        <v>0.90729000000000004</v>
      </c>
      <c r="AP188" s="99">
        <f t="shared" si="254"/>
        <v>0</v>
      </c>
      <c r="AQ188" s="102">
        <f t="shared" si="190"/>
        <v>8.7499999999999994E-2</v>
      </c>
      <c r="AR188" s="103">
        <f t="shared" si="255"/>
        <v>1.155E-2</v>
      </c>
      <c r="AS188" s="99">
        <f t="shared" si="256"/>
        <v>2.1275389374516664</v>
      </c>
      <c r="AT188" s="215">
        <f t="shared" si="257"/>
        <v>152.65233624709998</v>
      </c>
      <c r="AU188" s="216">
        <f t="shared" si="258"/>
        <v>8.4404666564312114E-2</v>
      </c>
      <c r="AV188" s="102">
        <f t="shared" si="259"/>
        <v>21.72</v>
      </c>
      <c r="AW188" s="103">
        <f t="shared" si="260"/>
        <v>91.078580716308437</v>
      </c>
      <c r="AX188" s="32"/>
      <c r="AY188" s="101">
        <f t="shared" si="195"/>
        <v>60</v>
      </c>
      <c r="AZ188" s="102">
        <f t="shared" si="261"/>
        <v>0.36199999999999999</v>
      </c>
      <c r="BA188" s="102">
        <f t="shared" si="197"/>
        <v>15</v>
      </c>
      <c r="BB188" s="103">
        <f t="shared" si="262"/>
        <v>1.8099999999999998</v>
      </c>
      <c r="BC188" s="101">
        <f t="shared" si="263"/>
        <v>2</v>
      </c>
      <c r="BD188" s="102">
        <f t="shared" si="264"/>
        <v>0.75</v>
      </c>
      <c r="BE188" s="100">
        <f t="shared" si="265"/>
        <v>0.25</v>
      </c>
      <c r="BF188" s="101">
        <f t="shared" si="266"/>
        <v>0.45000000000000007</v>
      </c>
      <c r="BG188" s="102">
        <f t="shared" si="267"/>
        <v>2.0349999999999997</v>
      </c>
      <c r="BH188" s="102">
        <f t="shared" si="268"/>
        <v>1.8146556147104056</v>
      </c>
      <c r="BI188" s="102">
        <v>0</v>
      </c>
      <c r="BJ188" s="102">
        <f t="shared" si="269"/>
        <v>3.2929750000000001E-2</v>
      </c>
      <c r="BK188" s="103">
        <f t="shared" si="270"/>
        <v>3.2929750000000001E-2</v>
      </c>
      <c r="BL188" s="101">
        <f t="shared" si="271"/>
        <v>1.3574999999999999</v>
      </c>
      <c r="BM188" s="97">
        <f t="shared" si="272"/>
        <v>1.5715378614592774</v>
      </c>
      <c r="BN188" s="97">
        <f t="shared" si="273"/>
        <v>0.20845684265971171</v>
      </c>
      <c r="BO188" s="97">
        <f t="shared" si="274"/>
        <v>1.9004999999999999</v>
      </c>
      <c r="BP188" s="103">
        <f t="shared" si="275"/>
        <v>2.1089568426597114</v>
      </c>
      <c r="BQ188" s="101">
        <f t="shared" si="276"/>
        <v>0.45249999999999996</v>
      </c>
      <c r="BR188" s="102">
        <f t="shared" si="277"/>
        <v>0.90732780735520258</v>
      </c>
      <c r="BS188" s="102">
        <f t="shared" si="278"/>
        <v>0.15203999999999998</v>
      </c>
      <c r="BT188" s="102">
        <f t="shared" si="279"/>
        <v>0.75525000000000009</v>
      </c>
      <c r="BU188" s="103">
        <f t="shared" si="280"/>
        <v>0.90729000000000004</v>
      </c>
      <c r="BV188" s="99">
        <f t="shared" si="281"/>
        <v>0</v>
      </c>
      <c r="BW188" s="102">
        <f t="shared" si="207"/>
        <v>8.7499999999999994E-2</v>
      </c>
      <c r="BX188" s="103">
        <f t="shared" si="282"/>
        <v>1.155E-2</v>
      </c>
      <c r="BY188" s="101">
        <f t="shared" si="283"/>
        <v>3.1482265926597117</v>
      </c>
      <c r="BZ188" s="102">
        <f t="shared" si="284"/>
        <v>21.72</v>
      </c>
      <c r="CA188" s="103">
        <f t="shared" si="285"/>
        <v>87.340365502424021</v>
      </c>
      <c r="CB188" s="51">
        <f t="shared" si="286"/>
        <v>2.2080068426597115</v>
      </c>
      <c r="CC188" s="32">
        <f t="shared" si="287"/>
        <v>102.28023949308991</v>
      </c>
    </row>
    <row r="189" spans="17:81" ht="15" thickBot="1" x14ac:dyDescent="0.35">
      <c r="Q189" s="32">
        <v>182</v>
      </c>
      <c r="S189" s="101">
        <f t="shared" si="175"/>
        <v>60</v>
      </c>
      <c r="T189" s="97">
        <f t="shared" si="234"/>
        <v>0.36399999999999999</v>
      </c>
      <c r="U189" s="102">
        <f t="shared" si="176"/>
        <v>15</v>
      </c>
      <c r="V189" s="103">
        <f t="shared" si="235"/>
        <v>1.82</v>
      </c>
      <c r="W189" s="101">
        <f t="shared" si="236"/>
        <v>2</v>
      </c>
      <c r="X189" s="102">
        <f t="shared" si="237"/>
        <v>0.75</v>
      </c>
      <c r="Y189" s="100">
        <f t="shared" si="238"/>
        <v>0.25</v>
      </c>
      <c r="Z189" s="101">
        <f t="shared" si="239"/>
        <v>0.45000000000000007</v>
      </c>
      <c r="AA189" s="102">
        <f t="shared" si="240"/>
        <v>2.0449999999999999</v>
      </c>
      <c r="AB189" s="102">
        <f t="shared" si="241"/>
        <v>1.8246300994996221</v>
      </c>
      <c r="AC189" s="102">
        <v>0</v>
      </c>
      <c r="AD189" s="102">
        <f t="shared" si="242"/>
        <v>3.329275000000001E-2</v>
      </c>
      <c r="AE189" s="103">
        <f t="shared" si="243"/>
        <v>3.329275000000001E-2</v>
      </c>
      <c r="AF189" s="101">
        <f t="shared" si="244"/>
        <v>1.365</v>
      </c>
      <c r="AG189" s="97">
        <f t="shared" si="245"/>
        <v>1.5801760186764002</v>
      </c>
      <c r="AH189" s="102">
        <f t="shared" si="246"/>
        <v>0.12939981923166666</v>
      </c>
      <c r="AI189" s="97">
        <f t="shared" si="247"/>
        <v>1.911</v>
      </c>
      <c r="AJ189" s="103">
        <f t="shared" si="248"/>
        <v>2.0403998192316668</v>
      </c>
      <c r="AK189" s="101">
        <f t="shared" si="249"/>
        <v>0.45500000000000002</v>
      </c>
      <c r="AL189" s="102">
        <f t="shared" si="250"/>
        <v>0.91231504974981081</v>
      </c>
      <c r="AM189" s="102">
        <f t="shared" si="251"/>
        <v>0.15287999999999999</v>
      </c>
      <c r="AN189" s="102">
        <f t="shared" si="252"/>
        <v>0.75525000000000009</v>
      </c>
      <c r="AO189" s="103">
        <f t="shared" si="253"/>
        <v>0.9081300000000001</v>
      </c>
      <c r="AP189" s="99">
        <f t="shared" si="254"/>
        <v>0</v>
      </c>
      <c r="AQ189" s="102">
        <f t="shared" si="190"/>
        <v>8.7499999999999994E-2</v>
      </c>
      <c r="AR189" s="103">
        <f t="shared" si="255"/>
        <v>1.155E-2</v>
      </c>
      <c r="AS189" s="99">
        <f t="shared" si="256"/>
        <v>2.1394498192316669</v>
      </c>
      <c r="AT189" s="215">
        <f t="shared" si="257"/>
        <v>153.36698915390002</v>
      </c>
      <c r="AU189" s="216">
        <f t="shared" si="258"/>
        <v>8.457911937370878E-2</v>
      </c>
      <c r="AV189" s="102">
        <f t="shared" si="259"/>
        <v>21.84</v>
      </c>
      <c r="AW189" s="103">
        <f t="shared" si="260"/>
        <v>91.077986211694423</v>
      </c>
      <c r="AX189" s="32"/>
      <c r="AY189" s="101">
        <f t="shared" si="195"/>
        <v>60</v>
      </c>
      <c r="AZ189" s="102">
        <f t="shared" si="261"/>
        <v>0.36399999999999999</v>
      </c>
      <c r="BA189" s="102">
        <f t="shared" si="197"/>
        <v>15</v>
      </c>
      <c r="BB189" s="103">
        <f t="shared" si="262"/>
        <v>1.82</v>
      </c>
      <c r="BC189" s="101">
        <f t="shared" si="263"/>
        <v>2</v>
      </c>
      <c r="BD189" s="102">
        <f t="shared" si="264"/>
        <v>0.75</v>
      </c>
      <c r="BE189" s="100">
        <f t="shared" si="265"/>
        <v>0.25</v>
      </c>
      <c r="BF189" s="101">
        <f t="shared" si="266"/>
        <v>0.45000000000000007</v>
      </c>
      <c r="BG189" s="102">
        <f t="shared" si="267"/>
        <v>2.0449999999999999</v>
      </c>
      <c r="BH189" s="102">
        <f t="shared" si="268"/>
        <v>1.8246300994996221</v>
      </c>
      <c r="BI189" s="102">
        <v>0</v>
      </c>
      <c r="BJ189" s="102">
        <f t="shared" si="269"/>
        <v>3.329275000000001E-2</v>
      </c>
      <c r="BK189" s="103">
        <f t="shared" si="270"/>
        <v>3.329275000000001E-2</v>
      </c>
      <c r="BL189" s="101">
        <f t="shared" si="271"/>
        <v>1.365</v>
      </c>
      <c r="BM189" s="97">
        <f t="shared" si="272"/>
        <v>1.5801760186764002</v>
      </c>
      <c r="BN189" s="97">
        <f t="shared" si="273"/>
        <v>0.21119036073967817</v>
      </c>
      <c r="BO189" s="97">
        <f t="shared" si="274"/>
        <v>1.911</v>
      </c>
      <c r="BP189" s="103">
        <f t="shared" si="275"/>
        <v>2.1221903607396784</v>
      </c>
      <c r="BQ189" s="101">
        <f t="shared" si="276"/>
        <v>0.45500000000000002</v>
      </c>
      <c r="BR189" s="102">
        <f t="shared" si="277"/>
        <v>0.91231504974981081</v>
      </c>
      <c r="BS189" s="102">
        <f t="shared" si="278"/>
        <v>0.15287999999999999</v>
      </c>
      <c r="BT189" s="102">
        <f t="shared" si="279"/>
        <v>0.75525000000000009</v>
      </c>
      <c r="BU189" s="103">
        <f t="shared" si="280"/>
        <v>0.9081300000000001</v>
      </c>
      <c r="BV189" s="99">
        <f t="shared" si="281"/>
        <v>0</v>
      </c>
      <c r="BW189" s="102">
        <f t="shared" si="207"/>
        <v>8.7499999999999994E-2</v>
      </c>
      <c r="BX189" s="103">
        <f t="shared" si="282"/>
        <v>1.155E-2</v>
      </c>
      <c r="BY189" s="101">
        <f t="shared" si="283"/>
        <v>3.162663110739679</v>
      </c>
      <c r="BZ189" s="102">
        <f t="shared" si="284"/>
        <v>21.84</v>
      </c>
      <c r="CA189" s="103">
        <f t="shared" si="285"/>
        <v>87.350695017039271</v>
      </c>
      <c r="CB189" s="51">
        <f t="shared" si="286"/>
        <v>2.2212403607396785</v>
      </c>
      <c r="CC189" s="32">
        <f t="shared" si="287"/>
        <v>102.74341262588875</v>
      </c>
    </row>
    <row r="190" spans="17:81" ht="15" thickBot="1" x14ac:dyDescent="0.35">
      <c r="Q190" s="32">
        <v>183</v>
      </c>
      <c r="S190" s="101">
        <f t="shared" si="175"/>
        <v>60</v>
      </c>
      <c r="T190" s="97">
        <f t="shared" si="234"/>
        <v>0.36599999999999999</v>
      </c>
      <c r="U190" s="102">
        <f t="shared" si="176"/>
        <v>15</v>
      </c>
      <c r="V190" s="103">
        <f t="shared" si="235"/>
        <v>1.83</v>
      </c>
      <c r="W190" s="101">
        <f t="shared" si="236"/>
        <v>2</v>
      </c>
      <c r="X190" s="102">
        <f t="shared" si="237"/>
        <v>0.75</v>
      </c>
      <c r="Y190" s="100">
        <f t="shared" si="238"/>
        <v>0.25</v>
      </c>
      <c r="Z190" s="101">
        <f t="shared" si="239"/>
        <v>0.45000000000000007</v>
      </c>
      <c r="AA190" s="102">
        <f t="shared" si="240"/>
        <v>2.0550000000000002</v>
      </c>
      <c r="AB190" s="102">
        <f t="shared" si="241"/>
        <v>1.8346048620888371</v>
      </c>
      <c r="AC190" s="102">
        <v>0</v>
      </c>
      <c r="AD190" s="102">
        <f t="shared" si="242"/>
        <v>3.3657750000000014E-2</v>
      </c>
      <c r="AE190" s="103">
        <f t="shared" si="243"/>
        <v>3.3657750000000014E-2</v>
      </c>
      <c r="AF190" s="101">
        <f t="shared" si="244"/>
        <v>1.3725000000000001</v>
      </c>
      <c r="AG190" s="97">
        <f t="shared" si="245"/>
        <v>1.5888144164753795</v>
      </c>
      <c r="AH190" s="102">
        <f t="shared" si="246"/>
        <v>0.13081847446500006</v>
      </c>
      <c r="AI190" s="97">
        <f t="shared" si="247"/>
        <v>1.9215</v>
      </c>
      <c r="AJ190" s="103">
        <f t="shared" si="248"/>
        <v>2.0523184744650003</v>
      </c>
      <c r="AK190" s="101">
        <f t="shared" si="249"/>
        <v>0.45750000000000002</v>
      </c>
      <c r="AL190" s="102">
        <f t="shared" si="250"/>
        <v>0.91730243104441844</v>
      </c>
      <c r="AM190" s="102">
        <f t="shared" si="251"/>
        <v>0.15372</v>
      </c>
      <c r="AN190" s="102">
        <f t="shared" si="252"/>
        <v>0.75525000000000009</v>
      </c>
      <c r="AO190" s="103">
        <f t="shared" si="253"/>
        <v>0.90897000000000006</v>
      </c>
      <c r="AP190" s="99">
        <f t="shared" si="254"/>
        <v>0</v>
      </c>
      <c r="AQ190" s="102">
        <f t="shared" si="190"/>
        <v>8.7499999999999994E-2</v>
      </c>
      <c r="AR190" s="103">
        <f t="shared" si="255"/>
        <v>1.155E-2</v>
      </c>
      <c r="AS190" s="99">
        <f t="shared" si="256"/>
        <v>2.1513684744650003</v>
      </c>
      <c r="AT190" s="215">
        <f t="shared" si="257"/>
        <v>154.08210846790001</v>
      </c>
      <c r="AU190" s="216">
        <f t="shared" si="258"/>
        <v>8.475368603704149E-2</v>
      </c>
      <c r="AV190" s="102">
        <f t="shared" si="259"/>
        <v>21.96</v>
      </c>
      <c r="AW190" s="103">
        <f t="shared" si="260"/>
        <v>91.077368848875608</v>
      </c>
      <c r="AX190" s="32"/>
      <c r="AY190" s="101">
        <f t="shared" si="195"/>
        <v>60</v>
      </c>
      <c r="AZ190" s="102">
        <f t="shared" si="261"/>
        <v>0.36599999999999999</v>
      </c>
      <c r="BA190" s="102">
        <f t="shared" si="197"/>
        <v>15</v>
      </c>
      <c r="BB190" s="103">
        <f t="shared" si="262"/>
        <v>1.83</v>
      </c>
      <c r="BC190" s="101">
        <f t="shared" si="263"/>
        <v>2</v>
      </c>
      <c r="BD190" s="102">
        <f t="shared" si="264"/>
        <v>0.75</v>
      </c>
      <c r="BE190" s="100">
        <f t="shared" si="265"/>
        <v>0.25</v>
      </c>
      <c r="BF190" s="101">
        <f t="shared" si="266"/>
        <v>0.45000000000000007</v>
      </c>
      <c r="BG190" s="102">
        <f t="shared" si="267"/>
        <v>2.0550000000000002</v>
      </c>
      <c r="BH190" s="102">
        <f t="shared" si="268"/>
        <v>1.8346048620888371</v>
      </c>
      <c r="BI190" s="102">
        <v>0</v>
      </c>
      <c r="BJ190" s="102">
        <f t="shared" si="269"/>
        <v>3.3657750000000014E-2</v>
      </c>
      <c r="BK190" s="103">
        <f t="shared" si="270"/>
        <v>3.3657750000000014E-2</v>
      </c>
      <c r="BL190" s="101">
        <f t="shared" si="271"/>
        <v>1.3725000000000001</v>
      </c>
      <c r="BM190" s="97">
        <f t="shared" si="272"/>
        <v>1.5888144164753795</v>
      </c>
      <c r="BN190" s="97">
        <f t="shared" si="273"/>
        <v>0.21394637821599252</v>
      </c>
      <c r="BO190" s="97">
        <f t="shared" si="274"/>
        <v>1.9215</v>
      </c>
      <c r="BP190" s="103">
        <f t="shared" si="275"/>
        <v>2.1354463782159927</v>
      </c>
      <c r="BQ190" s="101">
        <f t="shared" si="276"/>
        <v>0.45750000000000002</v>
      </c>
      <c r="BR190" s="102">
        <f t="shared" si="277"/>
        <v>0.91730243104441844</v>
      </c>
      <c r="BS190" s="102">
        <f t="shared" si="278"/>
        <v>0.15372</v>
      </c>
      <c r="BT190" s="102">
        <f t="shared" si="279"/>
        <v>0.75525000000000009</v>
      </c>
      <c r="BU190" s="103">
        <f t="shared" si="280"/>
        <v>0.90897000000000006</v>
      </c>
      <c r="BV190" s="99">
        <f t="shared" si="281"/>
        <v>0</v>
      </c>
      <c r="BW190" s="102">
        <f t="shared" si="207"/>
        <v>8.7499999999999994E-2</v>
      </c>
      <c r="BX190" s="103">
        <f t="shared" si="282"/>
        <v>1.155E-2</v>
      </c>
      <c r="BY190" s="101">
        <f t="shared" si="283"/>
        <v>3.177124128215993</v>
      </c>
      <c r="BZ190" s="102">
        <f t="shared" si="284"/>
        <v>21.96</v>
      </c>
      <c r="CA190" s="103">
        <f t="shared" si="285"/>
        <v>87.360828899875116</v>
      </c>
      <c r="CB190" s="51">
        <f t="shared" si="286"/>
        <v>2.2344963782159928</v>
      </c>
      <c r="CC190" s="32">
        <f t="shared" si="287"/>
        <v>103.20737323755975</v>
      </c>
    </row>
    <row r="191" spans="17:81" ht="15" thickBot="1" x14ac:dyDescent="0.35">
      <c r="Q191" s="32">
        <v>184</v>
      </c>
      <c r="S191" s="101">
        <f t="shared" si="175"/>
        <v>60</v>
      </c>
      <c r="T191" s="97">
        <f t="shared" si="234"/>
        <v>0.36799999999999999</v>
      </c>
      <c r="U191" s="102">
        <f t="shared" si="176"/>
        <v>15</v>
      </c>
      <c r="V191" s="103">
        <f t="shared" si="235"/>
        <v>1.8399999999999999</v>
      </c>
      <c r="W191" s="101">
        <f t="shared" si="236"/>
        <v>2</v>
      </c>
      <c r="X191" s="102">
        <f t="shared" si="237"/>
        <v>0.75</v>
      </c>
      <c r="Y191" s="100">
        <f t="shared" si="238"/>
        <v>0.25</v>
      </c>
      <c r="Z191" s="101">
        <f t="shared" si="239"/>
        <v>0.45000000000000007</v>
      </c>
      <c r="AA191" s="102">
        <f t="shared" si="240"/>
        <v>2.0649999999999999</v>
      </c>
      <c r="AB191" s="102">
        <f t="shared" si="241"/>
        <v>1.844579897971351</v>
      </c>
      <c r="AC191" s="102">
        <v>0</v>
      </c>
      <c r="AD191" s="102">
        <f t="shared" si="242"/>
        <v>3.4024749999999999E-2</v>
      </c>
      <c r="AE191" s="103">
        <f t="shared" si="243"/>
        <v>3.4024749999999999E-2</v>
      </c>
      <c r="AF191" s="101">
        <f t="shared" si="244"/>
        <v>1.38</v>
      </c>
      <c r="AG191" s="97">
        <f t="shared" si="245"/>
        <v>1.5974530509532978</v>
      </c>
      <c r="AH191" s="102">
        <f t="shared" si="246"/>
        <v>0.13224490315166668</v>
      </c>
      <c r="AI191" s="97">
        <f t="shared" si="247"/>
        <v>1.9319999999999999</v>
      </c>
      <c r="AJ191" s="103">
        <f t="shared" si="248"/>
        <v>2.0642449031516668</v>
      </c>
      <c r="AK191" s="101">
        <f t="shared" si="249"/>
        <v>0.45999999999999996</v>
      </c>
      <c r="AL191" s="102">
        <f t="shared" si="250"/>
        <v>0.92228994898567551</v>
      </c>
      <c r="AM191" s="102">
        <f t="shared" si="251"/>
        <v>0.15456</v>
      </c>
      <c r="AN191" s="102">
        <f t="shared" si="252"/>
        <v>0.75525000000000009</v>
      </c>
      <c r="AO191" s="103">
        <f t="shared" si="253"/>
        <v>0.90981000000000012</v>
      </c>
      <c r="AP191" s="99">
        <f t="shared" si="254"/>
        <v>0</v>
      </c>
      <c r="AQ191" s="102">
        <f t="shared" si="190"/>
        <v>8.7499999999999994E-2</v>
      </c>
      <c r="AR191" s="103">
        <f t="shared" si="255"/>
        <v>1.155E-2</v>
      </c>
      <c r="AS191" s="99">
        <f t="shared" si="256"/>
        <v>2.1632949031516668</v>
      </c>
      <c r="AT191" s="215">
        <f t="shared" si="257"/>
        <v>154.79769418910001</v>
      </c>
      <c r="AU191" s="216">
        <f t="shared" si="258"/>
        <v>8.4928366554310269E-2</v>
      </c>
      <c r="AV191" s="102">
        <f t="shared" si="259"/>
        <v>22.08</v>
      </c>
      <c r="AW191" s="103">
        <f t="shared" si="260"/>
        <v>91.076729001591133</v>
      </c>
      <c r="AX191" s="32"/>
      <c r="AY191" s="101">
        <f t="shared" si="195"/>
        <v>60</v>
      </c>
      <c r="AZ191" s="102">
        <f t="shared" si="261"/>
        <v>0.36799999999999999</v>
      </c>
      <c r="BA191" s="102">
        <f t="shared" si="197"/>
        <v>15</v>
      </c>
      <c r="BB191" s="103">
        <f t="shared" si="262"/>
        <v>1.8399999999999999</v>
      </c>
      <c r="BC191" s="101">
        <f t="shared" si="263"/>
        <v>2</v>
      </c>
      <c r="BD191" s="102">
        <f t="shared" si="264"/>
        <v>0.75</v>
      </c>
      <c r="BE191" s="100">
        <f t="shared" si="265"/>
        <v>0.25</v>
      </c>
      <c r="BF191" s="101">
        <f t="shared" si="266"/>
        <v>0.45000000000000007</v>
      </c>
      <c r="BG191" s="102">
        <f t="shared" si="267"/>
        <v>2.0649999999999999</v>
      </c>
      <c r="BH191" s="102">
        <f t="shared" si="268"/>
        <v>1.844579897971351</v>
      </c>
      <c r="BI191" s="102">
        <v>0</v>
      </c>
      <c r="BJ191" s="102">
        <f t="shared" si="269"/>
        <v>3.4024749999999999E-2</v>
      </c>
      <c r="BK191" s="103">
        <f t="shared" si="270"/>
        <v>3.4024749999999999E-2</v>
      </c>
      <c r="BL191" s="101">
        <f t="shared" si="271"/>
        <v>1.38</v>
      </c>
      <c r="BM191" s="97">
        <f t="shared" si="272"/>
        <v>1.5974530509532978</v>
      </c>
      <c r="BN191" s="97">
        <f t="shared" si="273"/>
        <v>0.21672498299390761</v>
      </c>
      <c r="BO191" s="97">
        <f t="shared" si="274"/>
        <v>1.9319999999999999</v>
      </c>
      <c r="BP191" s="103">
        <f t="shared" si="275"/>
        <v>2.1487249829939077</v>
      </c>
      <c r="BQ191" s="101">
        <f t="shared" si="276"/>
        <v>0.45999999999999996</v>
      </c>
      <c r="BR191" s="102">
        <f t="shared" si="277"/>
        <v>0.92228994898567551</v>
      </c>
      <c r="BS191" s="102">
        <f t="shared" si="278"/>
        <v>0.15456</v>
      </c>
      <c r="BT191" s="102">
        <f t="shared" si="279"/>
        <v>0.75525000000000009</v>
      </c>
      <c r="BU191" s="103">
        <f t="shared" si="280"/>
        <v>0.90981000000000012</v>
      </c>
      <c r="BV191" s="99">
        <f t="shared" si="281"/>
        <v>0</v>
      </c>
      <c r="BW191" s="102">
        <f t="shared" si="207"/>
        <v>8.7499999999999994E-2</v>
      </c>
      <c r="BX191" s="103">
        <f t="shared" si="282"/>
        <v>1.155E-2</v>
      </c>
      <c r="BY191" s="101">
        <f t="shared" si="283"/>
        <v>3.1916097329939079</v>
      </c>
      <c r="BZ191" s="102">
        <f t="shared" si="284"/>
        <v>22.08</v>
      </c>
      <c r="CA191" s="103">
        <f t="shared" si="285"/>
        <v>87.370769940202777</v>
      </c>
      <c r="CB191" s="51">
        <f t="shared" si="286"/>
        <v>2.2477749829939078</v>
      </c>
      <c r="CC191" s="32">
        <f t="shared" si="287"/>
        <v>103.67212440478677</v>
      </c>
    </row>
    <row r="192" spans="17:81" ht="15" thickBot="1" x14ac:dyDescent="0.35">
      <c r="Q192" s="32">
        <v>185</v>
      </c>
      <c r="S192" s="101">
        <f t="shared" si="175"/>
        <v>60</v>
      </c>
      <c r="T192" s="97">
        <f t="shared" si="234"/>
        <v>0.37</v>
      </c>
      <c r="U192" s="102">
        <f t="shared" si="176"/>
        <v>15</v>
      </c>
      <c r="V192" s="103">
        <f t="shared" si="235"/>
        <v>1.8499999999999999</v>
      </c>
      <c r="W192" s="101">
        <f t="shared" si="236"/>
        <v>2</v>
      </c>
      <c r="X192" s="102">
        <f t="shared" si="237"/>
        <v>0.75</v>
      </c>
      <c r="Y192" s="100">
        <f t="shared" si="238"/>
        <v>0.25</v>
      </c>
      <c r="Z192" s="101">
        <f t="shared" si="239"/>
        <v>0.45000000000000007</v>
      </c>
      <c r="AA192" s="102">
        <f t="shared" si="240"/>
        <v>2.0749999999999997</v>
      </c>
      <c r="AB192" s="102">
        <f t="shared" si="241"/>
        <v>1.8545552027373031</v>
      </c>
      <c r="AC192" s="102">
        <v>0</v>
      </c>
      <c r="AD192" s="102">
        <f t="shared" si="242"/>
        <v>3.4393749999999994E-2</v>
      </c>
      <c r="AE192" s="103">
        <f t="shared" si="243"/>
        <v>3.4393749999999994E-2</v>
      </c>
      <c r="AF192" s="101">
        <f t="shared" si="244"/>
        <v>1.3875</v>
      </c>
      <c r="AG192" s="97">
        <f t="shared" si="245"/>
        <v>1.6060919182911044</v>
      </c>
      <c r="AH192" s="102">
        <f t="shared" si="246"/>
        <v>0.13367910529166668</v>
      </c>
      <c r="AI192" s="97">
        <f t="shared" si="247"/>
        <v>1.9424999999999994</v>
      </c>
      <c r="AJ192" s="103">
        <f t="shared" si="248"/>
        <v>2.0761791052916663</v>
      </c>
      <c r="AK192" s="101">
        <f t="shared" si="249"/>
        <v>0.46249999999999997</v>
      </c>
      <c r="AL192" s="102">
        <f t="shared" si="250"/>
        <v>0.92727760136865156</v>
      </c>
      <c r="AM192" s="102">
        <f t="shared" si="251"/>
        <v>0.15539999999999998</v>
      </c>
      <c r="AN192" s="102">
        <f t="shared" si="252"/>
        <v>0.75525000000000009</v>
      </c>
      <c r="AO192" s="103">
        <f t="shared" si="253"/>
        <v>0.91065000000000007</v>
      </c>
      <c r="AP192" s="99">
        <f t="shared" si="254"/>
        <v>0</v>
      </c>
      <c r="AQ192" s="102">
        <f t="shared" si="190"/>
        <v>8.7499999999999994E-2</v>
      </c>
      <c r="AR192" s="103">
        <f t="shared" si="255"/>
        <v>1.155E-2</v>
      </c>
      <c r="AS192" s="99">
        <f t="shared" si="256"/>
        <v>2.1752291052916664</v>
      </c>
      <c r="AT192" s="215">
        <f t="shared" si="257"/>
        <v>155.51374631749999</v>
      </c>
      <c r="AU192" s="216">
        <f t="shared" si="258"/>
        <v>8.510316092551512E-2</v>
      </c>
      <c r="AV192" s="102">
        <f t="shared" si="259"/>
        <v>22.2</v>
      </c>
      <c r="AW192" s="103">
        <f t="shared" si="260"/>
        <v>91.076067035532233</v>
      </c>
      <c r="AX192" s="32"/>
      <c r="AY192" s="101">
        <f t="shared" si="195"/>
        <v>60</v>
      </c>
      <c r="AZ192" s="102">
        <f t="shared" si="261"/>
        <v>0.37</v>
      </c>
      <c r="BA192" s="102">
        <f t="shared" si="197"/>
        <v>15</v>
      </c>
      <c r="BB192" s="103">
        <f t="shared" si="262"/>
        <v>1.8499999999999999</v>
      </c>
      <c r="BC192" s="101">
        <f t="shared" si="263"/>
        <v>2</v>
      </c>
      <c r="BD192" s="102">
        <f t="shared" si="264"/>
        <v>0.75</v>
      </c>
      <c r="BE192" s="100">
        <f t="shared" si="265"/>
        <v>0.25</v>
      </c>
      <c r="BF192" s="101">
        <f t="shared" si="266"/>
        <v>0.45000000000000007</v>
      </c>
      <c r="BG192" s="102">
        <f t="shared" si="267"/>
        <v>2.0749999999999997</v>
      </c>
      <c r="BH192" s="102">
        <f t="shared" si="268"/>
        <v>1.8545552027373031</v>
      </c>
      <c r="BI192" s="102">
        <v>0</v>
      </c>
      <c r="BJ192" s="102">
        <f t="shared" si="269"/>
        <v>3.4393749999999994E-2</v>
      </c>
      <c r="BK192" s="103">
        <f t="shared" si="270"/>
        <v>3.4393749999999994E-2</v>
      </c>
      <c r="BL192" s="101">
        <f t="shared" si="271"/>
        <v>1.3875</v>
      </c>
      <c r="BM192" s="97">
        <f t="shared" si="272"/>
        <v>1.6060919182911044</v>
      </c>
      <c r="BN192" s="97">
        <f t="shared" si="273"/>
        <v>0.21952626308114515</v>
      </c>
      <c r="BO192" s="97">
        <f t="shared" si="274"/>
        <v>1.9424999999999994</v>
      </c>
      <c r="BP192" s="103">
        <f t="shared" si="275"/>
        <v>2.1620262630811444</v>
      </c>
      <c r="BQ192" s="101">
        <f t="shared" si="276"/>
        <v>0.46249999999999997</v>
      </c>
      <c r="BR192" s="102">
        <f t="shared" si="277"/>
        <v>0.92727760136865156</v>
      </c>
      <c r="BS192" s="102">
        <f t="shared" si="278"/>
        <v>0.15539999999999998</v>
      </c>
      <c r="BT192" s="102">
        <f t="shared" si="279"/>
        <v>0.75525000000000009</v>
      </c>
      <c r="BU192" s="103">
        <f t="shared" si="280"/>
        <v>0.91065000000000007</v>
      </c>
      <c r="BV192" s="99">
        <f t="shared" si="281"/>
        <v>0</v>
      </c>
      <c r="BW192" s="102">
        <f t="shared" si="207"/>
        <v>8.7499999999999994E-2</v>
      </c>
      <c r="BX192" s="103">
        <f t="shared" si="282"/>
        <v>1.155E-2</v>
      </c>
      <c r="BY192" s="101">
        <f t="shared" si="283"/>
        <v>3.2061200130811445</v>
      </c>
      <c r="BZ192" s="102">
        <f t="shared" si="284"/>
        <v>22.2</v>
      </c>
      <c r="CA192" s="103">
        <f t="shared" si="285"/>
        <v>87.380520868867933</v>
      </c>
      <c r="CB192" s="51">
        <f t="shared" si="286"/>
        <v>2.2610762630811445</v>
      </c>
      <c r="CC192" s="32">
        <f t="shared" si="287"/>
        <v>104.13766920784006</v>
      </c>
    </row>
    <row r="193" spans="17:81" ht="15" thickBot="1" x14ac:dyDescent="0.35">
      <c r="Q193" s="32">
        <v>186</v>
      </c>
      <c r="S193" s="101">
        <f t="shared" si="175"/>
        <v>60</v>
      </c>
      <c r="T193" s="97">
        <f t="shared" si="234"/>
        <v>0.372</v>
      </c>
      <c r="U193" s="102">
        <f t="shared" si="176"/>
        <v>15</v>
      </c>
      <c r="V193" s="103">
        <f t="shared" si="235"/>
        <v>1.86</v>
      </c>
      <c r="W193" s="101">
        <f t="shared" si="236"/>
        <v>2</v>
      </c>
      <c r="X193" s="102">
        <f t="shared" si="237"/>
        <v>0.75</v>
      </c>
      <c r="Y193" s="100">
        <f t="shared" si="238"/>
        <v>0.25</v>
      </c>
      <c r="Z193" s="101">
        <f t="shared" si="239"/>
        <v>0.45000000000000007</v>
      </c>
      <c r="AA193" s="102">
        <f t="shared" si="240"/>
        <v>2.085</v>
      </c>
      <c r="AB193" s="102">
        <f t="shared" si="241"/>
        <v>1.8645307720710862</v>
      </c>
      <c r="AC193" s="102">
        <v>0</v>
      </c>
      <c r="AD193" s="102">
        <f t="shared" si="242"/>
        <v>3.4764750000000004E-2</v>
      </c>
      <c r="AE193" s="103">
        <f t="shared" si="243"/>
        <v>3.4764750000000004E-2</v>
      </c>
      <c r="AF193" s="101">
        <f t="shared" si="244"/>
        <v>1.395</v>
      </c>
      <c r="AG193" s="97">
        <f t="shared" si="245"/>
        <v>1.6147310147513732</v>
      </c>
      <c r="AH193" s="102">
        <f t="shared" si="246"/>
        <v>0.13512108088499999</v>
      </c>
      <c r="AI193" s="97">
        <f t="shared" si="247"/>
        <v>1.9529999999999998</v>
      </c>
      <c r="AJ193" s="103">
        <f t="shared" si="248"/>
        <v>2.0881210808849997</v>
      </c>
      <c r="AK193" s="101">
        <f t="shared" si="249"/>
        <v>0.46500000000000002</v>
      </c>
      <c r="AL193" s="102">
        <f t="shared" si="250"/>
        <v>0.93226538603554299</v>
      </c>
      <c r="AM193" s="102">
        <f t="shared" si="251"/>
        <v>0.15623999999999999</v>
      </c>
      <c r="AN193" s="102">
        <f t="shared" si="252"/>
        <v>0.75525000000000009</v>
      </c>
      <c r="AO193" s="103">
        <f t="shared" si="253"/>
        <v>0.91149000000000013</v>
      </c>
      <c r="AP193" s="99">
        <f t="shared" si="254"/>
        <v>0</v>
      </c>
      <c r="AQ193" s="102">
        <f t="shared" si="190"/>
        <v>8.7499999999999994E-2</v>
      </c>
      <c r="AR193" s="103">
        <f t="shared" si="255"/>
        <v>1.155E-2</v>
      </c>
      <c r="AS193" s="99">
        <f t="shared" si="256"/>
        <v>2.1871710808849998</v>
      </c>
      <c r="AT193" s="215">
        <f t="shared" si="257"/>
        <v>156.23026485309998</v>
      </c>
      <c r="AU193" s="216">
        <f t="shared" si="258"/>
        <v>8.5278069150656055E-2</v>
      </c>
      <c r="AV193" s="102">
        <f t="shared" si="259"/>
        <v>22.32</v>
      </c>
      <c r="AW193" s="103">
        <f t="shared" si="260"/>
        <v>91.075383308557619</v>
      </c>
      <c r="AX193" s="32"/>
      <c r="AY193" s="101">
        <f t="shared" si="195"/>
        <v>60</v>
      </c>
      <c r="AZ193" s="102">
        <f t="shared" si="261"/>
        <v>0.372</v>
      </c>
      <c r="BA193" s="102">
        <f t="shared" si="197"/>
        <v>15</v>
      </c>
      <c r="BB193" s="103">
        <f t="shared" si="262"/>
        <v>1.86</v>
      </c>
      <c r="BC193" s="101">
        <f t="shared" si="263"/>
        <v>2</v>
      </c>
      <c r="BD193" s="102">
        <f t="shared" si="264"/>
        <v>0.75</v>
      </c>
      <c r="BE193" s="100">
        <f t="shared" si="265"/>
        <v>0.25</v>
      </c>
      <c r="BF193" s="101">
        <f t="shared" si="266"/>
        <v>0.45000000000000007</v>
      </c>
      <c r="BG193" s="102">
        <f t="shared" si="267"/>
        <v>2.085</v>
      </c>
      <c r="BH193" s="102">
        <f t="shared" si="268"/>
        <v>1.8645307720710862</v>
      </c>
      <c r="BI193" s="102">
        <v>0</v>
      </c>
      <c r="BJ193" s="102">
        <f t="shared" si="269"/>
        <v>3.4764750000000004E-2</v>
      </c>
      <c r="BK193" s="103">
        <f t="shared" si="270"/>
        <v>3.4764750000000004E-2</v>
      </c>
      <c r="BL193" s="101">
        <f t="shared" si="271"/>
        <v>1.395</v>
      </c>
      <c r="BM193" s="97">
        <f t="shared" si="272"/>
        <v>1.6147310147513732</v>
      </c>
      <c r="BN193" s="97">
        <f t="shared" si="273"/>
        <v>0.22235030658789517</v>
      </c>
      <c r="BO193" s="97">
        <f t="shared" si="274"/>
        <v>1.9529999999999998</v>
      </c>
      <c r="BP193" s="103">
        <f t="shared" si="275"/>
        <v>2.175350306587895</v>
      </c>
      <c r="BQ193" s="101">
        <f t="shared" si="276"/>
        <v>0.46500000000000002</v>
      </c>
      <c r="BR193" s="102">
        <f t="shared" si="277"/>
        <v>0.93226538603554299</v>
      </c>
      <c r="BS193" s="102">
        <f t="shared" si="278"/>
        <v>0.15623999999999999</v>
      </c>
      <c r="BT193" s="102">
        <f t="shared" si="279"/>
        <v>0.75525000000000009</v>
      </c>
      <c r="BU193" s="103">
        <f t="shared" si="280"/>
        <v>0.91149000000000013</v>
      </c>
      <c r="BV193" s="99">
        <f t="shared" si="281"/>
        <v>0</v>
      </c>
      <c r="BW193" s="102">
        <f t="shared" si="207"/>
        <v>8.7499999999999994E-2</v>
      </c>
      <c r="BX193" s="103">
        <f t="shared" si="282"/>
        <v>1.155E-2</v>
      </c>
      <c r="BY193" s="101">
        <f t="shared" si="283"/>
        <v>3.2206550565878951</v>
      </c>
      <c r="BZ193" s="102">
        <f t="shared" si="284"/>
        <v>22.32</v>
      </c>
      <c r="CA193" s="103">
        <f t="shared" si="285"/>
        <v>87.390084359809066</v>
      </c>
      <c r="CB193" s="51">
        <f t="shared" si="286"/>
        <v>2.274400306587895</v>
      </c>
      <c r="CC193" s="32">
        <f t="shared" si="287"/>
        <v>104.60401073057632</v>
      </c>
    </row>
    <row r="194" spans="17:81" ht="15" thickBot="1" x14ac:dyDescent="0.35">
      <c r="Q194" s="32">
        <v>187</v>
      </c>
      <c r="S194" s="101">
        <f t="shared" si="175"/>
        <v>60</v>
      </c>
      <c r="T194" s="97">
        <f t="shared" si="234"/>
        <v>0.374</v>
      </c>
      <c r="U194" s="102">
        <f t="shared" si="176"/>
        <v>15</v>
      </c>
      <c r="V194" s="103">
        <f t="shared" si="235"/>
        <v>1.87</v>
      </c>
      <c r="W194" s="101">
        <f t="shared" si="236"/>
        <v>2</v>
      </c>
      <c r="X194" s="102">
        <f t="shared" si="237"/>
        <v>0.75</v>
      </c>
      <c r="Y194" s="100">
        <f t="shared" si="238"/>
        <v>0.25</v>
      </c>
      <c r="Z194" s="101">
        <f t="shared" si="239"/>
        <v>0.45000000000000007</v>
      </c>
      <c r="AA194" s="102">
        <f t="shared" si="240"/>
        <v>2.0950000000000002</v>
      </c>
      <c r="AB194" s="102">
        <f t="shared" si="241"/>
        <v>1.8745066017488443</v>
      </c>
      <c r="AC194" s="102">
        <v>0</v>
      </c>
      <c r="AD194" s="102">
        <f t="shared" si="242"/>
        <v>3.5137750000000002E-2</v>
      </c>
      <c r="AE194" s="103">
        <f t="shared" si="243"/>
        <v>3.5137750000000002E-2</v>
      </c>
      <c r="AF194" s="101">
        <f t="shared" si="244"/>
        <v>1.4025000000000001</v>
      </c>
      <c r="AG194" s="97">
        <f t="shared" si="245"/>
        <v>1.6233703366761389</v>
      </c>
      <c r="AH194" s="102">
        <f t="shared" si="246"/>
        <v>0.13657082993166675</v>
      </c>
      <c r="AI194" s="97">
        <f t="shared" si="247"/>
        <v>1.9635</v>
      </c>
      <c r="AJ194" s="103">
        <f t="shared" si="248"/>
        <v>2.1000708299316666</v>
      </c>
      <c r="AK194" s="101">
        <f t="shared" si="249"/>
        <v>0.46750000000000003</v>
      </c>
      <c r="AL194" s="102">
        <f t="shared" si="250"/>
        <v>0.93725330087442216</v>
      </c>
      <c r="AM194" s="102">
        <f t="shared" si="251"/>
        <v>0.15708</v>
      </c>
      <c r="AN194" s="102">
        <f t="shared" si="252"/>
        <v>0.75525000000000009</v>
      </c>
      <c r="AO194" s="103">
        <f t="shared" si="253"/>
        <v>0.91233000000000009</v>
      </c>
      <c r="AP194" s="99">
        <f t="shared" si="254"/>
        <v>0</v>
      </c>
      <c r="AQ194" s="102">
        <f t="shared" si="190"/>
        <v>8.7499999999999994E-2</v>
      </c>
      <c r="AR194" s="103">
        <f t="shared" si="255"/>
        <v>1.155E-2</v>
      </c>
      <c r="AS194" s="99">
        <f t="shared" si="256"/>
        <v>2.1991208299316667</v>
      </c>
      <c r="AT194" s="215">
        <f t="shared" si="257"/>
        <v>156.94724979590001</v>
      </c>
      <c r="AU194" s="216">
        <f t="shared" si="258"/>
        <v>8.5453091229733061E-2</v>
      </c>
      <c r="AV194" s="102">
        <f t="shared" si="259"/>
        <v>22.44</v>
      </c>
      <c r="AW194" s="103">
        <f t="shared" si="260"/>
        <v>91.074678170902231</v>
      </c>
      <c r="AX194" s="32"/>
      <c r="AY194" s="101">
        <f t="shared" si="195"/>
        <v>60</v>
      </c>
      <c r="AZ194" s="102">
        <f t="shared" si="261"/>
        <v>0.374</v>
      </c>
      <c r="BA194" s="102">
        <f t="shared" si="197"/>
        <v>15</v>
      </c>
      <c r="BB194" s="103">
        <f t="shared" si="262"/>
        <v>1.87</v>
      </c>
      <c r="BC194" s="101">
        <f t="shared" si="263"/>
        <v>2</v>
      </c>
      <c r="BD194" s="102">
        <f t="shared" si="264"/>
        <v>0.75</v>
      </c>
      <c r="BE194" s="100">
        <f t="shared" si="265"/>
        <v>0.25</v>
      </c>
      <c r="BF194" s="101">
        <f t="shared" si="266"/>
        <v>0.45000000000000007</v>
      </c>
      <c r="BG194" s="102">
        <f t="shared" si="267"/>
        <v>2.0950000000000002</v>
      </c>
      <c r="BH194" s="102">
        <f t="shared" si="268"/>
        <v>1.8745066017488443</v>
      </c>
      <c r="BI194" s="102">
        <v>0</v>
      </c>
      <c r="BJ194" s="102">
        <f t="shared" si="269"/>
        <v>3.5137750000000002E-2</v>
      </c>
      <c r="BK194" s="103">
        <f t="shared" si="270"/>
        <v>3.5137750000000002E-2</v>
      </c>
      <c r="BL194" s="101">
        <f t="shared" si="271"/>
        <v>1.4025000000000001</v>
      </c>
      <c r="BM194" s="97">
        <f t="shared" si="272"/>
        <v>1.6233703366761389</v>
      </c>
      <c r="BN194" s="97">
        <f t="shared" si="273"/>
        <v>0.22519720172681651</v>
      </c>
      <c r="BO194" s="97">
        <f t="shared" si="274"/>
        <v>1.9635</v>
      </c>
      <c r="BP194" s="103">
        <f t="shared" si="275"/>
        <v>2.1886972017268165</v>
      </c>
      <c r="BQ194" s="101">
        <f t="shared" si="276"/>
        <v>0.46750000000000003</v>
      </c>
      <c r="BR194" s="102">
        <f t="shared" si="277"/>
        <v>0.93725330087442216</v>
      </c>
      <c r="BS194" s="102">
        <f t="shared" si="278"/>
        <v>0.15708</v>
      </c>
      <c r="BT194" s="102">
        <f t="shared" si="279"/>
        <v>0.75525000000000009</v>
      </c>
      <c r="BU194" s="103">
        <f t="shared" si="280"/>
        <v>0.91233000000000009</v>
      </c>
      <c r="BV194" s="99">
        <f t="shared" si="281"/>
        <v>0</v>
      </c>
      <c r="BW194" s="102">
        <f t="shared" si="207"/>
        <v>8.7499999999999994E-2</v>
      </c>
      <c r="BX194" s="103">
        <f t="shared" si="282"/>
        <v>1.155E-2</v>
      </c>
      <c r="BY194" s="101">
        <f t="shared" si="283"/>
        <v>3.2352149517268169</v>
      </c>
      <c r="BZ194" s="102">
        <f t="shared" si="284"/>
        <v>22.44</v>
      </c>
      <c r="CA194" s="103">
        <f t="shared" si="285"/>
        <v>87.399463031528668</v>
      </c>
      <c r="CB194" s="51">
        <f t="shared" si="286"/>
        <v>2.2877472017268166</v>
      </c>
      <c r="CC194" s="32">
        <f t="shared" si="287"/>
        <v>105.07115206043858</v>
      </c>
    </row>
    <row r="195" spans="17:81" ht="15" thickBot="1" x14ac:dyDescent="0.35">
      <c r="Q195" s="32">
        <v>188</v>
      </c>
      <c r="S195" s="101">
        <f t="shared" si="175"/>
        <v>60</v>
      </c>
      <c r="T195" s="97">
        <f t="shared" si="234"/>
        <v>0.376</v>
      </c>
      <c r="U195" s="102">
        <f t="shared" si="176"/>
        <v>15</v>
      </c>
      <c r="V195" s="103">
        <f t="shared" si="235"/>
        <v>1.88</v>
      </c>
      <c r="W195" s="101">
        <f t="shared" si="236"/>
        <v>2</v>
      </c>
      <c r="X195" s="102">
        <f t="shared" si="237"/>
        <v>0.75</v>
      </c>
      <c r="Y195" s="100">
        <f t="shared" si="238"/>
        <v>0.25</v>
      </c>
      <c r="Z195" s="101">
        <f t="shared" si="239"/>
        <v>0.45000000000000007</v>
      </c>
      <c r="AA195" s="102">
        <f t="shared" si="240"/>
        <v>2.105</v>
      </c>
      <c r="AB195" s="102">
        <f t="shared" si="241"/>
        <v>1.8844826876360525</v>
      </c>
      <c r="AC195" s="102">
        <v>0</v>
      </c>
      <c r="AD195" s="102">
        <f t="shared" si="242"/>
        <v>3.5512750000000003E-2</v>
      </c>
      <c r="AE195" s="103">
        <f t="shared" si="243"/>
        <v>3.5512750000000003E-2</v>
      </c>
      <c r="AF195" s="101">
        <f t="shared" si="244"/>
        <v>1.41</v>
      </c>
      <c r="AG195" s="97">
        <f t="shared" si="245"/>
        <v>1.6320098804847964</v>
      </c>
      <c r="AH195" s="102">
        <f t="shared" si="246"/>
        <v>0.13802835243166667</v>
      </c>
      <c r="AI195" s="97">
        <f t="shared" si="247"/>
        <v>1.974</v>
      </c>
      <c r="AJ195" s="103">
        <f t="shared" si="248"/>
        <v>2.1120283524316665</v>
      </c>
      <c r="AK195" s="101">
        <f t="shared" si="249"/>
        <v>0.47</v>
      </c>
      <c r="AL195" s="102">
        <f t="shared" si="250"/>
        <v>0.94224134381802616</v>
      </c>
      <c r="AM195" s="102">
        <f t="shared" si="251"/>
        <v>0.15792</v>
      </c>
      <c r="AN195" s="102">
        <f t="shared" si="252"/>
        <v>0.75525000000000009</v>
      </c>
      <c r="AO195" s="103">
        <f t="shared" si="253"/>
        <v>0.91317000000000004</v>
      </c>
      <c r="AP195" s="99">
        <f t="shared" si="254"/>
        <v>0</v>
      </c>
      <c r="AQ195" s="102">
        <f t="shared" si="190"/>
        <v>8.7499999999999994E-2</v>
      </c>
      <c r="AR195" s="103">
        <f t="shared" si="255"/>
        <v>1.155E-2</v>
      </c>
      <c r="AS195" s="99">
        <f t="shared" si="256"/>
        <v>2.2110783524316666</v>
      </c>
      <c r="AT195" s="215">
        <f t="shared" si="257"/>
        <v>157.66470114589998</v>
      </c>
      <c r="AU195" s="216">
        <f t="shared" si="258"/>
        <v>8.5628227162746109E-2</v>
      </c>
      <c r="AV195" s="102">
        <f t="shared" si="259"/>
        <v>22.56</v>
      </c>
      <c r="AW195" s="103">
        <f t="shared" si="260"/>
        <v>91.073951965378953</v>
      </c>
      <c r="AX195" s="32"/>
      <c r="AY195" s="101">
        <f t="shared" si="195"/>
        <v>60</v>
      </c>
      <c r="AZ195" s="102">
        <f t="shared" si="261"/>
        <v>0.376</v>
      </c>
      <c r="BA195" s="102">
        <f t="shared" si="197"/>
        <v>15</v>
      </c>
      <c r="BB195" s="103">
        <f t="shared" si="262"/>
        <v>1.88</v>
      </c>
      <c r="BC195" s="101">
        <f t="shared" si="263"/>
        <v>2</v>
      </c>
      <c r="BD195" s="102">
        <f t="shared" si="264"/>
        <v>0.75</v>
      </c>
      <c r="BE195" s="100">
        <f t="shared" si="265"/>
        <v>0.25</v>
      </c>
      <c r="BF195" s="101">
        <f t="shared" si="266"/>
        <v>0.45000000000000007</v>
      </c>
      <c r="BG195" s="102">
        <f t="shared" si="267"/>
        <v>2.105</v>
      </c>
      <c r="BH195" s="102">
        <f t="shared" si="268"/>
        <v>1.8844826876360525</v>
      </c>
      <c r="BI195" s="102">
        <v>0</v>
      </c>
      <c r="BJ195" s="102">
        <f t="shared" si="269"/>
        <v>3.5512750000000003E-2</v>
      </c>
      <c r="BK195" s="103">
        <f t="shared" si="270"/>
        <v>3.5512750000000003E-2</v>
      </c>
      <c r="BL195" s="101">
        <f t="shared" si="271"/>
        <v>1.41</v>
      </c>
      <c r="BM195" s="97">
        <f t="shared" si="272"/>
        <v>1.6320098804847964</v>
      </c>
      <c r="BN195" s="97">
        <f t="shared" si="273"/>
        <v>0.22806703681303583</v>
      </c>
      <c r="BO195" s="97">
        <f t="shared" si="274"/>
        <v>1.974</v>
      </c>
      <c r="BP195" s="103">
        <f t="shared" si="275"/>
        <v>2.2020670368130357</v>
      </c>
      <c r="BQ195" s="101">
        <f t="shared" si="276"/>
        <v>0.47</v>
      </c>
      <c r="BR195" s="102">
        <f t="shared" si="277"/>
        <v>0.94224134381802616</v>
      </c>
      <c r="BS195" s="102">
        <f t="shared" si="278"/>
        <v>0.15792</v>
      </c>
      <c r="BT195" s="102">
        <f t="shared" si="279"/>
        <v>0.75525000000000009</v>
      </c>
      <c r="BU195" s="103">
        <f t="shared" si="280"/>
        <v>0.91317000000000004</v>
      </c>
      <c r="BV195" s="99">
        <f t="shared" si="281"/>
        <v>0</v>
      </c>
      <c r="BW195" s="102">
        <f t="shared" si="207"/>
        <v>8.7499999999999994E-2</v>
      </c>
      <c r="BX195" s="103">
        <f t="shared" si="282"/>
        <v>1.155E-2</v>
      </c>
      <c r="BY195" s="101">
        <f t="shared" si="283"/>
        <v>3.2497997868130359</v>
      </c>
      <c r="BZ195" s="102">
        <f t="shared" si="284"/>
        <v>22.56</v>
      </c>
      <c r="CA195" s="103">
        <f t="shared" si="285"/>
        <v>87.408659448519046</v>
      </c>
      <c r="CB195" s="51">
        <f t="shared" si="286"/>
        <v>2.3011170368130358</v>
      </c>
      <c r="CC195" s="32">
        <f t="shared" si="287"/>
        <v>105.53909628845625</v>
      </c>
    </row>
    <row r="196" spans="17:81" ht="15" thickBot="1" x14ac:dyDescent="0.35">
      <c r="Q196" s="32">
        <v>189</v>
      </c>
      <c r="S196" s="101">
        <f t="shared" si="175"/>
        <v>60</v>
      </c>
      <c r="T196" s="97">
        <f t="shared" si="234"/>
        <v>0.378</v>
      </c>
      <c r="U196" s="102">
        <f t="shared" si="176"/>
        <v>15</v>
      </c>
      <c r="V196" s="103">
        <f t="shared" si="235"/>
        <v>1.89</v>
      </c>
      <c r="W196" s="101">
        <f t="shared" si="236"/>
        <v>2</v>
      </c>
      <c r="X196" s="102">
        <f t="shared" si="237"/>
        <v>0.75</v>
      </c>
      <c r="Y196" s="100">
        <f t="shared" si="238"/>
        <v>0.25</v>
      </c>
      <c r="Z196" s="101">
        <f t="shared" si="239"/>
        <v>0.45000000000000007</v>
      </c>
      <c r="AA196" s="102">
        <f t="shared" si="240"/>
        <v>2.1149999999999998</v>
      </c>
      <c r="AB196" s="102">
        <f t="shared" si="241"/>
        <v>1.894459025685169</v>
      </c>
      <c r="AC196" s="102">
        <v>0</v>
      </c>
      <c r="AD196" s="102">
        <f t="shared" si="242"/>
        <v>3.5889749999999998E-2</v>
      </c>
      <c r="AE196" s="103">
        <f t="shared" si="243"/>
        <v>3.5889749999999998E-2</v>
      </c>
      <c r="AF196" s="101">
        <f t="shared" si="244"/>
        <v>1.4175</v>
      </c>
      <c r="AG196" s="97">
        <f t="shared" si="245"/>
        <v>1.6406496426720725</v>
      </c>
      <c r="AH196" s="102">
        <f t="shared" si="246"/>
        <v>0.139493648385</v>
      </c>
      <c r="AI196" s="97">
        <f t="shared" si="247"/>
        <v>1.9844999999999999</v>
      </c>
      <c r="AJ196" s="103">
        <f t="shared" si="248"/>
        <v>2.1239936483849999</v>
      </c>
      <c r="AK196" s="101">
        <f t="shared" si="249"/>
        <v>0.47249999999999998</v>
      </c>
      <c r="AL196" s="102">
        <f t="shared" si="250"/>
        <v>0.94722951284258439</v>
      </c>
      <c r="AM196" s="102">
        <f t="shared" si="251"/>
        <v>0.15875999999999998</v>
      </c>
      <c r="AN196" s="102">
        <f t="shared" si="252"/>
        <v>0.75525000000000009</v>
      </c>
      <c r="AO196" s="103">
        <f t="shared" si="253"/>
        <v>0.9140100000000001</v>
      </c>
      <c r="AP196" s="99">
        <f t="shared" si="254"/>
        <v>0</v>
      </c>
      <c r="AQ196" s="102">
        <f t="shared" si="190"/>
        <v>8.7499999999999994E-2</v>
      </c>
      <c r="AR196" s="103">
        <f t="shared" si="255"/>
        <v>1.155E-2</v>
      </c>
      <c r="AS196" s="99">
        <f t="shared" si="256"/>
        <v>2.223043648385</v>
      </c>
      <c r="AT196" s="215">
        <f t="shared" si="257"/>
        <v>158.3826189031</v>
      </c>
      <c r="AU196" s="216">
        <f t="shared" si="258"/>
        <v>8.5803476949695257E-2</v>
      </c>
      <c r="AV196" s="102">
        <f t="shared" si="259"/>
        <v>22.68</v>
      </c>
      <c r="AW196" s="103">
        <f t="shared" si="260"/>
        <v>91.073205027574332</v>
      </c>
      <c r="AX196" s="32"/>
      <c r="AY196" s="101">
        <f t="shared" si="195"/>
        <v>60</v>
      </c>
      <c r="AZ196" s="102">
        <f t="shared" si="261"/>
        <v>0.378</v>
      </c>
      <c r="BA196" s="102">
        <f t="shared" si="197"/>
        <v>15</v>
      </c>
      <c r="BB196" s="103">
        <f t="shared" si="262"/>
        <v>1.89</v>
      </c>
      <c r="BC196" s="101">
        <f t="shared" si="263"/>
        <v>2</v>
      </c>
      <c r="BD196" s="102">
        <f t="shared" si="264"/>
        <v>0.75</v>
      </c>
      <c r="BE196" s="100">
        <f t="shared" si="265"/>
        <v>0.25</v>
      </c>
      <c r="BF196" s="101">
        <f t="shared" si="266"/>
        <v>0.45000000000000007</v>
      </c>
      <c r="BG196" s="102">
        <f t="shared" si="267"/>
        <v>2.1149999999999998</v>
      </c>
      <c r="BH196" s="102">
        <f t="shared" si="268"/>
        <v>1.894459025685169</v>
      </c>
      <c r="BI196" s="102">
        <v>0</v>
      </c>
      <c r="BJ196" s="102">
        <f t="shared" si="269"/>
        <v>3.5889749999999998E-2</v>
      </c>
      <c r="BK196" s="103">
        <f t="shared" si="270"/>
        <v>3.5889749999999998E-2</v>
      </c>
      <c r="BL196" s="101">
        <f t="shared" si="271"/>
        <v>1.4175</v>
      </c>
      <c r="BM196" s="97">
        <f t="shared" si="272"/>
        <v>1.6406496426720725</v>
      </c>
      <c r="BN196" s="97">
        <f t="shared" si="273"/>
        <v>0.23095990026414934</v>
      </c>
      <c r="BO196" s="97">
        <f t="shared" si="274"/>
        <v>1.9844999999999999</v>
      </c>
      <c r="BP196" s="103">
        <f t="shared" si="275"/>
        <v>2.2154599002641491</v>
      </c>
      <c r="BQ196" s="101">
        <f t="shared" si="276"/>
        <v>0.47249999999999998</v>
      </c>
      <c r="BR196" s="102">
        <f t="shared" si="277"/>
        <v>0.94722951284258439</v>
      </c>
      <c r="BS196" s="102">
        <f t="shared" si="278"/>
        <v>0.15875999999999998</v>
      </c>
      <c r="BT196" s="102">
        <f t="shared" si="279"/>
        <v>0.75525000000000009</v>
      </c>
      <c r="BU196" s="103">
        <f t="shared" si="280"/>
        <v>0.9140100000000001</v>
      </c>
      <c r="BV196" s="99">
        <f t="shared" si="281"/>
        <v>0</v>
      </c>
      <c r="BW196" s="102">
        <f t="shared" si="207"/>
        <v>8.7499999999999994E-2</v>
      </c>
      <c r="BX196" s="103">
        <f t="shared" si="282"/>
        <v>1.155E-2</v>
      </c>
      <c r="BY196" s="101">
        <f t="shared" si="283"/>
        <v>3.2644096502641493</v>
      </c>
      <c r="BZ196" s="102">
        <f t="shared" si="284"/>
        <v>22.68</v>
      </c>
      <c r="CA196" s="103">
        <f t="shared" si="285"/>
        <v>87.417676122644352</v>
      </c>
      <c r="CB196" s="51">
        <f t="shared" si="286"/>
        <v>2.3145099002641492</v>
      </c>
      <c r="CC196" s="32">
        <f t="shared" si="287"/>
        <v>106.00784650924523</v>
      </c>
    </row>
    <row r="197" spans="17:81" ht="15" thickBot="1" x14ac:dyDescent="0.35">
      <c r="Q197" s="32">
        <v>190</v>
      </c>
      <c r="S197" s="101">
        <f t="shared" si="175"/>
        <v>60</v>
      </c>
      <c r="T197" s="97">
        <f t="shared" si="234"/>
        <v>0.38</v>
      </c>
      <c r="U197" s="102">
        <f t="shared" si="176"/>
        <v>15</v>
      </c>
      <c r="V197" s="103">
        <f t="shared" si="235"/>
        <v>1.9000000000000001</v>
      </c>
      <c r="W197" s="101">
        <f t="shared" si="236"/>
        <v>2</v>
      </c>
      <c r="X197" s="102">
        <f t="shared" si="237"/>
        <v>0.75</v>
      </c>
      <c r="Y197" s="100">
        <f t="shared" si="238"/>
        <v>0.25</v>
      </c>
      <c r="Z197" s="101">
        <f t="shared" si="239"/>
        <v>0.45000000000000007</v>
      </c>
      <c r="AA197" s="102">
        <f t="shared" si="240"/>
        <v>2.125</v>
      </c>
      <c r="AB197" s="102">
        <f t="shared" si="241"/>
        <v>1.9044356119333623</v>
      </c>
      <c r="AC197" s="102">
        <v>0</v>
      </c>
      <c r="AD197" s="102">
        <f t="shared" si="242"/>
        <v>3.6268750000000002E-2</v>
      </c>
      <c r="AE197" s="103">
        <f t="shared" si="243"/>
        <v>3.6268750000000002E-2</v>
      </c>
      <c r="AF197" s="101">
        <f t="shared" si="244"/>
        <v>1.425</v>
      </c>
      <c r="AG197" s="97">
        <f t="shared" si="245"/>
        <v>1.6492896198060545</v>
      </c>
      <c r="AH197" s="102">
        <f t="shared" si="246"/>
        <v>0.1409667177916667</v>
      </c>
      <c r="AI197" s="97">
        <f t="shared" si="247"/>
        <v>1.9950000000000003</v>
      </c>
      <c r="AJ197" s="103">
        <f t="shared" si="248"/>
        <v>2.1359667177916668</v>
      </c>
      <c r="AK197" s="101">
        <f t="shared" si="249"/>
        <v>0.47500000000000003</v>
      </c>
      <c r="AL197" s="102">
        <f t="shared" si="250"/>
        <v>0.95221780596668104</v>
      </c>
      <c r="AM197" s="102">
        <f t="shared" si="251"/>
        <v>0.15959999999999999</v>
      </c>
      <c r="AN197" s="102">
        <f t="shared" si="252"/>
        <v>0.75525000000000009</v>
      </c>
      <c r="AO197" s="103">
        <f t="shared" si="253"/>
        <v>0.91485000000000005</v>
      </c>
      <c r="AP197" s="99">
        <f t="shared" si="254"/>
        <v>0</v>
      </c>
      <c r="AQ197" s="102">
        <f t="shared" si="190"/>
        <v>8.7499999999999994E-2</v>
      </c>
      <c r="AR197" s="103">
        <f t="shared" si="255"/>
        <v>1.155E-2</v>
      </c>
      <c r="AS197" s="99">
        <f t="shared" si="256"/>
        <v>2.2350167177916669</v>
      </c>
      <c r="AT197" s="215">
        <f t="shared" si="257"/>
        <v>159.10100306750002</v>
      </c>
      <c r="AU197" s="216">
        <f t="shared" si="258"/>
        <v>8.597884059058046E-2</v>
      </c>
      <c r="AV197" s="102">
        <f t="shared" si="259"/>
        <v>22.8</v>
      </c>
      <c r="AW197" s="103">
        <f t="shared" si="260"/>
        <v>91.072437686037958</v>
      </c>
      <c r="AX197" s="32"/>
      <c r="AY197" s="101">
        <f t="shared" si="195"/>
        <v>60</v>
      </c>
      <c r="AZ197" s="102">
        <f t="shared" si="261"/>
        <v>0.38</v>
      </c>
      <c r="BA197" s="102">
        <f t="shared" si="197"/>
        <v>15</v>
      </c>
      <c r="BB197" s="103">
        <f t="shared" si="262"/>
        <v>1.9000000000000001</v>
      </c>
      <c r="BC197" s="101">
        <f t="shared" si="263"/>
        <v>2</v>
      </c>
      <c r="BD197" s="102">
        <f t="shared" si="264"/>
        <v>0.75</v>
      </c>
      <c r="BE197" s="100">
        <f t="shared" si="265"/>
        <v>0.25</v>
      </c>
      <c r="BF197" s="101">
        <f t="shared" si="266"/>
        <v>0.45000000000000007</v>
      </c>
      <c r="BG197" s="102">
        <f t="shared" si="267"/>
        <v>2.125</v>
      </c>
      <c r="BH197" s="102">
        <f t="shared" si="268"/>
        <v>1.9044356119333623</v>
      </c>
      <c r="BI197" s="102">
        <v>0</v>
      </c>
      <c r="BJ197" s="102">
        <f t="shared" si="269"/>
        <v>3.6268750000000002E-2</v>
      </c>
      <c r="BK197" s="103">
        <f t="shared" si="270"/>
        <v>3.6268750000000002E-2</v>
      </c>
      <c r="BL197" s="101">
        <f t="shared" si="271"/>
        <v>1.425</v>
      </c>
      <c r="BM197" s="97">
        <f t="shared" si="272"/>
        <v>1.6492896198060545</v>
      </c>
      <c r="BN197" s="97">
        <f t="shared" si="273"/>
        <v>0.2338758806002211</v>
      </c>
      <c r="BO197" s="97">
        <f t="shared" si="274"/>
        <v>1.9950000000000003</v>
      </c>
      <c r="BP197" s="103">
        <f t="shared" si="275"/>
        <v>2.2288758806002216</v>
      </c>
      <c r="BQ197" s="101">
        <f t="shared" si="276"/>
        <v>0.47500000000000003</v>
      </c>
      <c r="BR197" s="102">
        <f t="shared" si="277"/>
        <v>0.95221780596668104</v>
      </c>
      <c r="BS197" s="102">
        <f t="shared" si="278"/>
        <v>0.15959999999999999</v>
      </c>
      <c r="BT197" s="102">
        <f t="shared" si="279"/>
        <v>0.75525000000000009</v>
      </c>
      <c r="BU197" s="103">
        <f t="shared" si="280"/>
        <v>0.91485000000000005</v>
      </c>
      <c r="BV197" s="99">
        <f t="shared" si="281"/>
        <v>0</v>
      </c>
      <c r="BW197" s="102">
        <f t="shared" si="207"/>
        <v>8.7499999999999994E-2</v>
      </c>
      <c r="BX197" s="103">
        <f t="shared" si="282"/>
        <v>1.155E-2</v>
      </c>
      <c r="BY197" s="101">
        <f t="shared" si="283"/>
        <v>3.2790446306002217</v>
      </c>
      <c r="BZ197" s="102">
        <f t="shared" si="284"/>
        <v>22.8</v>
      </c>
      <c r="CA197" s="103">
        <f t="shared" si="285"/>
        <v>87.426515514480514</v>
      </c>
      <c r="CB197" s="51">
        <f t="shared" si="286"/>
        <v>2.3279258806002217</v>
      </c>
      <c r="CC197" s="32">
        <f t="shared" si="287"/>
        <v>106.47740582100776</v>
      </c>
    </row>
    <row r="198" spans="17:81" ht="15" thickBot="1" x14ac:dyDescent="0.35">
      <c r="Q198" s="32">
        <v>191</v>
      </c>
      <c r="S198" s="101">
        <f t="shared" si="175"/>
        <v>60</v>
      </c>
      <c r="T198" s="97">
        <f t="shared" si="234"/>
        <v>0.38200000000000001</v>
      </c>
      <c r="U198" s="102">
        <f t="shared" si="176"/>
        <v>15</v>
      </c>
      <c r="V198" s="103">
        <f t="shared" si="235"/>
        <v>1.9100000000000001</v>
      </c>
      <c r="W198" s="101">
        <f t="shared" si="236"/>
        <v>2</v>
      </c>
      <c r="X198" s="102">
        <f t="shared" si="237"/>
        <v>0.75</v>
      </c>
      <c r="Y198" s="100">
        <f t="shared" si="238"/>
        <v>0.25</v>
      </c>
      <c r="Z198" s="101">
        <f t="shared" si="239"/>
        <v>0.45000000000000007</v>
      </c>
      <c r="AA198" s="102">
        <f t="shared" si="240"/>
        <v>2.1350000000000002</v>
      </c>
      <c r="AB198" s="102">
        <f t="shared" si="241"/>
        <v>1.9144124425003095</v>
      </c>
      <c r="AC198" s="102">
        <v>0</v>
      </c>
      <c r="AD198" s="102">
        <f t="shared" si="242"/>
        <v>3.6649750000000009E-2</v>
      </c>
      <c r="AE198" s="103">
        <f t="shared" si="243"/>
        <v>3.6649750000000009E-2</v>
      </c>
      <c r="AF198" s="101">
        <f t="shared" si="244"/>
        <v>1.4325000000000001</v>
      </c>
      <c r="AG198" s="97">
        <f t="shared" si="245"/>
        <v>1.6579298085262839</v>
      </c>
      <c r="AH198" s="102">
        <f t="shared" si="246"/>
        <v>0.14244756065166672</v>
      </c>
      <c r="AI198" s="97">
        <f t="shared" si="247"/>
        <v>2.0055000000000001</v>
      </c>
      <c r="AJ198" s="103">
        <f t="shared" si="248"/>
        <v>2.1479475606516667</v>
      </c>
      <c r="AK198" s="101">
        <f t="shared" si="249"/>
        <v>0.47750000000000004</v>
      </c>
      <c r="AL198" s="102">
        <f t="shared" si="250"/>
        <v>0.95720622125015475</v>
      </c>
      <c r="AM198" s="102">
        <f t="shared" si="251"/>
        <v>0.16044</v>
      </c>
      <c r="AN198" s="102">
        <f t="shared" si="252"/>
        <v>0.75525000000000009</v>
      </c>
      <c r="AO198" s="103">
        <f t="shared" si="253"/>
        <v>0.91569000000000011</v>
      </c>
      <c r="AP198" s="99">
        <f t="shared" si="254"/>
        <v>0</v>
      </c>
      <c r="AQ198" s="102">
        <f t="shared" si="190"/>
        <v>8.7499999999999994E-2</v>
      </c>
      <c r="AR198" s="103">
        <f t="shared" si="255"/>
        <v>1.155E-2</v>
      </c>
      <c r="AS198" s="99">
        <f t="shared" si="256"/>
        <v>2.2469975606516668</v>
      </c>
      <c r="AT198" s="215">
        <f t="shared" si="257"/>
        <v>159.81985363910002</v>
      </c>
      <c r="AU198" s="216">
        <f t="shared" si="258"/>
        <v>8.6154318085401735E-2</v>
      </c>
      <c r="AV198" s="102">
        <f t="shared" si="259"/>
        <v>22.92</v>
      </c>
      <c r="AW198" s="103">
        <f t="shared" si="260"/>
        <v>91.071650262465852</v>
      </c>
      <c r="AX198" s="32"/>
      <c r="AY198" s="101">
        <f t="shared" si="195"/>
        <v>60</v>
      </c>
      <c r="AZ198" s="102">
        <f t="shared" si="261"/>
        <v>0.38200000000000001</v>
      </c>
      <c r="BA198" s="102">
        <f t="shared" si="197"/>
        <v>15</v>
      </c>
      <c r="BB198" s="103">
        <f t="shared" si="262"/>
        <v>1.9100000000000001</v>
      </c>
      <c r="BC198" s="101">
        <f t="shared" si="263"/>
        <v>2</v>
      </c>
      <c r="BD198" s="102">
        <f t="shared" si="264"/>
        <v>0.75</v>
      </c>
      <c r="BE198" s="100">
        <f t="shared" si="265"/>
        <v>0.25</v>
      </c>
      <c r="BF198" s="101">
        <f t="shared" si="266"/>
        <v>0.45000000000000007</v>
      </c>
      <c r="BG198" s="102">
        <f t="shared" si="267"/>
        <v>2.1350000000000002</v>
      </c>
      <c r="BH198" s="102">
        <f t="shared" si="268"/>
        <v>1.9144124425003095</v>
      </c>
      <c r="BI198" s="102">
        <v>0</v>
      </c>
      <c r="BJ198" s="102">
        <f t="shared" si="269"/>
        <v>3.6649750000000009E-2</v>
      </c>
      <c r="BK198" s="103">
        <f t="shared" si="270"/>
        <v>3.6649750000000009E-2</v>
      </c>
      <c r="BL198" s="101">
        <f t="shared" si="271"/>
        <v>1.4325000000000001</v>
      </c>
      <c r="BM198" s="97">
        <f t="shared" si="272"/>
        <v>1.6579298085262839</v>
      </c>
      <c r="BN198" s="97">
        <f t="shared" si="273"/>
        <v>0.23681506644378397</v>
      </c>
      <c r="BO198" s="97">
        <f t="shared" si="274"/>
        <v>2.0055000000000001</v>
      </c>
      <c r="BP198" s="103">
        <f t="shared" si="275"/>
        <v>2.2423150664437839</v>
      </c>
      <c r="BQ198" s="101">
        <f t="shared" si="276"/>
        <v>0.47750000000000004</v>
      </c>
      <c r="BR198" s="102">
        <f t="shared" si="277"/>
        <v>0.95720622125015475</v>
      </c>
      <c r="BS198" s="102">
        <f t="shared" si="278"/>
        <v>0.16044</v>
      </c>
      <c r="BT198" s="102">
        <f t="shared" si="279"/>
        <v>0.75525000000000009</v>
      </c>
      <c r="BU198" s="103">
        <f t="shared" si="280"/>
        <v>0.91569000000000011</v>
      </c>
      <c r="BV198" s="99">
        <f t="shared" si="281"/>
        <v>0</v>
      </c>
      <c r="BW198" s="102">
        <f t="shared" si="207"/>
        <v>8.7499999999999994E-2</v>
      </c>
      <c r="BX198" s="103">
        <f t="shared" si="282"/>
        <v>1.155E-2</v>
      </c>
      <c r="BY198" s="101">
        <f t="shared" si="283"/>
        <v>3.2937048164437841</v>
      </c>
      <c r="BZ198" s="102">
        <f t="shared" si="284"/>
        <v>22.92</v>
      </c>
      <c r="CA198" s="103">
        <f t="shared" si="285"/>
        <v>87.435180034614362</v>
      </c>
      <c r="CB198" s="51">
        <f t="shared" si="286"/>
        <v>2.3413650664437839</v>
      </c>
      <c r="CC198" s="32">
        <f t="shared" si="287"/>
        <v>106.94777732553244</v>
      </c>
    </row>
    <row r="199" spans="17:81" ht="15" thickBot="1" x14ac:dyDescent="0.35">
      <c r="Q199" s="32">
        <v>192</v>
      </c>
      <c r="S199" s="101">
        <f t="shared" ref="S199:S262" si="288">VOUT</f>
        <v>60</v>
      </c>
      <c r="T199" s="97">
        <f t="shared" si="234"/>
        <v>0.38400000000000001</v>
      </c>
      <c r="U199" s="102">
        <f t="shared" ref="U199:U262" si="289">VIN_var</f>
        <v>15</v>
      </c>
      <c r="V199" s="103">
        <f t="shared" si="235"/>
        <v>1.92</v>
      </c>
      <c r="W199" s="101">
        <f t="shared" si="236"/>
        <v>2</v>
      </c>
      <c r="X199" s="102">
        <f t="shared" si="237"/>
        <v>0.75</v>
      </c>
      <c r="Y199" s="100">
        <f t="shared" si="238"/>
        <v>0.25</v>
      </c>
      <c r="Z199" s="101">
        <f t="shared" si="239"/>
        <v>0.45000000000000007</v>
      </c>
      <c r="AA199" s="102">
        <f t="shared" si="240"/>
        <v>2.145</v>
      </c>
      <c r="AB199" s="102">
        <f t="shared" si="241"/>
        <v>1.924389513586062</v>
      </c>
      <c r="AC199" s="102">
        <v>0</v>
      </c>
      <c r="AD199" s="102">
        <f t="shared" si="242"/>
        <v>3.7032750000000003E-2</v>
      </c>
      <c r="AE199" s="103">
        <f t="shared" si="243"/>
        <v>3.7032750000000003E-2</v>
      </c>
      <c r="AF199" s="101">
        <f t="shared" si="244"/>
        <v>1.44</v>
      </c>
      <c r="AG199" s="97">
        <f t="shared" si="245"/>
        <v>1.6665702055419087</v>
      </c>
      <c r="AH199" s="102">
        <f t="shared" si="246"/>
        <v>0.14393617696500002</v>
      </c>
      <c r="AI199" s="97">
        <f t="shared" si="247"/>
        <v>2.016</v>
      </c>
      <c r="AJ199" s="103">
        <f t="shared" si="248"/>
        <v>2.1599361769650001</v>
      </c>
      <c r="AK199" s="101">
        <f t="shared" si="249"/>
        <v>0.48</v>
      </c>
      <c r="AL199" s="102">
        <f t="shared" si="250"/>
        <v>0.9621947567930309</v>
      </c>
      <c r="AM199" s="102">
        <f t="shared" si="251"/>
        <v>0.16128000000000001</v>
      </c>
      <c r="AN199" s="102">
        <f t="shared" si="252"/>
        <v>0.75525000000000009</v>
      </c>
      <c r="AO199" s="103">
        <f t="shared" si="253"/>
        <v>0.91653000000000007</v>
      </c>
      <c r="AP199" s="99">
        <f t="shared" si="254"/>
        <v>0</v>
      </c>
      <c r="AQ199" s="102">
        <f t="shared" ref="AQ199:AQ262" si="290">Qg_tot*Vcc*Fsw</f>
        <v>8.7499999999999994E-2</v>
      </c>
      <c r="AR199" s="103">
        <f t="shared" si="255"/>
        <v>1.155E-2</v>
      </c>
      <c r="AS199" s="99">
        <f t="shared" si="256"/>
        <v>2.2589861769650001</v>
      </c>
      <c r="AT199" s="215">
        <f t="shared" si="257"/>
        <v>160.5391706179</v>
      </c>
      <c r="AU199" s="216">
        <f t="shared" si="258"/>
        <v>8.6329909434159094E-2</v>
      </c>
      <c r="AV199" s="102">
        <f t="shared" si="259"/>
        <v>23.04</v>
      </c>
      <c r="AW199" s="103">
        <f t="shared" si="260"/>
        <v>91.070843071878386</v>
      </c>
      <c r="AX199" s="32"/>
      <c r="AY199" s="101">
        <f t="shared" ref="AY199:AY262" si="291">VOUT</f>
        <v>60</v>
      </c>
      <c r="AZ199" s="102">
        <f t="shared" si="261"/>
        <v>0.38400000000000001</v>
      </c>
      <c r="BA199" s="102">
        <f t="shared" ref="BA199:BA262" si="292">VIN_var</f>
        <v>15</v>
      </c>
      <c r="BB199" s="103">
        <f t="shared" si="262"/>
        <v>1.92</v>
      </c>
      <c r="BC199" s="101">
        <f t="shared" si="263"/>
        <v>2</v>
      </c>
      <c r="BD199" s="102">
        <f t="shared" si="264"/>
        <v>0.75</v>
      </c>
      <c r="BE199" s="100">
        <f t="shared" si="265"/>
        <v>0.25</v>
      </c>
      <c r="BF199" s="101">
        <f t="shared" si="266"/>
        <v>0.45000000000000007</v>
      </c>
      <c r="BG199" s="102">
        <f t="shared" si="267"/>
        <v>2.145</v>
      </c>
      <c r="BH199" s="102">
        <f t="shared" si="268"/>
        <v>1.924389513586062</v>
      </c>
      <c r="BI199" s="102">
        <v>0</v>
      </c>
      <c r="BJ199" s="102">
        <f t="shared" si="269"/>
        <v>3.7032750000000003E-2</v>
      </c>
      <c r="BK199" s="103">
        <f t="shared" si="270"/>
        <v>3.7032750000000003E-2</v>
      </c>
      <c r="BL199" s="101">
        <f t="shared" si="271"/>
        <v>1.44</v>
      </c>
      <c r="BM199" s="97">
        <f t="shared" si="272"/>
        <v>1.6665702055419087</v>
      </c>
      <c r="BN199" s="97">
        <f t="shared" si="273"/>
        <v>0.23977754651983912</v>
      </c>
      <c r="BO199" s="97">
        <f t="shared" si="274"/>
        <v>2.016</v>
      </c>
      <c r="BP199" s="103">
        <f t="shared" si="275"/>
        <v>2.2557775465198393</v>
      </c>
      <c r="BQ199" s="101">
        <f t="shared" si="276"/>
        <v>0.48</v>
      </c>
      <c r="BR199" s="102">
        <f t="shared" si="277"/>
        <v>0.9621947567930309</v>
      </c>
      <c r="BS199" s="102">
        <f t="shared" si="278"/>
        <v>0.16128000000000001</v>
      </c>
      <c r="BT199" s="102">
        <f t="shared" si="279"/>
        <v>0.75525000000000009</v>
      </c>
      <c r="BU199" s="103">
        <f t="shared" si="280"/>
        <v>0.91653000000000007</v>
      </c>
      <c r="BV199" s="99">
        <f t="shared" si="281"/>
        <v>0</v>
      </c>
      <c r="BW199" s="102">
        <f t="shared" ref="BW199:BW262" si="293">Qg_tot*Vcc*Fsw</f>
        <v>8.7499999999999994E-2</v>
      </c>
      <c r="BX199" s="103">
        <f t="shared" si="282"/>
        <v>1.155E-2</v>
      </c>
      <c r="BY199" s="101">
        <f t="shared" si="283"/>
        <v>3.3083902965198391</v>
      </c>
      <c r="BZ199" s="102">
        <f t="shared" si="284"/>
        <v>23.04</v>
      </c>
      <c r="CA199" s="103">
        <f t="shared" si="285"/>
        <v>87.44367204490355</v>
      </c>
      <c r="CB199" s="51">
        <f t="shared" si="286"/>
        <v>2.3548275465198394</v>
      </c>
      <c r="CC199" s="32">
        <f t="shared" si="287"/>
        <v>107.41896412819438</v>
      </c>
    </row>
    <row r="200" spans="17:81" ht="15" thickBot="1" x14ac:dyDescent="0.35">
      <c r="Q200" s="32">
        <v>193</v>
      </c>
      <c r="S200" s="101">
        <f t="shared" si="288"/>
        <v>60</v>
      </c>
      <c r="T200" s="97">
        <f t="shared" si="234"/>
        <v>0.38600000000000001</v>
      </c>
      <c r="U200" s="102">
        <f t="shared" si="289"/>
        <v>15</v>
      </c>
      <c r="V200" s="103">
        <f t="shared" si="235"/>
        <v>1.93</v>
      </c>
      <c r="W200" s="101">
        <f t="shared" si="236"/>
        <v>2</v>
      </c>
      <c r="X200" s="102">
        <f t="shared" si="237"/>
        <v>0.75</v>
      </c>
      <c r="Y200" s="100">
        <f t="shared" si="238"/>
        <v>0.25</v>
      </c>
      <c r="Z200" s="101">
        <f t="shared" si="239"/>
        <v>0.45000000000000007</v>
      </c>
      <c r="AA200" s="102">
        <f t="shared" si="240"/>
        <v>2.1549999999999998</v>
      </c>
      <c r="AB200" s="102">
        <f t="shared" si="241"/>
        <v>1.9343668214689789</v>
      </c>
      <c r="AC200" s="102">
        <v>0</v>
      </c>
      <c r="AD200" s="102">
        <f t="shared" si="242"/>
        <v>3.7417750000000007E-2</v>
      </c>
      <c r="AE200" s="103">
        <f t="shared" si="243"/>
        <v>3.7417750000000007E-2</v>
      </c>
      <c r="AF200" s="101">
        <f t="shared" si="244"/>
        <v>1.4475</v>
      </c>
      <c r="AG200" s="97">
        <f t="shared" si="245"/>
        <v>1.6752108076298933</v>
      </c>
      <c r="AH200" s="102">
        <f t="shared" si="246"/>
        <v>0.14543256673166668</v>
      </c>
      <c r="AI200" s="97">
        <f t="shared" si="247"/>
        <v>2.0265</v>
      </c>
      <c r="AJ200" s="103">
        <f t="shared" si="248"/>
        <v>2.1719325667316665</v>
      </c>
      <c r="AK200" s="101">
        <f t="shared" si="249"/>
        <v>0.48249999999999998</v>
      </c>
      <c r="AL200" s="102">
        <f t="shared" si="250"/>
        <v>0.96718341073448932</v>
      </c>
      <c r="AM200" s="102">
        <f t="shared" si="251"/>
        <v>0.16211999999999999</v>
      </c>
      <c r="AN200" s="102">
        <f t="shared" si="252"/>
        <v>0.75525000000000009</v>
      </c>
      <c r="AO200" s="103">
        <f t="shared" si="253"/>
        <v>0.91737000000000002</v>
      </c>
      <c r="AP200" s="99">
        <f t="shared" si="254"/>
        <v>0</v>
      </c>
      <c r="AQ200" s="102">
        <f t="shared" si="290"/>
        <v>8.7499999999999994E-2</v>
      </c>
      <c r="AR200" s="103">
        <f t="shared" si="255"/>
        <v>1.155E-2</v>
      </c>
      <c r="AS200" s="99">
        <f t="shared" si="256"/>
        <v>2.2709825667316665</v>
      </c>
      <c r="AT200" s="215">
        <f t="shared" si="257"/>
        <v>161.25895400389999</v>
      </c>
      <c r="AU200" s="216">
        <f t="shared" si="258"/>
        <v>8.6505614636852496E-2</v>
      </c>
      <c r="AV200" s="102">
        <f t="shared" si="259"/>
        <v>23.16</v>
      </c>
      <c r="AW200" s="103">
        <f t="shared" si="260"/>
        <v>91.070016422792392</v>
      </c>
      <c r="AX200" s="32"/>
      <c r="AY200" s="101">
        <f t="shared" si="291"/>
        <v>60</v>
      </c>
      <c r="AZ200" s="102">
        <f t="shared" si="261"/>
        <v>0.38600000000000001</v>
      </c>
      <c r="BA200" s="102">
        <f t="shared" si="292"/>
        <v>15</v>
      </c>
      <c r="BB200" s="103">
        <f t="shared" si="262"/>
        <v>1.93</v>
      </c>
      <c r="BC200" s="101">
        <f t="shared" si="263"/>
        <v>2</v>
      </c>
      <c r="BD200" s="102">
        <f t="shared" si="264"/>
        <v>0.75</v>
      </c>
      <c r="BE200" s="100">
        <f t="shared" si="265"/>
        <v>0.25</v>
      </c>
      <c r="BF200" s="101">
        <f t="shared" si="266"/>
        <v>0.45000000000000007</v>
      </c>
      <c r="BG200" s="102">
        <f t="shared" si="267"/>
        <v>2.1549999999999998</v>
      </c>
      <c r="BH200" s="102">
        <f t="shared" si="268"/>
        <v>1.9343668214689789</v>
      </c>
      <c r="BI200" s="102">
        <v>0</v>
      </c>
      <c r="BJ200" s="102">
        <f t="shared" si="269"/>
        <v>3.7417750000000007E-2</v>
      </c>
      <c r="BK200" s="103">
        <f t="shared" si="270"/>
        <v>3.7417750000000007E-2</v>
      </c>
      <c r="BL200" s="101">
        <f t="shared" si="271"/>
        <v>1.4475</v>
      </c>
      <c r="BM200" s="97">
        <f t="shared" si="272"/>
        <v>1.6752108076298933</v>
      </c>
      <c r="BN200" s="97">
        <f t="shared" si="273"/>
        <v>0.24276340965585652</v>
      </c>
      <c r="BO200" s="97">
        <f t="shared" si="274"/>
        <v>2.0265</v>
      </c>
      <c r="BP200" s="103">
        <f t="shared" si="275"/>
        <v>2.2692634096558564</v>
      </c>
      <c r="BQ200" s="101">
        <f t="shared" si="276"/>
        <v>0.48249999999999998</v>
      </c>
      <c r="BR200" s="102">
        <f t="shared" si="277"/>
        <v>0.96718341073448932</v>
      </c>
      <c r="BS200" s="102">
        <f t="shared" si="278"/>
        <v>0.16211999999999999</v>
      </c>
      <c r="BT200" s="102">
        <f t="shared" si="279"/>
        <v>0.75525000000000009</v>
      </c>
      <c r="BU200" s="103">
        <f t="shared" si="280"/>
        <v>0.91737000000000002</v>
      </c>
      <c r="BV200" s="99">
        <f t="shared" si="281"/>
        <v>0</v>
      </c>
      <c r="BW200" s="102">
        <f t="shared" si="293"/>
        <v>8.7499999999999994E-2</v>
      </c>
      <c r="BX200" s="103">
        <f t="shared" si="282"/>
        <v>1.155E-2</v>
      </c>
      <c r="BY200" s="101">
        <f t="shared" si="283"/>
        <v>3.3231011596558564</v>
      </c>
      <c r="BZ200" s="102">
        <f t="shared" si="284"/>
        <v>23.16</v>
      </c>
      <c r="CA200" s="103">
        <f t="shared" si="285"/>
        <v>87.451993859698575</v>
      </c>
      <c r="CB200" s="51">
        <f t="shared" si="286"/>
        <v>2.3683134096558565</v>
      </c>
      <c r="CC200" s="32">
        <f t="shared" si="287"/>
        <v>107.89096933795497</v>
      </c>
    </row>
    <row r="201" spans="17:81" ht="15" thickBot="1" x14ac:dyDescent="0.35">
      <c r="Q201" s="32">
        <v>194</v>
      </c>
      <c r="S201" s="101">
        <f t="shared" si="288"/>
        <v>60</v>
      </c>
      <c r="T201" s="97">
        <f t="shared" si="234"/>
        <v>0.38800000000000001</v>
      </c>
      <c r="U201" s="102">
        <f t="shared" si="289"/>
        <v>15</v>
      </c>
      <c r="V201" s="103">
        <f t="shared" si="235"/>
        <v>1.9400000000000002</v>
      </c>
      <c r="W201" s="101">
        <f t="shared" si="236"/>
        <v>2</v>
      </c>
      <c r="X201" s="102">
        <f t="shared" si="237"/>
        <v>0.75</v>
      </c>
      <c r="Y201" s="100">
        <f t="shared" si="238"/>
        <v>0.25</v>
      </c>
      <c r="Z201" s="101">
        <f t="shared" si="239"/>
        <v>0.45000000000000007</v>
      </c>
      <c r="AA201" s="102">
        <f t="shared" si="240"/>
        <v>2.165</v>
      </c>
      <c r="AB201" s="102">
        <f t="shared" si="241"/>
        <v>1.9443443625037209</v>
      </c>
      <c r="AC201" s="102">
        <v>0</v>
      </c>
      <c r="AD201" s="102">
        <f t="shared" si="242"/>
        <v>3.7804750000000012E-2</v>
      </c>
      <c r="AE201" s="103">
        <f t="shared" si="243"/>
        <v>3.7804750000000012E-2</v>
      </c>
      <c r="AF201" s="101">
        <f t="shared" si="244"/>
        <v>1.4550000000000001</v>
      </c>
      <c r="AG201" s="97">
        <f t="shared" si="245"/>
        <v>1.6838516116332816</v>
      </c>
      <c r="AH201" s="102">
        <f t="shared" si="246"/>
        <v>0.14693672995166671</v>
      </c>
      <c r="AI201" s="97">
        <f t="shared" si="247"/>
        <v>2.0369999999999999</v>
      </c>
      <c r="AJ201" s="103">
        <f t="shared" si="248"/>
        <v>2.1839367299516668</v>
      </c>
      <c r="AK201" s="101">
        <f t="shared" si="249"/>
        <v>0.48500000000000004</v>
      </c>
      <c r="AL201" s="102">
        <f t="shared" si="250"/>
        <v>0.97217218125186033</v>
      </c>
      <c r="AM201" s="102">
        <f t="shared" si="251"/>
        <v>0.16295999999999999</v>
      </c>
      <c r="AN201" s="102">
        <f t="shared" si="252"/>
        <v>0.75525000000000009</v>
      </c>
      <c r="AO201" s="103">
        <f t="shared" si="253"/>
        <v>0.91821000000000008</v>
      </c>
      <c r="AP201" s="99">
        <f t="shared" si="254"/>
        <v>0</v>
      </c>
      <c r="AQ201" s="102">
        <f t="shared" si="290"/>
        <v>8.7499999999999994E-2</v>
      </c>
      <c r="AR201" s="103">
        <f t="shared" si="255"/>
        <v>1.155E-2</v>
      </c>
      <c r="AS201" s="99">
        <f t="shared" si="256"/>
        <v>2.2829867299516668</v>
      </c>
      <c r="AT201" s="215">
        <f t="shared" si="257"/>
        <v>161.97920379710001</v>
      </c>
      <c r="AU201" s="216">
        <f t="shared" si="258"/>
        <v>8.6681433693481982E-2</v>
      </c>
      <c r="AV201" s="102">
        <f t="shared" si="259"/>
        <v>23.28</v>
      </c>
      <c r="AW201" s="103">
        <f t="shared" si="260"/>
        <v>91.069170617388252</v>
      </c>
      <c r="AX201" s="32"/>
      <c r="AY201" s="101">
        <f t="shared" si="291"/>
        <v>60</v>
      </c>
      <c r="AZ201" s="102">
        <f t="shared" si="261"/>
        <v>0.38800000000000001</v>
      </c>
      <c r="BA201" s="102">
        <f t="shared" si="292"/>
        <v>15</v>
      </c>
      <c r="BB201" s="103">
        <f t="shared" si="262"/>
        <v>1.9400000000000002</v>
      </c>
      <c r="BC201" s="101">
        <f t="shared" si="263"/>
        <v>2</v>
      </c>
      <c r="BD201" s="102">
        <f t="shared" si="264"/>
        <v>0.75</v>
      </c>
      <c r="BE201" s="100">
        <f t="shared" si="265"/>
        <v>0.25</v>
      </c>
      <c r="BF201" s="101">
        <f t="shared" si="266"/>
        <v>0.45000000000000007</v>
      </c>
      <c r="BG201" s="102">
        <f t="shared" si="267"/>
        <v>2.165</v>
      </c>
      <c r="BH201" s="102">
        <f t="shared" si="268"/>
        <v>1.9443443625037209</v>
      </c>
      <c r="BI201" s="102">
        <v>0</v>
      </c>
      <c r="BJ201" s="102">
        <f t="shared" si="269"/>
        <v>3.7804750000000012E-2</v>
      </c>
      <c r="BK201" s="103">
        <f t="shared" si="270"/>
        <v>3.7804750000000012E-2</v>
      </c>
      <c r="BL201" s="101">
        <f t="shared" si="271"/>
        <v>1.4550000000000001</v>
      </c>
      <c r="BM201" s="97">
        <f t="shared" si="272"/>
        <v>1.6838516116332816</v>
      </c>
      <c r="BN201" s="97">
        <f t="shared" si="273"/>
        <v>0.24577274478177472</v>
      </c>
      <c r="BO201" s="97">
        <f t="shared" si="274"/>
        <v>2.0369999999999999</v>
      </c>
      <c r="BP201" s="103">
        <f t="shared" si="275"/>
        <v>2.2827727447817745</v>
      </c>
      <c r="BQ201" s="101">
        <f t="shared" si="276"/>
        <v>0.48500000000000004</v>
      </c>
      <c r="BR201" s="102">
        <f t="shared" si="277"/>
        <v>0.97217218125186033</v>
      </c>
      <c r="BS201" s="102">
        <f t="shared" si="278"/>
        <v>0.16295999999999999</v>
      </c>
      <c r="BT201" s="102">
        <f t="shared" si="279"/>
        <v>0.75525000000000009</v>
      </c>
      <c r="BU201" s="103">
        <f t="shared" si="280"/>
        <v>0.91821000000000008</v>
      </c>
      <c r="BV201" s="99">
        <f t="shared" si="281"/>
        <v>0</v>
      </c>
      <c r="BW201" s="102">
        <f t="shared" si="293"/>
        <v>8.7499999999999994E-2</v>
      </c>
      <c r="BX201" s="103">
        <f t="shared" si="282"/>
        <v>1.155E-2</v>
      </c>
      <c r="BY201" s="101">
        <f t="shared" si="283"/>
        <v>3.3378374947817746</v>
      </c>
      <c r="BZ201" s="102">
        <f t="shared" si="284"/>
        <v>23.28</v>
      </c>
      <c r="CA201" s="103">
        <f t="shared" si="285"/>
        <v>87.460147747028174</v>
      </c>
      <c r="CB201" s="51">
        <f t="shared" si="286"/>
        <v>2.3818227447817746</v>
      </c>
      <c r="CC201" s="32">
        <f t="shared" si="287"/>
        <v>108.36379606736212</v>
      </c>
    </row>
    <row r="202" spans="17:81" ht="15" thickBot="1" x14ac:dyDescent="0.35">
      <c r="Q202" s="32">
        <v>195</v>
      </c>
      <c r="S202" s="101">
        <f t="shared" si="288"/>
        <v>60</v>
      </c>
      <c r="T202" s="97">
        <f t="shared" si="234"/>
        <v>0.39</v>
      </c>
      <c r="U202" s="102">
        <f t="shared" si="289"/>
        <v>15</v>
      </c>
      <c r="V202" s="103">
        <f t="shared" si="235"/>
        <v>1.9500000000000002</v>
      </c>
      <c r="W202" s="101">
        <f t="shared" si="236"/>
        <v>2</v>
      </c>
      <c r="X202" s="102">
        <f t="shared" si="237"/>
        <v>0.75</v>
      </c>
      <c r="Y202" s="100">
        <f t="shared" si="238"/>
        <v>0.25</v>
      </c>
      <c r="Z202" s="101">
        <f t="shared" si="239"/>
        <v>0.45000000000000007</v>
      </c>
      <c r="AA202" s="102">
        <f t="shared" si="240"/>
        <v>2.1750000000000003</v>
      </c>
      <c r="AB202" s="102">
        <f t="shared" si="241"/>
        <v>1.9543221331193077</v>
      </c>
      <c r="AC202" s="102">
        <v>0</v>
      </c>
      <c r="AD202" s="102">
        <f t="shared" si="242"/>
        <v>3.8193750000000012E-2</v>
      </c>
      <c r="AE202" s="103">
        <f t="shared" si="243"/>
        <v>3.8193750000000012E-2</v>
      </c>
      <c r="AF202" s="101">
        <f t="shared" si="244"/>
        <v>1.4625000000000001</v>
      </c>
      <c r="AG202" s="97">
        <f t="shared" si="245"/>
        <v>1.6924926144595138</v>
      </c>
      <c r="AH202" s="102">
        <f t="shared" si="246"/>
        <v>0.14844866662500009</v>
      </c>
      <c r="AI202" s="97">
        <f t="shared" si="247"/>
        <v>2.0475000000000003</v>
      </c>
      <c r="AJ202" s="103">
        <f t="shared" si="248"/>
        <v>2.1959486666250005</v>
      </c>
      <c r="AK202" s="101">
        <f t="shared" si="249"/>
        <v>0.48750000000000004</v>
      </c>
      <c r="AL202" s="102">
        <f t="shared" si="250"/>
        <v>0.97716106655965373</v>
      </c>
      <c r="AM202" s="102">
        <f t="shared" si="251"/>
        <v>0.1638</v>
      </c>
      <c r="AN202" s="102">
        <f t="shared" si="252"/>
        <v>0.75525000000000009</v>
      </c>
      <c r="AO202" s="103">
        <f t="shared" si="253"/>
        <v>0.91905000000000014</v>
      </c>
      <c r="AP202" s="99">
        <f t="shared" si="254"/>
        <v>0</v>
      </c>
      <c r="AQ202" s="102">
        <f t="shared" si="290"/>
        <v>8.7499999999999994E-2</v>
      </c>
      <c r="AR202" s="103">
        <f t="shared" si="255"/>
        <v>1.155E-2</v>
      </c>
      <c r="AS202" s="99">
        <f t="shared" si="256"/>
        <v>2.2949986666250006</v>
      </c>
      <c r="AT202" s="215">
        <f t="shared" si="257"/>
        <v>162.69991999750005</v>
      </c>
      <c r="AU202" s="216">
        <f t="shared" si="258"/>
        <v>8.685736660404754E-2</v>
      </c>
      <c r="AV202" s="102">
        <f t="shared" si="259"/>
        <v>23.400000000000002</v>
      </c>
      <c r="AW202" s="103">
        <f t="shared" si="260"/>
        <v>91.068305951671618</v>
      </c>
      <c r="AX202" s="32"/>
      <c r="AY202" s="101">
        <f t="shared" si="291"/>
        <v>60</v>
      </c>
      <c r="AZ202" s="102">
        <f t="shared" si="261"/>
        <v>0.39</v>
      </c>
      <c r="BA202" s="102">
        <f t="shared" si="292"/>
        <v>15</v>
      </c>
      <c r="BB202" s="103">
        <f t="shared" si="262"/>
        <v>1.9500000000000002</v>
      </c>
      <c r="BC202" s="101">
        <f t="shared" si="263"/>
        <v>2</v>
      </c>
      <c r="BD202" s="102">
        <f t="shared" si="264"/>
        <v>0.75</v>
      </c>
      <c r="BE202" s="100">
        <f t="shared" si="265"/>
        <v>0.25</v>
      </c>
      <c r="BF202" s="101">
        <f t="shared" si="266"/>
        <v>0.45000000000000007</v>
      </c>
      <c r="BG202" s="102">
        <f t="shared" si="267"/>
        <v>2.1750000000000003</v>
      </c>
      <c r="BH202" s="102">
        <f t="shared" si="268"/>
        <v>1.9543221331193077</v>
      </c>
      <c r="BI202" s="102">
        <v>0</v>
      </c>
      <c r="BJ202" s="102">
        <f t="shared" si="269"/>
        <v>3.8193750000000012E-2</v>
      </c>
      <c r="BK202" s="103">
        <f t="shared" si="270"/>
        <v>3.8193750000000012E-2</v>
      </c>
      <c r="BL202" s="101">
        <f t="shared" si="271"/>
        <v>1.4625000000000001</v>
      </c>
      <c r="BM202" s="97">
        <f t="shared" si="272"/>
        <v>1.6924926144595138</v>
      </c>
      <c r="BN202" s="97">
        <f t="shared" si="273"/>
        <v>0.2488056409300006</v>
      </c>
      <c r="BO202" s="97">
        <f t="shared" si="274"/>
        <v>2.0475000000000003</v>
      </c>
      <c r="BP202" s="103">
        <f t="shared" si="275"/>
        <v>2.2963056409300009</v>
      </c>
      <c r="BQ202" s="101">
        <f t="shared" si="276"/>
        <v>0.48750000000000004</v>
      </c>
      <c r="BR202" s="102">
        <f t="shared" si="277"/>
        <v>0.97716106655965373</v>
      </c>
      <c r="BS202" s="102">
        <f t="shared" si="278"/>
        <v>0.1638</v>
      </c>
      <c r="BT202" s="102">
        <f t="shared" si="279"/>
        <v>0.75525000000000009</v>
      </c>
      <c r="BU202" s="103">
        <f t="shared" si="280"/>
        <v>0.91905000000000014</v>
      </c>
      <c r="BV202" s="99">
        <f t="shared" si="281"/>
        <v>0</v>
      </c>
      <c r="BW202" s="102">
        <f t="shared" si="293"/>
        <v>8.7499999999999994E-2</v>
      </c>
      <c r="BX202" s="103">
        <f t="shared" si="282"/>
        <v>1.155E-2</v>
      </c>
      <c r="BY202" s="101">
        <f t="shared" si="283"/>
        <v>3.3525993909300014</v>
      </c>
      <c r="BZ202" s="102">
        <f t="shared" si="284"/>
        <v>23.400000000000002</v>
      </c>
      <c r="CA202" s="103">
        <f t="shared" si="285"/>
        <v>87.468135929749536</v>
      </c>
      <c r="CB202" s="51">
        <f t="shared" si="286"/>
        <v>2.395355640930001</v>
      </c>
      <c r="CC202" s="32">
        <f t="shared" si="287"/>
        <v>108.83744743255004</v>
      </c>
    </row>
    <row r="203" spans="17:81" ht="15" thickBot="1" x14ac:dyDescent="0.35">
      <c r="Q203" s="32">
        <v>196</v>
      </c>
      <c r="S203" s="101">
        <f t="shared" si="288"/>
        <v>60</v>
      </c>
      <c r="T203" s="97">
        <f t="shared" si="234"/>
        <v>0.39200000000000002</v>
      </c>
      <c r="U203" s="102">
        <f t="shared" si="289"/>
        <v>15</v>
      </c>
      <c r="V203" s="103">
        <f t="shared" si="235"/>
        <v>1.96</v>
      </c>
      <c r="W203" s="101">
        <f t="shared" si="236"/>
        <v>2</v>
      </c>
      <c r="X203" s="102">
        <f t="shared" si="237"/>
        <v>0.75</v>
      </c>
      <c r="Y203" s="100">
        <f t="shared" si="238"/>
        <v>0.25</v>
      </c>
      <c r="Z203" s="101">
        <f t="shared" si="239"/>
        <v>0.45000000000000007</v>
      </c>
      <c r="AA203" s="102">
        <f t="shared" si="240"/>
        <v>2.1850000000000001</v>
      </c>
      <c r="AB203" s="102">
        <f t="shared" si="241"/>
        <v>1.9643001298172333</v>
      </c>
      <c r="AC203" s="102">
        <v>0</v>
      </c>
      <c r="AD203" s="102">
        <f t="shared" si="242"/>
        <v>3.8584750000000001E-2</v>
      </c>
      <c r="AE203" s="103">
        <f t="shared" si="243"/>
        <v>3.8584750000000001E-2</v>
      </c>
      <c r="AF203" s="101">
        <f t="shared" si="244"/>
        <v>1.47</v>
      </c>
      <c r="AG203" s="97">
        <f t="shared" si="245"/>
        <v>1.701133813078795</v>
      </c>
      <c r="AH203" s="102">
        <f t="shared" si="246"/>
        <v>0.14996837675166674</v>
      </c>
      <c r="AI203" s="97">
        <f t="shared" si="247"/>
        <v>2.0579999999999998</v>
      </c>
      <c r="AJ203" s="103">
        <f t="shared" si="248"/>
        <v>2.2079683767516665</v>
      </c>
      <c r="AK203" s="101">
        <f t="shared" si="249"/>
        <v>0.49</v>
      </c>
      <c r="AL203" s="102">
        <f t="shared" si="250"/>
        <v>0.98215006490861678</v>
      </c>
      <c r="AM203" s="102">
        <f t="shared" si="251"/>
        <v>0.16464000000000001</v>
      </c>
      <c r="AN203" s="102">
        <f t="shared" si="252"/>
        <v>0.75525000000000009</v>
      </c>
      <c r="AO203" s="103">
        <f t="shared" si="253"/>
        <v>0.9198900000000001</v>
      </c>
      <c r="AP203" s="99">
        <f t="shared" si="254"/>
        <v>0</v>
      </c>
      <c r="AQ203" s="102">
        <f t="shared" si="290"/>
        <v>8.7499999999999994E-2</v>
      </c>
      <c r="AR203" s="103">
        <f t="shared" si="255"/>
        <v>1.155E-2</v>
      </c>
      <c r="AS203" s="99">
        <f t="shared" si="256"/>
        <v>2.3070183767516665</v>
      </c>
      <c r="AT203" s="215">
        <f t="shared" si="257"/>
        <v>163.4211026051</v>
      </c>
      <c r="AU203" s="216">
        <f t="shared" si="258"/>
        <v>8.7033413368549153E-2</v>
      </c>
      <c r="AV203" s="102">
        <f t="shared" si="259"/>
        <v>23.52</v>
      </c>
      <c r="AW203" s="103">
        <f t="shared" si="260"/>
        <v>91.067422715630457</v>
      </c>
      <c r="AX203" s="32"/>
      <c r="AY203" s="101">
        <f t="shared" si="291"/>
        <v>60</v>
      </c>
      <c r="AZ203" s="102">
        <f t="shared" si="261"/>
        <v>0.39200000000000002</v>
      </c>
      <c r="BA203" s="102">
        <f t="shared" si="292"/>
        <v>15</v>
      </c>
      <c r="BB203" s="103">
        <f t="shared" si="262"/>
        <v>1.96</v>
      </c>
      <c r="BC203" s="101">
        <f t="shared" si="263"/>
        <v>2</v>
      </c>
      <c r="BD203" s="102">
        <f t="shared" si="264"/>
        <v>0.75</v>
      </c>
      <c r="BE203" s="100">
        <f t="shared" si="265"/>
        <v>0.25</v>
      </c>
      <c r="BF203" s="101">
        <f t="shared" si="266"/>
        <v>0.45000000000000007</v>
      </c>
      <c r="BG203" s="102">
        <f t="shared" si="267"/>
        <v>2.1850000000000001</v>
      </c>
      <c r="BH203" s="102">
        <f t="shared" si="268"/>
        <v>1.9643001298172333</v>
      </c>
      <c r="BI203" s="102">
        <v>0</v>
      </c>
      <c r="BJ203" s="102">
        <f t="shared" si="269"/>
        <v>3.8584750000000001E-2</v>
      </c>
      <c r="BK203" s="103">
        <f t="shared" si="270"/>
        <v>3.8584750000000001E-2</v>
      </c>
      <c r="BL203" s="101">
        <f t="shared" si="271"/>
        <v>1.47</v>
      </c>
      <c r="BM203" s="97">
        <f t="shared" si="272"/>
        <v>1.701133813078795</v>
      </c>
      <c r="BN203" s="97">
        <f t="shared" si="273"/>
        <v>0.2518621872354096</v>
      </c>
      <c r="BO203" s="97">
        <f t="shared" si="274"/>
        <v>2.0579999999999998</v>
      </c>
      <c r="BP203" s="103">
        <f t="shared" si="275"/>
        <v>2.3098621872354093</v>
      </c>
      <c r="BQ203" s="101">
        <f t="shared" si="276"/>
        <v>0.49</v>
      </c>
      <c r="BR203" s="102">
        <f t="shared" si="277"/>
        <v>0.98215006490861678</v>
      </c>
      <c r="BS203" s="102">
        <f t="shared" si="278"/>
        <v>0.16464000000000001</v>
      </c>
      <c r="BT203" s="102">
        <f t="shared" si="279"/>
        <v>0.75525000000000009</v>
      </c>
      <c r="BU203" s="103">
        <f t="shared" si="280"/>
        <v>0.9198900000000001</v>
      </c>
      <c r="BV203" s="99">
        <f t="shared" si="281"/>
        <v>0</v>
      </c>
      <c r="BW203" s="102">
        <f t="shared" si="293"/>
        <v>8.7499999999999994E-2</v>
      </c>
      <c r="BX203" s="103">
        <f t="shared" si="282"/>
        <v>1.155E-2</v>
      </c>
      <c r="BY203" s="101">
        <f t="shared" si="283"/>
        <v>3.3673869372354095</v>
      </c>
      <c r="BZ203" s="102">
        <f t="shared" si="284"/>
        <v>23.52</v>
      </c>
      <c r="CA203" s="103">
        <f t="shared" si="285"/>
        <v>87.475960586664399</v>
      </c>
      <c r="CB203" s="51">
        <f t="shared" si="286"/>
        <v>2.4089121872354093</v>
      </c>
      <c r="CC203" s="32">
        <f t="shared" si="287"/>
        <v>109.31192655323933</v>
      </c>
    </row>
    <row r="204" spans="17:81" ht="15" thickBot="1" x14ac:dyDescent="0.35">
      <c r="Q204" s="32">
        <v>197</v>
      </c>
      <c r="S204" s="101">
        <f t="shared" si="288"/>
        <v>60</v>
      </c>
      <c r="T204" s="97">
        <f t="shared" si="234"/>
        <v>0.39400000000000002</v>
      </c>
      <c r="U204" s="102">
        <f t="shared" si="289"/>
        <v>15</v>
      </c>
      <c r="V204" s="103">
        <f t="shared" si="235"/>
        <v>1.97</v>
      </c>
      <c r="W204" s="101">
        <f t="shared" si="236"/>
        <v>2</v>
      </c>
      <c r="X204" s="102">
        <f t="shared" si="237"/>
        <v>0.75</v>
      </c>
      <c r="Y204" s="100">
        <f t="shared" si="238"/>
        <v>0.25</v>
      </c>
      <c r="Z204" s="101">
        <f t="shared" si="239"/>
        <v>0.45000000000000007</v>
      </c>
      <c r="AA204" s="102">
        <f t="shared" si="240"/>
        <v>2.1949999999999998</v>
      </c>
      <c r="AB204" s="102">
        <f t="shared" si="241"/>
        <v>1.9742783491696403</v>
      </c>
      <c r="AC204" s="102">
        <v>0</v>
      </c>
      <c r="AD204" s="102">
        <f t="shared" si="242"/>
        <v>3.8977750000000005E-2</v>
      </c>
      <c r="AE204" s="103">
        <f t="shared" si="243"/>
        <v>3.8977750000000005E-2</v>
      </c>
      <c r="AF204" s="101">
        <f t="shared" si="244"/>
        <v>1.4775</v>
      </c>
      <c r="AG204" s="97">
        <f t="shared" si="245"/>
        <v>1.7097752045225125</v>
      </c>
      <c r="AH204" s="102">
        <f t="shared" si="246"/>
        <v>0.15149586033166668</v>
      </c>
      <c r="AI204" s="97">
        <f t="shared" si="247"/>
        <v>2.0684999999999998</v>
      </c>
      <c r="AJ204" s="103">
        <f t="shared" si="248"/>
        <v>2.2199958603316663</v>
      </c>
      <c r="AK204" s="101">
        <f t="shared" si="249"/>
        <v>0.49249999999999999</v>
      </c>
      <c r="AL204" s="102">
        <f t="shared" si="250"/>
        <v>0.98713917458482003</v>
      </c>
      <c r="AM204" s="102">
        <f t="shared" si="251"/>
        <v>0.16547999999999999</v>
      </c>
      <c r="AN204" s="102">
        <f t="shared" si="252"/>
        <v>0.75525000000000009</v>
      </c>
      <c r="AO204" s="103">
        <f t="shared" si="253"/>
        <v>0.92073000000000005</v>
      </c>
      <c r="AP204" s="99">
        <f t="shared" si="254"/>
        <v>0</v>
      </c>
      <c r="AQ204" s="102">
        <f t="shared" si="290"/>
        <v>8.7499999999999994E-2</v>
      </c>
      <c r="AR204" s="103">
        <f t="shared" si="255"/>
        <v>1.155E-2</v>
      </c>
      <c r="AS204" s="99">
        <f t="shared" si="256"/>
        <v>2.3190458603316664</v>
      </c>
      <c r="AT204" s="215">
        <f t="shared" si="257"/>
        <v>164.14275161989997</v>
      </c>
      <c r="AU204" s="216">
        <f t="shared" si="258"/>
        <v>8.7209573986986852E-2</v>
      </c>
      <c r="AV204" s="102">
        <f t="shared" si="259"/>
        <v>23.64</v>
      </c>
      <c r="AW204" s="103">
        <f t="shared" si="260"/>
        <v>91.066521193387047</v>
      </c>
      <c r="AX204" s="32"/>
      <c r="AY204" s="101">
        <f t="shared" si="291"/>
        <v>60</v>
      </c>
      <c r="AZ204" s="102">
        <f t="shared" si="261"/>
        <v>0.39400000000000002</v>
      </c>
      <c r="BA204" s="102">
        <f t="shared" si="292"/>
        <v>15</v>
      </c>
      <c r="BB204" s="103">
        <f t="shared" si="262"/>
        <v>1.97</v>
      </c>
      <c r="BC204" s="101">
        <f t="shared" si="263"/>
        <v>2</v>
      </c>
      <c r="BD204" s="102">
        <f t="shared" si="264"/>
        <v>0.75</v>
      </c>
      <c r="BE204" s="100">
        <f t="shared" si="265"/>
        <v>0.25</v>
      </c>
      <c r="BF204" s="101">
        <f t="shared" si="266"/>
        <v>0.45000000000000007</v>
      </c>
      <c r="BG204" s="102">
        <f t="shared" si="267"/>
        <v>2.1949999999999998</v>
      </c>
      <c r="BH204" s="102">
        <f t="shared" si="268"/>
        <v>1.9742783491696403</v>
      </c>
      <c r="BI204" s="102">
        <v>0</v>
      </c>
      <c r="BJ204" s="102">
        <f t="shared" si="269"/>
        <v>3.8977750000000005E-2</v>
      </c>
      <c r="BK204" s="103">
        <f t="shared" si="270"/>
        <v>3.8977750000000005E-2</v>
      </c>
      <c r="BL204" s="101">
        <f t="shared" si="271"/>
        <v>1.4775</v>
      </c>
      <c r="BM204" s="97">
        <f t="shared" si="272"/>
        <v>1.7097752045225125</v>
      </c>
      <c r="BN204" s="97">
        <f t="shared" si="273"/>
        <v>0.25494247293534572</v>
      </c>
      <c r="BO204" s="97">
        <f t="shared" si="274"/>
        <v>2.0684999999999998</v>
      </c>
      <c r="BP204" s="103">
        <f t="shared" si="275"/>
        <v>2.3234424729353456</v>
      </c>
      <c r="BQ204" s="101">
        <f t="shared" si="276"/>
        <v>0.49249999999999999</v>
      </c>
      <c r="BR204" s="102">
        <f t="shared" si="277"/>
        <v>0.98713917458482003</v>
      </c>
      <c r="BS204" s="102">
        <f t="shared" si="278"/>
        <v>0.16547999999999999</v>
      </c>
      <c r="BT204" s="102">
        <f t="shared" si="279"/>
        <v>0.75525000000000009</v>
      </c>
      <c r="BU204" s="103">
        <f t="shared" si="280"/>
        <v>0.92073000000000005</v>
      </c>
      <c r="BV204" s="99">
        <f t="shared" si="281"/>
        <v>0</v>
      </c>
      <c r="BW204" s="102">
        <f t="shared" si="293"/>
        <v>8.7499999999999994E-2</v>
      </c>
      <c r="BX204" s="103">
        <f t="shared" si="282"/>
        <v>1.155E-2</v>
      </c>
      <c r="BY204" s="101">
        <f t="shared" si="283"/>
        <v>3.3822002229353458</v>
      </c>
      <c r="BZ204" s="102">
        <f t="shared" si="284"/>
        <v>23.64</v>
      </c>
      <c r="CA204" s="103">
        <f t="shared" si="285"/>
        <v>87.483623853602154</v>
      </c>
      <c r="CB204" s="51">
        <f t="shared" si="286"/>
        <v>2.4224924729353456</v>
      </c>
      <c r="CC204" s="32">
        <f t="shared" si="287"/>
        <v>109.7872365527371</v>
      </c>
    </row>
    <row r="205" spans="17:81" ht="15" thickBot="1" x14ac:dyDescent="0.35">
      <c r="Q205" s="32">
        <v>198</v>
      </c>
      <c r="S205" s="101">
        <f t="shared" si="288"/>
        <v>60</v>
      </c>
      <c r="T205" s="97">
        <f t="shared" si="234"/>
        <v>0.39600000000000002</v>
      </c>
      <c r="U205" s="102">
        <f t="shared" si="289"/>
        <v>15</v>
      </c>
      <c r="V205" s="103">
        <f t="shared" si="235"/>
        <v>1.9800000000000002</v>
      </c>
      <c r="W205" s="101">
        <f t="shared" si="236"/>
        <v>2</v>
      </c>
      <c r="X205" s="102">
        <f t="shared" si="237"/>
        <v>0.75</v>
      </c>
      <c r="Y205" s="100">
        <f t="shared" si="238"/>
        <v>0.25</v>
      </c>
      <c r="Z205" s="101">
        <f t="shared" si="239"/>
        <v>0.45000000000000007</v>
      </c>
      <c r="AA205" s="102">
        <f t="shared" si="240"/>
        <v>2.2050000000000001</v>
      </c>
      <c r="AB205" s="102">
        <f t="shared" si="241"/>
        <v>1.9842567878175448</v>
      </c>
      <c r="AC205" s="102">
        <v>0</v>
      </c>
      <c r="AD205" s="102">
        <f t="shared" si="242"/>
        <v>3.9372750000000012E-2</v>
      </c>
      <c r="AE205" s="103">
        <f t="shared" si="243"/>
        <v>3.9372750000000012E-2</v>
      </c>
      <c r="AF205" s="101">
        <f t="shared" si="244"/>
        <v>1.4850000000000001</v>
      </c>
      <c r="AG205" s="97">
        <f t="shared" si="245"/>
        <v>1.7184167858817021</v>
      </c>
      <c r="AH205" s="102">
        <f t="shared" si="246"/>
        <v>0.15303111736500002</v>
      </c>
      <c r="AI205" s="97">
        <f t="shared" si="247"/>
        <v>2.0789999999999997</v>
      </c>
      <c r="AJ205" s="103">
        <f t="shared" si="248"/>
        <v>2.2320311173649996</v>
      </c>
      <c r="AK205" s="101">
        <f t="shared" si="249"/>
        <v>0.49500000000000005</v>
      </c>
      <c r="AL205" s="102">
        <f t="shared" si="250"/>
        <v>0.99212839390877228</v>
      </c>
      <c r="AM205" s="102">
        <f t="shared" si="251"/>
        <v>0.16632</v>
      </c>
      <c r="AN205" s="102">
        <f t="shared" si="252"/>
        <v>0.75525000000000009</v>
      </c>
      <c r="AO205" s="103">
        <f t="shared" si="253"/>
        <v>0.92157000000000011</v>
      </c>
      <c r="AP205" s="99">
        <f t="shared" si="254"/>
        <v>0</v>
      </c>
      <c r="AQ205" s="102">
        <f t="shared" si="290"/>
        <v>8.7499999999999994E-2</v>
      </c>
      <c r="AR205" s="103">
        <f t="shared" si="255"/>
        <v>1.155E-2</v>
      </c>
      <c r="AS205" s="99">
        <f t="shared" si="256"/>
        <v>2.3310811173649997</v>
      </c>
      <c r="AT205" s="215">
        <f t="shared" si="257"/>
        <v>164.86486704189997</v>
      </c>
      <c r="AU205" s="216">
        <f t="shared" si="258"/>
        <v>8.7385848459360607E-2</v>
      </c>
      <c r="AV205" s="102">
        <f t="shared" si="259"/>
        <v>23.76</v>
      </c>
      <c r="AW205" s="103">
        <f t="shared" si="260"/>
        <v>91.065601663345646</v>
      </c>
      <c r="AX205" s="32"/>
      <c r="AY205" s="101">
        <f t="shared" si="291"/>
        <v>60</v>
      </c>
      <c r="AZ205" s="102">
        <f t="shared" si="261"/>
        <v>0.39600000000000002</v>
      </c>
      <c r="BA205" s="102">
        <f t="shared" si="292"/>
        <v>15</v>
      </c>
      <c r="BB205" s="103">
        <f t="shared" si="262"/>
        <v>1.9800000000000002</v>
      </c>
      <c r="BC205" s="101">
        <f t="shared" si="263"/>
        <v>2</v>
      </c>
      <c r="BD205" s="102">
        <f t="shared" si="264"/>
        <v>0.75</v>
      </c>
      <c r="BE205" s="100">
        <f t="shared" si="265"/>
        <v>0.25</v>
      </c>
      <c r="BF205" s="101">
        <f t="shared" si="266"/>
        <v>0.45000000000000007</v>
      </c>
      <c r="BG205" s="102">
        <f t="shared" si="267"/>
        <v>2.2050000000000001</v>
      </c>
      <c r="BH205" s="102">
        <f t="shared" si="268"/>
        <v>1.9842567878175448</v>
      </c>
      <c r="BI205" s="102">
        <v>0</v>
      </c>
      <c r="BJ205" s="102">
        <f t="shared" si="269"/>
        <v>3.9372750000000012E-2</v>
      </c>
      <c r="BK205" s="103">
        <f t="shared" si="270"/>
        <v>3.9372750000000012E-2</v>
      </c>
      <c r="BL205" s="101">
        <f t="shared" si="271"/>
        <v>1.4850000000000001</v>
      </c>
      <c r="BM205" s="97">
        <f t="shared" si="272"/>
        <v>1.7184167858817021</v>
      </c>
      <c r="BN205" s="97">
        <f t="shared" si="273"/>
        <v>0.25804658736962177</v>
      </c>
      <c r="BO205" s="97">
        <f t="shared" si="274"/>
        <v>2.0789999999999997</v>
      </c>
      <c r="BP205" s="103">
        <f t="shared" si="275"/>
        <v>2.3370465873696213</v>
      </c>
      <c r="BQ205" s="101">
        <f t="shared" si="276"/>
        <v>0.49500000000000005</v>
      </c>
      <c r="BR205" s="102">
        <f t="shared" si="277"/>
        <v>0.99212839390877228</v>
      </c>
      <c r="BS205" s="102">
        <f t="shared" si="278"/>
        <v>0.16632</v>
      </c>
      <c r="BT205" s="102">
        <f t="shared" si="279"/>
        <v>0.75525000000000009</v>
      </c>
      <c r="BU205" s="103">
        <f t="shared" si="280"/>
        <v>0.92157000000000011</v>
      </c>
      <c r="BV205" s="99">
        <f t="shared" si="281"/>
        <v>0</v>
      </c>
      <c r="BW205" s="102">
        <f t="shared" si="293"/>
        <v>8.7499999999999994E-2</v>
      </c>
      <c r="BX205" s="103">
        <f t="shared" si="282"/>
        <v>1.155E-2</v>
      </c>
      <c r="BY205" s="101">
        <f t="shared" si="283"/>
        <v>3.3970393373696215</v>
      </c>
      <c r="BZ205" s="102">
        <f t="shared" si="284"/>
        <v>23.76</v>
      </c>
      <c r="CA205" s="103">
        <f t="shared" si="285"/>
        <v>87.491127824471263</v>
      </c>
      <c r="CB205" s="51">
        <f t="shared" si="286"/>
        <v>2.4360965873696214</v>
      </c>
      <c r="CC205" s="32">
        <f t="shared" si="287"/>
        <v>110.26338055793676</v>
      </c>
    </row>
    <row r="206" spans="17:81" ht="15" thickBot="1" x14ac:dyDescent="0.35">
      <c r="Q206" s="32">
        <v>199</v>
      </c>
      <c r="S206" s="101">
        <f t="shared" si="288"/>
        <v>60</v>
      </c>
      <c r="T206" s="97">
        <f t="shared" si="234"/>
        <v>0.39800000000000002</v>
      </c>
      <c r="U206" s="102">
        <f t="shared" si="289"/>
        <v>15</v>
      </c>
      <c r="V206" s="103">
        <f t="shared" si="235"/>
        <v>1.9900000000000002</v>
      </c>
      <c r="W206" s="101">
        <f t="shared" si="236"/>
        <v>2</v>
      </c>
      <c r="X206" s="102">
        <f t="shared" si="237"/>
        <v>0.75</v>
      </c>
      <c r="Y206" s="100">
        <f t="shared" si="238"/>
        <v>0.25</v>
      </c>
      <c r="Z206" s="101">
        <f t="shared" si="239"/>
        <v>0.45000000000000007</v>
      </c>
      <c r="AA206" s="102">
        <f t="shared" si="240"/>
        <v>2.2150000000000003</v>
      </c>
      <c r="AB206" s="102">
        <f t="shared" si="241"/>
        <v>1.9942354424691187</v>
      </c>
      <c r="AC206" s="102">
        <v>0</v>
      </c>
      <c r="AD206" s="102">
        <f t="shared" si="242"/>
        <v>3.9769750000000013E-2</v>
      </c>
      <c r="AE206" s="103">
        <f t="shared" si="243"/>
        <v>3.9769750000000013E-2</v>
      </c>
      <c r="AF206" s="101">
        <f t="shared" si="244"/>
        <v>1.4925000000000002</v>
      </c>
      <c r="AG206" s="97">
        <f t="shared" si="245"/>
        <v>1.727058554305557</v>
      </c>
      <c r="AH206" s="102">
        <f t="shared" si="246"/>
        <v>0.15457414785166673</v>
      </c>
      <c r="AI206" s="97">
        <f t="shared" si="247"/>
        <v>2.0895000000000001</v>
      </c>
      <c r="AJ206" s="103">
        <f t="shared" si="248"/>
        <v>2.2440741478516668</v>
      </c>
      <c r="AK206" s="101">
        <f t="shared" si="249"/>
        <v>0.49750000000000005</v>
      </c>
      <c r="AL206" s="102">
        <f t="shared" si="250"/>
        <v>0.99711772123455922</v>
      </c>
      <c r="AM206" s="102">
        <f t="shared" si="251"/>
        <v>0.16716</v>
      </c>
      <c r="AN206" s="102">
        <f t="shared" si="252"/>
        <v>0.75525000000000009</v>
      </c>
      <c r="AO206" s="103">
        <f t="shared" si="253"/>
        <v>0.92241000000000006</v>
      </c>
      <c r="AP206" s="99">
        <f t="shared" si="254"/>
        <v>0</v>
      </c>
      <c r="AQ206" s="102">
        <f t="shared" si="290"/>
        <v>8.7499999999999994E-2</v>
      </c>
      <c r="AR206" s="103">
        <f t="shared" si="255"/>
        <v>1.155E-2</v>
      </c>
      <c r="AS206" s="99">
        <f t="shared" si="256"/>
        <v>2.3431241478516669</v>
      </c>
      <c r="AT206" s="215">
        <f t="shared" si="257"/>
        <v>165.58744887110001</v>
      </c>
      <c r="AU206" s="216">
        <f t="shared" si="258"/>
        <v>8.7562236785670447E-2</v>
      </c>
      <c r="AV206" s="102">
        <f t="shared" si="259"/>
        <v>23.880000000000003</v>
      </c>
      <c r="AW206" s="103">
        <f t="shared" si="260"/>
        <v>91.064664398335509</v>
      </c>
      <c r="AX206" s="32"/>
      <c r="AY206" s="101">
        <f t="shared" si="291"/>
        <v>60</v>
      </c>
      <c r="AZ206" s="102">
        <f t="shared" si="261"/>
        <v>0.39800000000000002</v>
      </c>
      <c r="BA206" s="102">
        <f t="shared" si="292"/>
        <v>15</v>
      </c>
      <c r="BB206" s="103">
        <f t="shared" si="262"/>
        <v>1.9900000000000002</v>
      </c>
      <c r="BC206" s="101">
        <f t="shared" si="263"/>
        <v>2</v>
      </c>
      <c r="BD206" s="102">
        <f t="shared" si="264"/>
        <v>0.75</v>
      </c>
      <c r="BE206" s="100">
        <f t="shared" si="265"/>
        <v>0.25</v>
      </c>
      <c r="BF206" s="101">
        <f t="shared" si="266"/>
        <v>0.45000000000000007</v>
      </c>
      <c r="BG206" s="102">
        <f t="shared" si="267"/>
        <v>2.2150000000000003</v>
      </c>
      <c r="BH206" s="102">
        <f t="shared" si="268"/>
        <v>1.9942354424691187</v>
      </c>
      <c r="BI206" s="102">
        <v>0</v>
      </c>
      <c r="BJ206" s="102">
        <f t="shared" si="269"/>
        <v>3.9769750000000013E-2</v>
      </c>
      <c r="BK206" s="103">
        <f t="shared" si="270"/>
        <v>3.9769750000000013E-2</v>
      </c>
      <c r="BL206" s="101">
        <f t="shared" si="271"/>
        <v>1.4925000000000002</v>
      </c>
      <c r="BM206" s="97">
        <f t="shared" si="272"/>
        <v>1.727058554305557</v>
      </c>
      <c r="BN206" s="97">
        <f t="shared" si="273"/>
        <v>0.26117461998051883</v>
      </c>
      <c r="BO206" s="97">
        <f t="shared" si="274"/>
        <v>2.0895000000000001</v>
      </c>
      <c r="BP206" s="103">
        <f t="shared" si="275"/>
        <v>2.3506746199805191</v>
      </c>
      <c r="BQ206" s="101">
        <f t="shared" si="276"/>
        <v>0.49750000000000005</v>
      </c>
      <c r="BR206" s="102">
        <f t="shared" si="277"/>
        <v>0.99711772123455922</v>
      </c>
      <c r="BS206" s="102">
        <f t="shared" si="278"/>
        <v>0.16716</v>
      </c>
      <c r="BT206" s="102">
        <f t="shared" si="279"/>
        <v>0.75525000000000009</v>
      </c>
      <c r="BU206" s="103">
        <f t="shared" si="280"/>
        <v>0.92241000000000006</v>
      </c>
      <c r="BV206" s="99">
        <f t="shared" si="281"/>
        <v>0</v>
      </c>
      <c r="BW206" s="102">
        <f t="shared" si="293"/>
        <v>8.7499999999999994E-2</v>
      </c>
      <c r="BX206" s="103">
        <f t="shared" si="282"/>
        <v>1.155E-2</v>
      </c>
      <c r="BY206" s="101">
        <f t="shared" si="283"/>
        <v>3.4119043699805194</v>
      </c>
      <c r="BZ206" s="102">
        <f t="shared" si="284"/>
        <v>23.880000000000003</v>
      </c>
      <c r="CA206" s="103">
        <f t="shared" si="285"/>
        <v>87.498474552280015</v>
      </c>
      <c r="CB206" s="51">
        <f t="shared" si="286"/>
        <v>2.4497246199805192</v>
      </c>
      <c r="CC206" s="32">
        <f t="shared" si="287"/>
        <v>110.74036169931817</v>
      </c>
    </row>
    <row r="207" spans="17:81" ht="15" thickBot="1" x14ac:dyDescent="0.35">
      <c r="Q207" s="32">
        <v>200</v>
      </c>
      <c r="S207" s="101">
        <f t="shared" si="288"/>
        <v>60</v>
      </c>
      <c r="T207" s="97">
        <f t="shared" si="234"/>
        <v>0.4</v>
      </c>
      <c r="U207" s="102">
        <f t="shared" si="289"/>
        <v>15</v>
      </c>
      <c r="V207" s="103">
        <f t="shared" si="235"/>
        <v>2</v>
      </c>
      <c r="W207" s="101">
        <f t="shared" si="236"/>
        <v>2</v>
      </c>
      <c r="X207" s="102">
        <f t="shared" si="237"/>
        <v>0.75</v>
      </c>
      <c r="Y207" s="100">
        <f t="shared" si="238"/>
        <v>0.25</v>
      </c>
      <c r="Z207" s="101">
        <f t="shared" si="239"/>
        <v>0.45000000000000007</v>
      </c>
      <c r="AA207" s="102">
        <f t="shared" si="240"/>
        <v>2.2250000000000001</v>
      </c>
      <c r="AB207" s="102">
        <f t="shared" si="241"/>
        <v>2.0042143098980207</v>
      </c>
      <c r="AC207" s="102">
        <v>0</v>
      </c>
      <c r="AD207" s="102">
        <f t="shared" si="242"/>
        <v>4.0168749999999996E-2</v>
      </c>
      <c r="AE207" s="103">
        <f t="shared" si="243"/>
        <v>4.0168749999999996E-2</v>
      </c>
      <c r="AF207" s="101">
        <f t="shared" si="244"/>
        <v>1.5</v>
      </c>
      <c r="AG207" s="97">
        <f t="shared" si="245"/>
        <v>1.7357005069999838</v>
      </c>
      <c r="AH207" s="102">
        <f t="shared" si="246"/>
        <v>0.15612495179166677</v>
      </c>
      <c r="AI207" s="97">
        <f t="shared" si="247"/>
        <v>2.1</v>
      </c>
      <c r="AJ207" s="103">
        <f t="shared" si="248"/>
        <v>2.2561249517916671</v>
      </c>
      <c r="AK207" s="101">
        <f t="shared" si="249"/>
        <v>0.5</v>
      </c>
      <c r="AL207" s="102">
        <f t="shared" si="250"/>
        <v>1.0021071549490106</v>
      </c>
      <c r="AM207" s="102">
        <f t="shared" si="251"/>
        <v>0.16800000000000001</v>
      </c>
      <c r="AN207" s="102">
        <f t="shared" si="252"/>
        <v>0.75525000000000009</v>
      </c>
      <c r="AO207" s="103">
        <f t="shared" si="253"/>
        <v>0.92325000000000013</v>
      </c>
      <c r="AP207" s="99">
        <f t="shared" si="254"/>
        <v>0</v>
      </c>
      <c r="AQ207" s="102">
        <f t="shared" si="290"/>
        <v>8.7499999999999994E-2</v>
      </c>
      <c r="AR207" s="103">
        <f t="shared" si="255"/>
        <v>1.155E-2</v>
      </c>
      <c r="AS207" s="99">
        <f t="shared" si="256"/>
        <v>2.3551749517916671</v>
      </c>
      <c r="AT207" s="215">
        <f t="shared" si="257"/>
        <v>166.31049710750003</v>
      </c>
      <c r="AU207" s="216">
        <f t="shared" si="258"/>
        <v>8.7738738965916357E-2</v>
      </c>
      <c r="AV207" s="102">
        <f t="shared" si="259"/>
        <v>24</v>
      </c>
      <c r="AW207" s="103">
        <f t="shared" si="260"/>
        <v>91.063709665749883</v>
      </c>
      <c r="AX207" s="32"/>
      <c r="AY207" s="101">
        <f t="shared" si="291"/>
        <v>60</v>
      </c>
      <c r="AZ207" s="102">
        <f t="shared" si="261"/>
        <v>0.4</v>
      </c>
      <c r="BA207" s="102">
        <f t="shared" si="292"/>
        <v>15</v>
      </c>
      <c r="BB207" s="103">
        <f t="shared" si="262"/>
        <v>2</v>
      </c>
      <c r="BC207" s="101">
        <f t="shared" si="263"/>
        <v>2</v>
      </c>
      <c r="BD207" s="102">
        <f t="shared" si="264"/>
        <v>0.75</v>
      </c>
      <c r="BE207" s="100">
        <f t="shared" si="265"/>
        <v>0.25</v>
      </c>
      <c r="BF207" s="101">
        <f t="shared" si="266"/>
        <v>0.45000000000000007</v>
      </c>
      <c r="BG207" s="102">
        <f t="shared" si="267"/>
        <v>2.2250000000000001</v>
      </c>
      <c r="BH207" s="102">
        <f t="shared" si="268"/>
        <v>2.0042143098980207</v>
      </c>
      <c r="BI207" s="102">
        <v>0</v>
      </c>
      <c r="BJ207" s="102">
        <f t="shared" si="269"/>
        <v>4.0168749999999996E-2</v>
      </c>
      <c r="BK207" s="103">
        <f t="shared" si="270"/>
        <v>4.0168749999999996E-2</v>
      </c>
      <c r="BL207" s="101">
        <f t="shared" si="271"/>
        <v>1.5</v>
      </c>
      <c r="BM207" s="97">
        <f t="shared" si="272"/>
        <v>1.7357005069999838</v>
      </c>
      <c r="BN207" s="97">
        <f t="shared" si="273"/>
        <v>0.26432666031278651</v>
      </c>
      <c r="BO207" s="97">
        <f t="shared" si="274"/>
        <v>2.1</v>
      </c>
      <c r="BP207" s="103">
        <f t="shared" si="275"/>
        <v>2.3643266603127868</v>
      </c>
      <c r="BQ207" s="101">
        <f t="shared" si="276"/>
        <v>0.5</v>
      </c>
      <c r="BR207" s="102">
        <f t="shared" si="277"/>
        <v>1.0021071549490106</v>
      </c>
      <c r="BS207" s="102">
        <f t="shared" si="278"/>
        <v>0.16800000000000001</v>
      </c>
      <c r="BT207" s="102">
        <f t="shared" si="279"/>
        <v>0.75525000000000009</v>
      </c>
      <c r="BU207" s="103">
        <f t="shared" si="280"/>
        <v>0.92325000000000013</v>
      </c>
      <c r="BV207" s="99">
        <f t="shared" si="281"/>
        <v>0</v>
      </c>
      <c r="BW207" s="102">
        <f t="shared" si="293"/>
        <v>8.7499999999999994E-2</v>
      </c>
      <c r="BX207" s="103">
        <f t="shared" si="282"/>
        <v>1.155E-2</v>
      </c>
      <c r="BY207" s="101">
        <f t="shared" si="283"/>
        <v>3.4267954103127871</v>
      </c>
      <c r="BZ207" s="102">
        <f t="shared" si="284"/>
        <v>24</v>
      </c>
      <c r="CA207" s="103">
        <f t="shared" si="285"/>
        <v>87.505666050127488</v>
      </c>
      <c r="CB207" s="51">
        <f t="shared" si="286"/>
        <v>2.4633766603127869</v>
      </c>
      <c r="CC207" s="32">
        <f t="shared" si="287"/>
        <v>111.21818311094754</v>
      </c>
    </row>
    <row r="208" spans="17:81" ht="15" thickBot="1" x14ac:dyDescent="0.35">
      <c r="Q208" s="32">
        <v>201</v>
      </c>
      <c r="S208" s="101">
        <f t="shared" si="288"/>
        <v>60</v>
      </c>
      <c r="T208" s="97">
        <f t="shared" si="234"/>
        <v>0.40200000000000002</v>
      </c>
      <c r="U208" s="102">
        <f t="shared" si="289"/>
        <v>15</v>
      </c>
      <c r="V208" s="103">
        <f t="shared" si="235"/>
        <v>2.0100000000000002</v>
      </c>
      <c r="W208" s="101">
        <f t="shared" si="236"/>
        <v>2</v>
      </c>
      <c r="X208" s="102">
        <f t="shared" si="237"/>
        <v>0.75</v>
      </c>
      <c r="Y208" s="100">
        <f t="shared" si="238"/>
        <v>0.25</v>
      </c>
      <c r="Z208" s="101">
        <f t="shared" si="239"/>
        <v>0.45000000000000007</v>
      </c>
      <c r="AA208" s="102">
        <f t="shared" si="240"/>
        <v>2.2350000000000003</v>
      </c>
      <c r="AB208" s="102">
        <f t="shared" si="241"/>
        <v>2.0141933869417805</v>
      </c>
      <c r="AC208" s="102">
        <v>0</v>
      </c>
      <c r="AD208" s="102">
        <f t="shared" si="242"/>
        <v>4.0569750000000016E-2</v>
      </c>
      <c r="AE208" s="103">
        <f t="shared" si="243"/>
        <v>4.0569750000000016E-2</v>
      </c>
      <c r="AF208" s="101">
        <f t="shared" si="244"/>
        <v>1.5075000000000003</v>
      </c>
      <c r="AG208" s="97">
        <f t="shared" si="245"/>
        <v>1.7443426412262015</v>
      </c>
      <c r="AH208" s="102">
        <f t="shared" si="246"/>
        <v>0.15768352918500009</v>
      </c>
      <c r="AI208" s="97">
        <f t="shared" si="247"/>
        <v>2.1105</v>
      </c>
      <c r="AJ208" s="103">
        <f t="shared" si="248"/>
        <v>2.2681835291850003</v>
      </c>
      <c r="AK208" s="101">
        <f t="shared" si="249"/>
        <v>0.50250000000000006</v>
      </c>
      <c r="AL208" s="102">
        <f t="shared" si="250"/>
        <v>1.0070966934708903</v>
      </c>
      <c r="AM208" s="102">
        <f t="shared" si="251"/>
        <v>0.16883999999999999</v>
      </c>
      <c r="AN208" s="102">
        <f t="shared" si="252"/>
        <v>0.75525000000000009</v>
      </c>
      <c r="AO208" s="103">
        <f t="shared" si="253"/>
        <v>0.92409000000000008</v>
      </c>
      <c r="AP208" s="99">
        <f t="shared" si="254"/>
        <v>0</v>
      </c>
      <c r="AQ208" s="102">
        <f t="shared" si="290"/>
        <v>8.7499999999999994E-2</v>
      </c>
      <c r="AR208" s="103">
        <f t="shared" si="255"/>
        <v>1.155E-2</v>
      </c>
      <c r="AS208" s="99">
        <f t="shared" si="256"/>
        <v>2.3672335291850004</v>
      </c>
      <c r="AT208" s="215">
        <f t="shared" si="257"/>
        <v>167.03401175110002</v>
      </c>
      <c r="AU208" s="216">
        <f t="shared" si="258"/>
        <v>8.7915355000098339E-2</v>
      </c>
      <c r="AV208" s="102">
        <f t="shared" si="259"/>
        <v>24.12</v>
      </c>
      <c r="AW208" s="103">
        <f t="shared" si="260"/>
        <v>91.062737727680542</v>
      </c>
      <c r="AX208" s="32"/>
      <c r="AY208" s="101">
        <f t="shared" si="291"/>
        <v>60</v>
      </c>
      <c r="AZ208" s="102">
        <f t="shared" si="261"/>
        <v>0.40200000000000002</v>
      </c>
      <c r="BA208" s="102">
        <f t="shared" si="292"/>
        <v>15</v>
      </c>
      <c r="BB208" s="103">
        <f t="shared" si="262"/>
        <v>2.0100000000000002</v>
      </c>
      <c r="BC208" s="101">
        <f t="shared" si="263"/>
        <v>2</v>
      </c>
      <c r="BD208" s="102">
        <f t="shared" si="264"/>
        <v>0.75</v>
      </c>
      <c r="BE208" s="100">
        <f t="shared" si="265"/>
        <v>0.25</v>
      </c>
      <c r="BF208" s="101">
        <f t="shared" si="266"/>
        <v>0.45000000000000007</v>
      </c>
      <c r="BG208" s="102">
        <f t="shared" si="267"/>
        <v>2.2350000000000003</v>
      </c>
      <c r="BH208" s="102">
        <f t="shared" si="268"/>
        <v>2.0141933869417805</v>
      </c>
      <c r="BI208" s="102">
        <v>0</v>
      </c>
      <c r="BJ208" s="102">
        <f t="shared" si="269"/>
        <v>4.0569750000000016E-2</v>
      </c>
      <c r="BK208" s="103">
        <f t="shared" si="270"/>
        <v>4.0569750000000016E-2</v>
      </c>
      <c r="BL208" s="101">
        <f t="shared" si="271"/>
        <v>1.5075000000000003</v>
      </c>
      <c r="BM208" s="97">
        <f t="shared" si="272"/>
        <v>1.7443426412262015</v>
      </c>
      <c r="BN208" s="97">
        <f t="shared" si="273"/>
        <v>0.26750279801364307</v>
      </c>
      <c r="BO208" s="97">
        <f t="shared" si="274"/>
        <v>2.1105</v>
      </c>
      <c r="BP208" s="103">
        <f t="shared" si="275"/>
        <v>2.3780027980136431</v>
      </c>
      <c r="BQ208" s="101">
        <f t="shared" si="276"/>
        <v>0.50250000000000006</v>
      </c>
      <c r="BR208" s="102">
        <f t="shared" si="277"/>
        <v>1.0070966934708903</v>
      </c>
      <c r="BS208" s="102">
        <f t="shared" si="278"/>
        <v>0.16883999999999999</v>
      </c>
      <c r="BT208" s="102">
        <f t="shared" si="279"/>
        <v>0.75525000000000009</v>
      </c>
      <c r="BU208" s="103">
        <f t="shared" si="280"/>
        <v>0.92409000000000008</v>
      </c>
      <c r="BV208" s="99">
        <f t="shared" si="281"/>
        <v>0</v>
      </c>
      <c r="BW208" s="102">
        <f t="shared" si="293"/>
        <v>8.7499999999999994E-2</v>
      </c>
      <c r="BX208" s="103">
        <f t="shared" si="282"/>
        <v>1.155E-2</v>
      </c>
      <c r="BY208" s="101">
        <f t="shared" si="283"/>
        <v>3.4417125480136432</v>
      </c>
      <c r="BZ208" s="102">
        <f t="shared" si="284"/>
        <v>24.12</v>
      </c>
      <c r="CA208" s="103">
        <f t="shared" si="285"/>
        <v>87.512704292166035</v>
      </c>
      <c r="CB208" s="51">
        <f t="shared" si="286"/>
        <v>2.4770527980136432</v>
      </c>
      <c r="CC208" s="32">
        <f t="shared" si="287"/>
        <v>111.69684793047752</v>
      </c>
    </row>
    <row r="209" spans="17:81" ht="15" thickBot="1" x14ac:dyDescent="0.35">
      <c r="Q209" s="32">
        <v>202</v>
      </c>
      <c r="S209" s="101">
        <f t="shared" si="288"/>
        <v>60</v>
      </c>
      <c r="T209" s="97">
        <f t="shared" si="234"/>
        <v>0.40400000000000003</v>
      </c>
      <c r="U209" s="102">
        <f t="shared" si="289"/>
        <v>15</v>
      </c>
      <c r="V209" s="103">
        <f t="shared" si="235"/>
        <v>2.02</v>
      </c>
      <c r="W209" s="101">
        <f t="shared" si="236"/>
        <v>2</v>
      </c>
      <c r="X209" s="102">
        <f t="shared" si="237"/>
        <v>0.75</v>
      </c>
      <c r="Y209" s="100">
        <f t="shared" si="238"/>
        <v>0.25</v>
      </c>
      <c r="Z209" s="101">
        <f t="shared" si="239"/>
        <v>0.45000000000000007</v>
      </c>
      <c r="AA209" s="102">
        <f t="shared" si="240"/>
        <v>2.2450000000000001</v>
      </c>
      <c r="AB209" s="102">
        <f t="shared" si="241"/>
        <v>2.0241726705002216</v>
      </c>
      <c r="AC209" s="102">
        <v>0</v>
      </c>
      <c r="AD209" s="102">
        <f t="shared" si="242"/>
        <v>4.0972749999999988E-2</v>
      </c>
      <c r="AE209" s="103">
        <f t="shared" si="243"/>
        <v>4.0972749999999988E-2</v>
      </c>
      <c r="AF209" s="101">
        <f t="shared" si="244"/>
        <v>1.5150000000000001</v>
      </c>
      <c r="AG209" s="97">
        <f t="shared" si="245"/>
        <v>1.7529849542993803</v>
      </c>
      <c r="AH209" s="102">
        <f t="shared" si="246"/>
        <v>0.15924988003166674</v>
      </c>
      <c r="AI209" s="97">
        <f t="shared" si="247"/>
        <v>2.121</v>
      </c>
      <c r="AJ209" s="103">
        <f t="shared" si="248"/>
        <v>2.2802498800316666</v>
      </c>
      <c r="AK209" s="101">
        <f t="shared" si="249"/>
        <v>0.505</v>
      </c>
      <c r="AL209" s="102">
        <f t="shared" si="250"/>
        <v>1.012086335250111</v>
      </c>
      <c r="AM209" s="102">
        <f t="shared" si="251"/>
        <v>0.16968</v>
      </c>
      <c r="AN209" s="102">
        <f t="shared" si="252"/>
        <v>0.75525000000000009</v>
      </c>
      <c r="AO209" s="103">
        <f t="shared" si="253"/>
        <v>0.92493000000000003</v>
      </c>
      <c r="AP209" s="99">
        <f t="shared" si="254"/>
        <v>0</v>
      </c>
      <c r="AQ209" s="102">
        <f t="shared" si="290"/>
        <v>8.7499999999999994E-2</v>
      </c>
      <c r="AR209" s="103">
        <f t="shared" si="255"/>
        <v>1.155E-2</v>
      </c>
      <c r="AS209" s="99">
        <f t="shared" si="256"/>
        <v>2.3792998800316667</v>
      </c>
      <c r="AT209" s="215">
        <f t="shared" si="257"/>
        <v>167.7579928019</v>
      </c>
      <c r="AU209" s="216">
        <f t="shared" si="258"/>
        <v>8.8092084888216363E-2</v>
      </c>
      <c r="AV209" s="102">
        <f t="shared" si="259"/>
        <v>24.240000000000002</v>
      </c>
      <c r="AW209" s="103">
        <f t="shared" si="260"/>
        <v>91.061748841048654</v>
      </c>
      <c r="AX209" s="32"/>
      <c r="AY209" s="101">
        <f t="shared" si="291"/>
        <v>60</v>
      </c>
      <c r="AZ209" s="102">
        <f t="shared" si="261"/>
        <v>0.40400000000000003</v>
      </c>
      <c r="BA209" s="102">
        <f t="shared" si="292"/>
        <v>15</v>
      </c>
      <c r="BB209" s="103">
        <f t="shared" si="262"/>
        <v>2.02</v>
      </c>
      <c r="BC209" s="101">
        <f t="shared" si="263"/>
        <v>2</v>
      </c>
      <c r="BD209" s="102">
        <f t="shared" si="264"/>
        <v>0.75</v>
      </c>
      <c r="BE209" s="100">
        <f t="shared" si="265"/>
        <v>0.25</v>
      </c>
      <c r="BF209" s="101">
        <f t="shared" si="266"/>
        <v>0.45000000000000007</v>
      </c>
      <c r="BG209" s="102">
        <f t="shared" si="267"/>
        <v>2.2450000000000001</v>
      </c>
      <c r="BH209" s="102">
        <f t="shared" si="268"/>
        <v>2.0241726705002216</v>
      </c>
      <c r="BI209" s="102">
        <v>0</v>
      </c>
      <c r="BJ209" s="102">
        <f t="shared" si="269"/>
        <v>4.0972749999999988E-2</v>
      </c>
      <c r="BK209" s="103">
        <f t="shared" si="270"/>
        <v>4.0972749999999988E-2</v>
      </c>
      <c r="BL209" s="101">
        <f t="shared" si="271"/>
        <v>1.5150000000000001</v>
      </c>
      <c r="BM209" s="97">
        <f t="shared" si="272"/>
        <v>1.7529849542993803</v>
      </c>
      <c r="BN209" s="97">
        <f t="shared" si="273"/>
        <v>0.27070312283277503</v>
      </c>
      <c r="BO209" s="97">
        <f t="shared" si="274"/>
        <v>2.121</v>
      </c>
      <c r="BP209" s="103">
        <f t="shared" si="275"/>
        <v>2.3917031228327752</v>
      </c>
      <c r="BQ209" s="101">
        <f t="shared" si="276"/>
        <v>0.505</v>
      </c>
      <c r="BR209" s="102">
        <f t="shared" si="277"/>
        <v>1.012086335250111</v>
      </c>
      <c r="BS209" s="102">
        <f t="shared" si="278"/>
        <v>0.16968</v>
      </c>
      <c r="BT209" s="102">
        <f t="shared" si="279"/>
        <v>0.75525000000000009</v>
      </c>
      <c r="BU209" s="103">
        <f t="shared" si="280"/>
        <v>0.92493000000000003</v>
      </c>
      <c r="BV209" s="99">
        <f t="shared" si="281"/>
        <v>0</v>
      </c>
      <c r="BW209" s="102">
        <f t="shared" si="293"/>
        <v>8.7499999999999994E-2</v>
      </c>
      <c r="BX209" s="103">
        <f t="shared" si="282"/>
        <v>1.155E-2</v>
      </c>
      <c r="BY209" s="101">
        <f t="shared" si="283"/>
        <v>3.4566558728327754</v>
      </c>
      <c r="BZ209" s="102">
        <f t="shared" si="284"/>
        <v>24.240000000000002</v>
      </c>
      <c r="CA209" s="103">
        <f t="shared" si="285"/>
        <v>87.519591214535922</v>
      </c>
      <c r="CB209" s="51">
        <f t="shared" si="286"/>
        <v>2.4907531228327753</v>
      </c>
      <c r="CC209" s="32">
        <f t="shared" si="287"/>
        <v>112.17635929914714</v>
      </c>
    </row>
    <row r="210" spans="17:81" ht="15" thickBot="1" x14ac:dyDescent="0.35">
      <c r="Q210" s="32">
        <v>203</v>
      </c>
      <c r="S210" s="101">
        <f t="shared" si="288"/>
        <v>60</v>
      </c>
      <c r="T210" s="97">
        <f t="shared" si="234"/>
        <v>0.40600000000000003</v>
      </c>
      <c r="U210" s="102">
        <f t="shared" si="289"/>
        <v>15</v>
      </c>
      <c r="V210" s="103">
        <f t="shared" si="235"/>
        <v>2.0300000000000002</v>
      </c>
      <c r="W210" s="101">
        <f t="shared" si="236"/>
        <v>2</v>
      </c>
      <c r="X210" s="102">
        <f t="shared" si="237"/>
        <v>0.75</v>
      </c>
      <c r="Y210" s="100">
        <f t="shared" si="238"/>
        <v>0.25</v>
      </c>
      <c r="Z210" s="101">
        <f t="shared" si="239"/>
        <v>0.45000000000000007</v>
      </c>
      <c r="AA210" s="102">
        <f t="shared" si="240"/>
        <v>2.2550000000000003</v>
      </c>
      <c r="AB210" s="102">
        <f t="shared" si="241"/>
        <v>2.0341521575339443</v>
      </c>
      <c r="AC210" s="102">
        <v>0</v>
      </c>
      <c r="AD210" s="102">
        <f t="shared" si="242"/>
        <v>4.1377750000000005E-2</v>
      </c>
      <c r="AE210" s="103">
        <f t="shared" si="243"/>
        <v>4.1377750000000005E-2</v>
      </c>
      <c r="AF210" s="101">
        <f t="shared" si="244"/>
        <v>1.5225000000000002</v>
      </c>
      <c r="AG210" s="97">
        <f t="shared" si="245"/>
        <v>1.7616274435873214</v>
      </c>
      <c r="AH210" s="102">
        <f t="shared" si="246"/>
        <v>0.16082400433166677</v>
      </c>
      <c r="AI210" s="97">
        <f t="shared" si="247"/>
        <v>2.1315</v>
      </c>
      <c r="AJ210" s="103">
        <f t="shared" si="248"/>
        <v>2.2923240043316668</v>
      </c>
      <c r="AK210" s="101">
        <f t="shared" si="249"/>
        <v>0.50750000000000006</v>
      </c>
      <c r="AL210" s="102">
        <f t="shared" si="250"/>
        <v>1.0170760787669721</v>
      </c>
      <c r="AM210" s="102">
        <f t="shared" si="251"/>
        <v>0.17052</v>
      </c>
      <c r="AN210" s="102">
        <f t="shared" si="252"/>
        <v>0.75525000000000009</v>
      </c>
      <c r="AO210" s="103">
        <f t="shared" si="253"/>
        <v>0.92577000000000009</v>
      </c>
      <c r="AP210" s="99">
        <f t="shared" si="254"/>
        <v>0</v>
      </c>
      <c r="AQ210" s="102">
        <f t="shared" si="290"/>
        <v>8.7499999999999994E-2</v>
      </c>
      <c r="AR210" s="103">
        <f t="shared" si="255"/>
        <v>1.155E-2</v>
      </c>
      <c r="AS210" s="99">
        <f t="shared" si="256"/>
        <v>2.3913740043316669</v>
      </c>
      <c r="AT210" s="215">
        <f t="shared" si="257"/>
        <v>168.48244025990002</v>
      </c>
      <c r="AU210" s="216">
        <f t="shared" si="258"/>
        <v>8.8268928630270485E-2</v>
      </c>
      <c r="AV210" s="102">
        <f t="shared" si="259"/>
        <v>24.360000000000003</v>
      </c>
      <c r="AW210" s="103">
        <f t="shared" si="260"/>
        <v>91.060743257731559</v>
      </c>
      <c r="AX210" s="32"/>
      <c r="AY210" s="101">
        <f t="shared" si="291"/>
        <v>60</v>
      </c>
      <c r="AZ210" s="102">
        <f t="shared" si="261"/>
        <v>0.40600000000000003</v>
      </c>
      <c r="BA210" s="102">
        <f t="shared" si="292"/>
        <v>15</v>
      </c>
      <c r="BB210" s="103">
        <f t="shared" si="262"/>
        <v>2.0300000000000002</v>
      </c>
      <c r="BC210" s="101">
        <f t="shared" si="263"/>
        <v>2</v>
      </c>
      <c r="BD210" s="102">
        <f t="shared" si="264"/>
        <v>0.75</v>
      </c>
      <c r="BE210" s="100">
        <f t="shared" si="265"/>
        <v>0.25</v>
      </c>
      <c r="BF210" s="101">
        <f t="shared" si="266"/>
        <v>0.45000000000000007</v>
      </c>
      <c r="BG210" s="102">
        <f t="shared" si="267"/>
        <v>2.2550000000000003</v>
      </c>
      <c r="BH210" s="102">
        <f t="shared" si="268"/>
        <v>2.0341521575339443</v>
      </c>
      <c r="BI210" s="102">
        <v>0</v>
      </c>
      <c r="BJ210" s="102">
        <f t="shared" si="269"/>
        <v>4.1377750000000005E-2</v>
      </c>
      <c r="BK210" s="103">
        <f t="shared" si="270"/>
        <v>4.1377750000000005E-2</v>
      </c>
      <c r="BL210" s="101">
        <f t="shared" si="271"/>
        <v>1.5225000000000002</v>
      </c>
      <c r="BM210" s="97">
        <f t="shared" si="272"/>
        <v>1.7616274435873214</v>
      </c>
      <c r="BN210" s="97">
        <f t="shared" si="273"/>
        <v>0.27392772462233816</v>
      </c>
      <c r="BO210" s="97">
        <f t="shared" si="274"/>
        <v>2.1315</v>
      </c>
      <c r="BP210" s="103">
        <f t="shared" si="275"/>
        <v>2.4054277246223381</v>
      </c>
      <c r="BQ210" s="101">
        <f t="shared" si="276"/>
        <v>0.50750000000000006</v>
      </c>
      <c r="BR210" s="102">
        <f t="shared" si="277"/>
        <v>1.0170760787669721</v>
      </c>
      <c r="BS210" s="102">
        <f t="shared" si="278"/>
        <v>0.17052</v>
      </c>
      <c r="BT210" s="102">
        <f t="shared" si="279"/>
        <v>0.75525000000000009</v>
      </c>
      <c r="BU210" s="103">
        <f t="shared" si="280"/>
        <v>0.92577000000000009</v>
      </c>
      <c r="BV210" s="99">
        <f t="shared" si="281"/>
        <v>0</v>
      </c>
      <c r="BW210" s="102">
        <f t="shared" si="293"/>
        <v>8.7499999999999994E-2</v>
      </c>
      <c r="BX210" s="103">
        <f t="shared" si="282"/>
        <v>1.155E-2</v>
      </c>
      <c r="BY210" s="101">
        <f t="shared" si="283"/>
        <v>3.4716254746223383</v>
      </c>
      <c r="BZ210" s="102">
        <f t="shared" si="284"/>
        <v>24.360000000000003</v>
      </c>
      <c r="CA210" s="103">
        <f t="shared" si="285"/>
        <v>87.526328716273269</v>
      </c>
      <c r="CB210" s="51">
        <f t="shared" si="286"/>
        <v>2.5044777246223382</v>
      </c>
      <c r="CC210" s="32">
        <f t="shared" si="287"/>
        <v>112.65672036178184</v>
      </c>
    </row>
    <row r="211" spans="17:81" ht="15" thickBot="1" x14ac:dyDescent="0.35">
      <c r="Q211" s="32">
        <v>204</v>
      </c>
      <c r="S211" s="101">
        <f t="shared" si="288"/>
        <v>60</v>
      </c>
      <c r="T211" s="97">
        <f t="shared" si="234"/>
        <v>0.40800000000000003</v>
      </c>
      <c r="U211" s="102">
        <f t="shared" si="289"/>
        <v>15</v>
      </c>
      <c r="V211" s="103">
        <f t="shared" si="235"/>
        <v>2.04</v>
      </c>
      <c r="W211" s="101">
        <f t="shared" si="236"/>
        <v>2</v>
      </c>
      <c r="X211" s="102">
        <f t="shared" si="237"/>
        <v>0.75</v>
      </c>
      <c r="Y211" s="100">
        <f t="shared" si="238"/>
        <v>0.25</v>
      </c>
      <c r="Z211" s="101">
        <f t="shared" si="239"/>
        <v>0.45000000000000007</v>
      </c>
      <c r="AA211" s="102">
        <f t="shared" si="240"/>
        <v>2.2650000000000001</v>
      </c>
      <c r="AB211" s="102">
        <f t="shared" si="241"/>
        <v>2.0441318450628372</v>
      </c>
      <c r="AC211" s="102">
        <v>0</v>
      </c>
      <c r="AD211" s="102">
        <f t="shared" si="242"/>
        <v>4.1784749999999989E-2</v>
      </c>
      <c r="AE211" s="103">
        <f t="shared" si="243"/>
        <v>4.1784749999999989E-2</v>
      </c>
      <c r="AF211" s="101">
        <f t="shared" si="244"/>
        <v>1.53</v>
      </c>
      <c r="AG211" s="97">
        <f t="shared" si="245"/>
        <v>1.7702701065091733</v>
      </c>
      <c r="AH211" s="102">
        <f t="shared" si="246"/>
        <v>0.16240590208500003</v>
      </c>
      <c r="AI211" s="97">
        <f t="shared" si="247"/>
        <v>2.1419999999999999</v>
      </c>
      <c r="AJ211" s="103">
        <f t="shared" si="248"/>
        <v>2.3044059020850001</v>
      </c>
      <c r="AK211" s="101">
        <f t="shared" si="249"/>
        <v>0.51</v>
      </c>
      <c r="AL211" s="102">
        <f t="shared" si="250"/>
        <v>1.0220659225314186</v>
      </c>
      <c r="AM211" s="102">
        <f t="shared" si="251"/>
        <v>0.17136000000000001</v>
      </c>
      <c r="AN211" s="102">
        <f t="shared" si="252"/>
        <v>0.75525000000000009</v>
      </c>
      <c r="AO211" s="103">
        <f t="shared" si="253"/>
        <v>0.92661000000000016</v>
      </c>
      <c r="AP211" s="99">
        <f t="shared" si="254"/>
        <v>0</v>
      </c>
      <c r="AQ211" s="102">
        <f t="shared" si="290"/>
        <v>8.7499999999999994E-2</v>
      </c>
      <c r="AR211" s="103">
        <f t="shared" si="255"/>
        <v>1.155E-2</v>
      </c>
      <c r="AS211" s="99">
        <f t="shared" si="256"/>
        <v>2.4034559020850002</v>
      </c>
      <c r="AT211" s="215">
        <f t="shared" si="257"/>
        <v>169.20735412510001</v>
      </c>
      <c r="AU211" s="216">
        <f t="shared" si="258"/>
        <v>8.8445886226260664E-2</v>
      </c>
      <c r="AV211" s="102">
        <f t="shared" si="259"/>
        <v>24.48</v>
      </c>
      <c r="AW211" s="103">
        <f t="shared" si="260"/>
        <v>91.059721224686015</v>
      </c>
      <c r="AX211" s="32"/>
      <c r="AY211" s="101">
        <f t="shared" si="291"/>
        <v>60</v>
      </c>
      <c r="AZ211" s="102">
        <f t="shared" si="261"/>
        <v>0.40800000000000003</v>
      </c>
      <c r="BA211" s="102">
        <f t="shared" si="292"/>
        <v>15</v>
      </c>
      <c r="BB211" s="103">
        <f t="shared" si="262"/>
        <v>2.04</v>
      </c>
      <c r="BC211" s="101">
        <f t="shared" si="263"/>
        <v>2</v>
      </c>
      <c r="BD211" s="102">
        <f t="shared" si="264"/>
        <v>0.75</v>
      </c>
      <c r="BE211" s="100">
        <f t="shared" si="265"/>
        <v>0.25</v>
      </c>
      <c r="BF211" s="101">
        <f t="shared" si="266"/>
        <v>0.45000000000000007</v>
      </c>
      <c r="BG211" s="102">
        <f t="shared" si="267"/>
        <v>2.2650000000000001</v>
      </c>
      <c r="BH211" s="102">
        <f t="shared" si="268"/>
        <v>2.0441318450628372</v>
      </c>
      <c r="BI211" s="102">
        <v>0</v>
      </c>
      <c r="BJ211" s="102">
        <f t="shared" si="269"/>
        <v>4.1784749999999989E-2</v>
      </c>
      <c r="BK211" s="103">
        <f t="shared" si="270"/>
        <v>4.1784749999999989E-2</v>
      </c>
      <c r="BL211" s="101">
        <f t="shared" si="271"/>
        <v>1.53</v>
      </c>
      <c r="BM211" s="97">
        <f t="shared" si="272"/>
        <v>1.7702701065091733</v>
      </c>
      <c r="BN211" s="97">
        <f t="shared" si="273"/>
        <v>0.27717669333695588</v>
      </c>
      <c r="BO211" s="97">
        <f t="shared" si="274"/>
        <v>2.1419999999999999</v>
      </c>
      <c r="BP211" s="103">
        <f t="shared" si="275"/>
        <v>2.4191766933369556</v>
      </c>
      <c r="BQ211" s="101">
        <f t="shared" si="276"/>
        <v>0.51</v>
      </c>
      <c r="BR211" s="102">
        <f t="shared" si="277"/>
        <v>1.0220659225314186</v>
      </c>
      <c r="BS211" s="102">
        <f t="shared" si="278"/>
        <v>0.17136000000000001</v>
      </c>
      <c r="BT211" s="102">
        <f t="shared" si="279"/>
        <v>0.75525000000000009</v>
      </c>
      <c r="BU211" s="103">
        <f t="shared" si="280"/>
        <v>0.92661000000000016</v>
      </c>
      <c r="BV211" s="99">
        <f t="shared" si="281"/>
        <v>0</v>
      </c>
      <c r="BW211" s="102">
        <f t="shared" si="293"/>
        <v>8.7499999999999994E-2</v>
      </c>
      <c r="BX211" s="103">
        <f t="shared" si="282"/>
        <v>1.155E-2</v>
      </c>
      <c r="BY211" s="101">
        <f t="shared" si="283"/>
        <v>3.486621443336956</v>
      </c>
      <c r="BZ211" s="102">
        <f t="shared" si="284"/>
        <v>24.48</v>
      </c>
      <c r="CA211" s="103">
        <f t="shared" si="285"/>
        <v>87.53291866019218</v>
      </c>
      <c r="CB211" s="51">
        <f t="shared" si="286"/>
        <v>2.5182266933369557</v>
      </c>
      <c r="CC211" s="32">
        <f t="shared" si="287"/>
        <v>113.13793426679345</v>
      </c>
    </row>
    <row r="212" spans="17:81" ht="15" thickBot="1" x14ac:dyDescent="0.35">
      <c r="Q212" s="32">
        <v>205</v>
      </c>
      <c r="S212" s="101">
        <f t="shared" si="288"/>
        <v>60</v>
      </c>
      <c r="T212" s="97">
        <f t="shared" si="234"/>
        <v>0.41000000000000003</v>
      </c>
      <c r="U212" s="102">
        <f t="shared" si="289"/>
        <v>15</v>
      </c>
      <c r="V212" s="103">
        <f t="shared" si="235"/>
        <v>2.0500000000000003</v>
      </c>
      <c r="W212" s="101">
        <f t="shared" si="236"/>
        <v>2</v>
      </c>
      <c r="X212" s="102">
        <f t="shared" si="237"/>
        <v>0.75</v>
      </c>
      <c r="Y212" s="100">
        <f t="shared" si="238"/>
        <v>0.25</v>
      </c>
      <c r="Z212" s="101">
        <f t="shared" si="239"/>
        <v>0.45000000000000007</v>
      </c>
      <c r="AA212" s="102">
        <f t="shared" si="240"/>
        <v>2.2750000000000004</v>
      </c>
      <c r="AB212" s="102">
        <f t="shared" si="241"/>
        <v>2.0541117301646472</v>
      </c>
      <c r="AC212" s="102">
        <v>0</v>
      </c>
      <c r="AD212" s="102">
        <f t="shared" si="242"/>
        <v>4.2193750000000002E-2</v>
      </c>
      <c r="AE212" s="103">
        <f t="shared" si="243"/>
        <v>4.2193750000000002E-2</v>
      </c>
      <c r="AF212" s="101">
        <f t="shared" si="244"/>
        <v>1.5375000000000001</v>
      </c>
      <c r="AG212" s="97">
        <f t="shared" si="245"/>
        <v>1.7789129405341906</v>
      </c>
      <c r="AH212" s="102">
        <f t="shared" si="246"/>
        <v>0.16399557329166672</v>
      </c>
      <c r="AI212" s="97">
        <f t="shared" si="247"/>
        <v>2.1525000000000003</v>
      </c>
      <c r="AJ212" s="103">
        <f t="shared" si="248"/>
        <v>2.3164955732916672</v>
      </c>
      <c r="AK212" s="101">
        <f t="shared" si="249"/>
        <v>0.51250000000000007</v>
      </c>
      <c r="AL212" s="102">
        <f t="shared" si="250"/>
        <v>1.0270558650823236</v>
      </c>
      <c r="AM212" s="102">
        <f t="shared" si="251"/>
        <v>0.17220000000000002</v>
      </c>
      <c r="AN212" s="102">
        <f t="shared" si="252"/>
        <v>0.75525000000000009</v>
      </c>
      <c r="AO212" s="103">
        <f t="shared" si="253"/>
        <v>0.92745000000000011</v>
      </c>
      <c r="AP212" s="99">
        <f t="shared" si="254"/>
        <v>0</v>
      </c>
      <c r="AQ212" s="102">
        <f t="shared" si="290"/>
        <v>8.7499999999999994E-2</v>
      </c>
      <c r="AR212" s="103">
        <f t="shared" si="255"/>
        <v>1.155E-2</v>
      </c>
      <c r="AS212" s="99">
        <f t="shared" si="256"/>
        <v>2.4155455732916673</v>
      </c>
      <c r="AT212" s="215">
        <f t="shared" si="257"/>
        <v>169.93273439750004</v>
      </c>
      <c r="AU212" s="216">
        <f t="shared" si="258"/>
        <v>8.8622957676186928E-2</v>
      </c>
      <c r="AV212" s="102">
        <f t="shared" si="259"/>
        <v>24.6</v>
      </c>
      <c r="AW212" s="103">
        <f t="shared" si="260"/>
        <v>91.05868298406773</v>
      </c>
      <c r="AX212" s="32"/>
      <c r="AY212" s="101">
        <f t="shared" si="291"/>
        <v>60</v>
      </c>
      <c r="AZ212" s="102">
        <f t="shared" si="261"/>
        <v>0.41000000000000003</v>
      </c>
      <c r="BA212" s="102">
        <f t="shared" si="292"/>
        <v>15</v>
      </c>
      <c r="BB212" s="103">
        <f t="shared" si="262"/>
        <v>2.0500000000000003</v>
      </c>
      <c r="BC212" s="101">
        <f t="shared" si="263"/>
        <v>2</v>
      </c>
      <c r="BD212" s="102">
        <f t="shared" si="264"/>
        <v>0.75</v>
      </c>
      <c r="BE212" s="100">
        <f t="shared" si="265"/>
        <v>0.25</v>
      </c>
      <c r="BF212" s="101">
        <f t="shared" si="266"/>
        <v>0.45000000000000007</v>
      </c>
      <c r="BG212" s="102">
        <f t="shared" si="267"/>
        <v>2.2750000000000004</v>
      </c>
      <c r="BH212" s="102">
        <f t="shared" si="268"/>
        <v>2.0541117301646472</v>
      </c>
      <c r="BI212" s="102">
        <v>0</v>
      </c>
      <c r="BJ212" s="102">
        <f t="shared" si="269"/>
        <v>4.2193750000000002E-2</v>
      </c>
      <c r="BK212" s="103">
        <f t="shared" si="270"/>
        <v>4.2193750000000002E-2</v>
      </c>
      <c r="BL212" s="101">
        <f t="shared" si="271"/>
        <v>1.5375000000000001</v>
      </c>
      <c r="BM212" s="97">
        <f t="shared" si="272"/>
        <v>1.7789129405341906</v>
      </c>
      <c r="BN212" s="97">
        <f t="shared" si="273"/>
        <v>0.28045011903372097</v>
      </c>
      <c r="BO212" s="97">
        <f t="shared" si="274"/>
        <v>2.1525000000000003</v>
      </c>
      <c r="BP212" s="103">
        <f t="shared" si="275"/>
        <v>2.4329501190337215</v>
      </c>
      <c r="BQ212" s="101">
        <f t="shared" si="276"/>
        <v>0.51250000000000007</v>
      </c>
      <c r="BR212" s="102">
        <f t="shared" si="277"/>
        <v>1.0270558650823236</v>
      </c>
      <c r="BS212" s="102">
        <f t="shared" si="278"/>
        <v>0.17220000000000002</v>
      </c>
      <c r="BT212" s="102">
        <f t="shared" si="279"/>
        <v>0.75525000000000009</v>
      </c>
      <c r="BU212" s="103">
        <f t="shared" si="280"/>
        <v>0.92745000000000011</v>
      </c>
      <c r="BV212" s="99">
        <f t="shared" si="281"/>
        <v>0</v>
      </c>
      <c r="BW212" s="102">
        <f t="shared" si="293"/>
        <v>8.7499999999999994E-2</v>
      </c>
      <c r="BX212" s="103">
        <f t="shared" si="282"/>
        <v>1.155E-2</v>
      </c>
      <c r="BY212" s="101">
        <f t="shared" si="283"/>
        <v>3.5016438690337219</v>
      </c>
      <c r="BZ212" s="102">
        <f t="shared" si="284"/>
        <v>24.6</v>
      </c>
      <c r="CA212" s="103">
        <f t="shared" si="285"/>
        <v>87.539362873741638</v>
      </c>
      <c r="CB212" s="51">
        <f t="shared" si="286"/>
        <v>2.5320001190337216</v>
      </c>
      <c r="CC212" s="32">
        <f t="shared" si="287"/>
        <v>113.62000416618025</v>
      </c>
    </row>
    <row r="213" spans="17:81" ht="15" thickBot="1" x14ac:dyDescent="0.35">
      <c r="Q213" s="32">
        <v>206</v>
      </c>
      <c r="S213" s="101">
        <f t="shared" si="288"/>
        <v>60</v>
      </c>
      <c r="T213" s="97">
        <f t="shared" si="234"/>
        <v>0.41200000000000003</v>
      </c>
      <c r="U213" s="102">
        <f t="shared" si="289"/>
        <v>15</v>
      </c>
      <c r="V213" s="103">
        <f t="shared" si="235"/>
        <v>2.06</v>
      </c>
      <c r="W213" s="101">
        <f t="shared" si="236"/>
        <v>2</v>
      </c>
      <c r="X213" s="102">
        <f t="shared" si="237"/>
        <v>0.75</v>
      </c>
      <c r="Y213" s="100">
        <f t="shared" si="238"/>
        <v>0.25</v>
      </c>
      <c r="Z213" s="101">
        <f t="shared" si="239"/>
        <v>0.45000000000000007</v>
      </c>
      <c r="AA213" s="102">
        <f t="shared" si="240"/>
        <v>2.2850000000000001</v>
      </c>
      <c r="AB213" s="102">
        <f t="shared" si="241"/>
        <v>2.0640918099735774</v>
      </c>
      <c r="AC213" s="102">
        <v>0</v>
      </c>
      <c r="AD213" s="102">
        <f t="shared" si="242"/>
        <v>4.260474999999999E-2</v>
      </c>
      <c r="AE213" s="103">
        <f t="shared" si="243"/>
        <v>4.260474999999999E-2</v>
      </c>
      <c r="AF213" s="101">
        <f t="shared" si="244"/>
        <v>1.5449999999999999</v>
      </c>
      <c r="AG213" s="97">
        <f t="shared" si="245"/>
        <v>1.7875559431805206</v>
      </c>
      <c r="AH213" s="102">
        <f t="shared" si="246"/>
        <v>0.16559301795166675</v>
      </c>
      <c r="AI213" s="97">
        <f t="shared" si="247"/>
        <v>2.1629999999999998</v>
      </c>
      <c r="AJ213" s="103">
        <f t="shared" si="248"/>
        <v>2.3285930179516665</v>
      </c>
      <c r="AK213" s="101">
        <f t="shared" si="249"/>
        <v>0.51500000000000001</v>
      </c>
      <c r="AL213" s="102">
        <f t="shared" si="250"/>
        <v>1.0320459049867889</v>
      </c>
      <c r="AM213" s="102">
        <f t="shared" si="251"/>
        <v>0.17304</v>
      </c>
      <c r="AN213" s="102">
        <f t="shared" si="252"/>
        <v>0.75525000000000009</v>
      </c>
      <c r="AO213" s="103">
        <f t="shared" si="253"/>
        <v>0.92829000000000006</v>
      </c>
      <c r="AP213" s="99">
        <f t="shared" si="254"/>
        <v>0</v>
      </c>
      <c r="AQ213" s="102">
        <f t="shared" si="290"/>
        <v>8.7499999999999994E-2</v>
      </c>
      <c r="AR213" s="103">
        <f t="shared" si="255"/>
        <v>1.155E-2</v>
      </c>
      <c r="AS213" s="99">
        <f t="shared" si="256"/>
        <v>2.4276430179516666</v>
      </c>
      <c r="AT213" s="215">
        <f t="shared" si="257"/>
        <v>170.6585810771</v>
      </c>
      <c r="AU213" s="216">
        <f t="shared" si="258"/>
        <v>8.8800142980049235E-2</v>
      </c>
      <c r="AV213" s="102">
        <f t="shared" si="259"/>
        <v>24.720000000000002</v>
      </c>
      <c r="AW213" s="103">
        <f t="shared" si="260"/>
        <v>91.057628773347417</v>
      </c>
      <c r="AX213" s="32"/>
      <c r="AY213" s="101">
        <f t="shared" si="291"/>
        <v>60</v>
      </c>
      <c r="AZ213" s="102">
        <f t="shared" si="261"/>
        <v>0.41200000000000003</v>
      </c>
      <c r="BA213" s="102">
        <f t="shared" si="292"/>
        <v>15</v>
      </c>
      <c r="BB213" s="103">
        <f t="shared" si="262"/>
        <v>2.06</v>
      </c>
      <c r="BC213" s="101">
        <f t="shared" si="263"/>
        <v>2</v>
      </c>
      <c r="BD213" s="102">
        <f t="shared" si="264"/>
        <v>0.75</v>
      </c>
      <c r="BE213" s="100">
        <f t="shared" si="265"/>
        <v>0.25</v>
      </c>
      <c r="BF213" s="101">
        <f t="shared" si="266"/>
        <v>0.45000000000000007</v>
      </c>
      <c r="BG213" s="102">
        <f t="shared" si="267"/>
        <v>2.2850000000000001</v>
      </c>
      <c r="BH213" s="102">
        <f t="shared" si="268"/>
        <v>2.0640918099735774</v>
      </c>
      <c r="BI213" s="102">
        <v>0</v>
      </c>
      <c r="BJ213" s="102">
        <f t="shared" si="269"/>
        <v>4.260474999999999E-2</v>
      </c>
      <c r="BK213" s="103">
        <f t="shared" si="270"/>
        <v>4.260474999999999E-2</v>
      </c>
      <c r="BL213" s="101">
        <f t="shared" si="271"/>
        <v>1.5449999999999999</v>
      </c>
      <c r="BM213" s="97">
        <f t="shared" si="272"/>
        <v>1.7875559431805206</v>
      </c>
      <c r="BN213" s="97">
        <f t="shared" si="273"/>
        <v>0.28374809187219402</v>
      </c>
      <c r="BO213" s="97">
        <f t="shared" si="274"/>
        <v>2.1629999999999998</v>
      </c>
      <c r="BP213" s="103">
        <f t="shared" si="275"/>
        <v>2.4467480918721938</v>
      </c>
      <c r="BQ213" s="101">
        <f t="shared" si="276"/>
        <v>0.51500000000000001</v>
      </c>
      <c r="BR213" s="102">
        <f t="shared" si="277"/>
        <v>1.0320459049867889</v>
      </c>
      <c r="BS213" s="102">
        <f t="shared" si="278"/>
        <v>0.17304</v>
      </c>
      <c r="BT213" s="102">
        <f t="shared" si="279"/>
        <v>0.75525000000000009</v>
      </c>
      <c r="BU213" s="103">
        <f t="shared" si="280"/>
        <v>0.92829000000000006</v>
      </c>
      <c r="BV213" s="99">
        <f t="shared" si="281"/>
        <v>0</v>
      </c>
      <c r="BW213" s="102">
        <f t="shared" si="293"/>
        <v>8.7499999999999994E-2</v>
      </c>
      <c r="BX213" s="103">
        <f t="shared" si="282"/>
        <v>1.155E-2</v>
      </c>
      <c r="BY213" s="101">
        <f t="shared" si="283"/>
        <v>3.5166928418721941</v>
      </c>
      <c r="BZ213" s="102">
        <f t="shared" si="284"/>
        <v>24.720000000000002</v>
      </c>
      <c r="CA213" s="103">
        <f t="shared" si="285"/>
        <v>87.545663149838532</v>
      </c>
      <c r="CB213" s="51">
        <f t="shared" si="286"/>
        <v>2.5457980918721939</v>
      </c>
      <c r="CC213" s="32">
        <f t="shared" si="287"/>
        <v>114.10293321552679</v>
      </c>
    </row>
    <row r="214" spans="17:81" ht="15" thickBot="1" x14ac:dyDescent="0.35">
      <c r="Q214" s="32">
        <v>207</v>
      </c>
      <c r="S214" s="101">
        <f t="shared" si="288"/>
        <v>60</v>
      </c>
      <c r="T214" s="97">
        <f t="shared" si="234"/>
        <v>0.41400000000000003</v>
      </c>
      <c r="U214" s="102">
        <f t="shared" si="289"/>
        <v>15</v>
      </c>
      <c r="V214" s="103">
        <f t="shared" si="235"/>
        <v>2.0700000000000003</v>
      </c>
      <c r="W214" s="101">
        <f t="shared" si="236"/>
        <v>2</v>
      </c>
      <c r="X214" s="102">
        <f t="shared" si="237"/>
        <v>0.75</v>
      </c>
      <c r="Y214" s="100">
        <f t="shared" si="238"/>
        <v>0.25</v>
      </c>
      <c r="Z214" s="101">
        <f t="shared" si="239"/>
        <v>0.45000000000000007</v>
      </c>
      <c r="AA214" s="102">
        <f t="shared" si="240"/>
        <v>2.2950000000000004</v>
      </c>
      <c r="AB214" s="102">
        <f t="shared" si="241"/>
        <v>2.0740720816789375</v>
      </c>
      <c r="AC214" s="102">
        <v>0</v>
      </c>
      <c r="AD214" s="102">
        <f t="shared" si="242"/>
        <v>4.3017750000000014E-2</v>
      </c>
      <c r="AE214" s="103">
        <f t="shared" si="243"/>
        <v>4.3017750000000014E-2</v>
      </c>
      <c r="AF214" s="101">
        <f t="shared" si="244"/>
        <v>1.5525000000000002</v>
      </c>
      <c r="AG214" s="97">
        <f t="shared" si="245"/>
        <v>1.796199112014033</v>
      </c>
      <c r="AH214" s="102">
        <f t="shared" si="246"/>
        <v>0.16719823606500009</v>
      </c>
      <c r="AI214" s="97">
        <f t="shared" si="247"/>
        <v>2.1735000000000002</v>
      </c>
      <c r="AJ214" s="103">
        <f t="shared" si="248"/>
        <v>2.3406982360650002</v>
      </c>
      <c r="AK214" s="101">
        <f t="shared" si="249"/>
        <v>0.51750000000000007</v>
      </c>
      <c r="AL214" s="102">
        <f t="shared" si="250"/>
        <v>1.0370360408394688</v>
      </c>
      <c r="AM214" s="102">
        <f t="shared" si="251"/>
        <v>0.17388000000000001</v>
      </c>
      <c r="AN214" s="102">
        <f t="shared" si="252"/>
        <v>0.75525000000000009</v>
      </c>
      <c r="AO214" s="103">
        <f t="shared" si="253"/>
        <v>0.92913000000000012</v>
      </c>
      <c r="AP214" s="99">
        <f t="shared" si="254"/>
        <v>0</v>
      </c>
      <c r="AQ214" s="102">
        <f t="shared" si="290"/>
        <v>8.7499999999999994E-2</v>
      </c>
      <c r="AR214" s="103">
        <f t="shared" si="255"/>
        <v>1.155E-2</v>
      </c>
      <c r="AS214" s="99">
        <f t="shared" si="256"/>
        <v>2.4397482360650002</v>
      </c>
      <c r="AT214" s="215">
        <f t="shared" si="257"/>
        <v>171.38489416390001</v>
      </c>
      <c r="AU214" s="216">
        <f t="shared" si="258"/>
        <v>8.897744213784764E-2</v>
      </c>
      <c r="AV214" s="102">
        <f t="shared" si="259"/>
        <v>24.840000000000003</v>
      </c>
      <c r="AW214" s="103">
        <f t="shared" si="260"/>
        <v>91.056558825423664</v>
      </c>
      <c r="AX214" s="32"/>
      <c r="AY214" s="101">
        <f t="shared" si="291"/>
        <v>60</v>
      </c>
      <c r="AZ214" s="102">
        <f t="shared" si="261"/>
        <v>0.41400000000000003</v>
      </c>
      <c r="BA214" s="102">
        <f t="shared" si="292"/>
        <v>15</v>
      </c>
      <c r="BB214" s="103">
        <f t="shared" si="262"/>
        <v>2.0700000000000003</v>
      </c>
      <c r="BC214" s="101">
        <f t="shared" si="263"/>
        <v>2</v>
      </c>
      <c r="BD214" s="102">
        <f t="shared" si="264"/>
        <v>0.75</v>
      </c>
      <c r="BE214" s="100">
        <f t="shared" si="265"/>
        <v>0.25</v>
      </c>
      <c r="BF214" s="101">
        <f t="shared" si="266"/>
        <v>0.45000000000000007</v>
      </c>
      <c r="BG214" s="102">
        <f t="shared" si="267"/>
        <v>2.2950000000000004</v>
      </c>
      <c r="BH214" s="102">
        <f t="shared" si="268"/>
        <v>2.0740720816789375</v>
      </c>
      <c r="BI214" s="102">
        <v>0</v>
      </c>
      <c r="BJ214" s="102">
        <f t="shared" si="269"/>
        <v>4.3017750000000014E-2</v>
      </c>
      <c r="BK214" s="103">
        <f t="shared" si="270"/>
        <v>4.3017750000000014E-2</v>
      </c>
      <c r="BL214" s="101">
        <f t="shared" si="271"/>
        <v>1.5525000000000002</v>
      </c>
      <c r="BM214" s="97">
        <f t="shared" si="272"/>
        <v>1.796199112014033</v>
      </c>
      <c r="BN214" s="97">
        <f t="shared" si="273"/>
        <v>0.28707070211440472</v>
      </c>
      <c r="BO214" s="97">
        <f t="shared" si="274"/>
        <v>2.1735000000000002</v>
      </c>
      <c r="BP214" s="103">
        <f t="shared" si="275"/>
        <v>2.460570702114405</v>
      </c>
      <c r="BQ214" s="101">
        <f t="shared" si="276"/>
        <v>0.51750000000000007</v>
      </c>
      <c r="BR214" s="102">
        <f t="shared" si="277"/>
        <v>1.0370360408394688</v>
      </c>
      <c r="BS214" s="102">
        <f t="shared" si="278"/>
        <v>0.17388000000000001</v>
      </c>
      <c r="BT214" s="102">
        <f t="shared" si="279"/>
        <v>0.75525000000000009</v>
      </c>
      <c r="BU214" s="103">
        <f t="shared" si="280"/>
        <v>0.92913000000000012</v>
      </c>
      <c r="BV214" s="99">
        <f t="shared" si="281"/>
        <v>0</v>
      </c>
      <c r="BW214" s="102">
        <f t="shared" si="293"/>
        <v>8.7499999999999994E-2</v>
      </c>
      <c r="BX214" s="103">
        <f t="shared" si="282"/>
        <v>1.155E-2</v>
      </c>
      <c r="BY214" s="101">
        <f t="shared" si="283"/>
        <v>3.5317684521144055</v>
      </c>
      <c r="BZ214" s="102">
        <f t="shared" si="284"/>
        <v>24.840000000000003</v>
      </c>
      <c r="CA214" s="103">
        <f t="shared" si="285"/>
        <v>87.551821247676926</v>
      </c>
      <c r="CB214" s="51">
        <f t="shared" si="286"/>
        <v>2.5596207021144051</v>
      </c>
      <c r="CC214" s="32">
        <f t="shared" si="287"/>
        <v>114.58672457400418</v>
      </c>
    </row>
    <row r="215" spans="17:81" ht="15" thickBot="1" x14ac:dyDescent="0.35">
      <c r="Q215" s="32">
        <v>208</v>
      </c>
      <c r="S215" s="101">
        <f t="shared" si="288"/>
        <v>60</v>
      </c>
      <c r="T215" s="97">
        <f t="shared" si="234"/>
        <v>0.41600000000000004</v>
      </c>
      <c r="U215" s="102">
        <f t="shared" si="289"/>
        <v>15</v>
      </c>
      <c r="V215" s="103">
        <f t="shared" si="235"/>
        <v>2.08</v>
      </c>
      <c r="W215" s="101">
        <f t="shared" si="236"/>
        <v>2</v>
      </c>
      <c r="X215" s="102">
        <f t="shared" si="237"/>
        <v>0.75</v>
      </c>
      <c r="Y215" s="100">
        <f t="shared" si="238"/>
        <v>0.25</v>
      </c>
      <c r="Z215" s="101">
        <f t="shared" si="239"/>
        <v>0.45000000000000007</v>
      </c>
      <c r="AA215" s="102">
        <f t="shared" si="240"/>
        <v>2.3050000000000002</v>
      </c>
      <c r="AB215" s="102">
        <f t="shared" si="241"/>
        <v>2.0840525425238203</v>
      </c>
      <c r="AC215" s="102">
        <v>0</v>
      </c>
      <c r="AD215" s="102">
        <f t="shared" si="242"/>
        <v>4.3432750000000006E-2</v>
      </c>
      <c r="AE215" s="103">
        <f t="shared" si="243"/>
        <v>4.3432750000000006E-2</v>
      </c>
      <c r="AF215" s="101">
        <f t="shared" si="244"/>
        <v>1.56</v>
      </c>
      <c r="AG215" s="97">
        <f t="shared" si="245"/>
        <v>1.8048424446471776</v>
      </c>
      <c r="AH215" s="102">
        <f t="shared" si="246"/>
        <v>0.16881122763166673</v>
      </c>
      <c r="AI215" s="97">
        <f t="shared" si="247"/>
        <v>2.1840000000000002</v>
      </c>
      <c r="AJ215" s="103">
        <f t="shared" si="248"/>
        <v>2.3528112276316668</v>
      </c>
      <c r="AK215" s="101">
        <f t="shared" si="249"/>
        <v>0.52</v>
      </c>
      <c r="AL215" s="102">
        <f t="shared" si="250"/>
        <v>1.0420262712619102</v>
      </c>
      <c r="AM215" s="102">
        <f t="shared" si="251"/>
        <v>0.17472000000000001</v>
      </c>
      <c r="AN215" s="102">
        <f t="shared" si="252"/>
        <v>0.75525000000000009</v>
      </c>
      <c r="AO215" s="103">
        <f t="shared" si="253"/>
        <v>0.92997000000000007</v>
      </c>
      <c r="AP215" s="99">
        <f t="shared" si="254"/>
        <v>0</v>
      </c>
      <c r="AQ215" s="102">
        <f t="shared" si="290"/>
        <v>8.7499999999999994E-2</v>
      </c>
      <c r="AR215" s="103">
        <f t="shared" si="255"/>
        <v>1.155E-2</v>
      </c>
      <c r="AS215" s="99">
        <f t="shared" si="256"/>
        <v>2.4518612276316669</v>
      </c>
      <c r="AT215" s="215">
        <f t="shared" si="257"/>
        <v>172.11167365790001</v>
      </c>
      <c r="AU215" s="216">
        <f t="shared" si="258"/>
        <v>8.9154855149582102E-2</v>
      </c>
      <c r="AV215" s="102">
        <f t="shared" si="259"/>
        <v>24.96</v>
      </c>
      <c r="AW215" s="103">
        <f t="shared" si="260"/>
        <v>91.055473368732279</v>
      </c>
      <c r="AX215" s="32"/>
      <c r="AY215" s="101">
        <f t="shared" si="291"/>
        <v>60</v>
      </c>
      <c r="AZ215" s="102">
        <f t="shared" si="261"/>
        <v>0.41600000000000004</v>
      </c>
      <c r="BA215" s="102">
        <f t="shared" si="292"/>
        <v>15</v>
      </c>
      <c r="BB215" s="103">
        <f t="shared" si="262"/>
        <v>2.08</v>
      </c>
      <c r="BC215" s="101">
        <f t="shared" si="263"/>
        <v>2</v>
      </c>
      <c r="BD215" s="102">
        <f t="shared" si="264"/>
        <v>0.75</v>
      </c>
      <c r="BE215" s="100">
        <f t="shared" si="265"/>
        <v>0.25</v>
      </c>
      <c r="BF215" s="101">
        <f t="shared" si="266"/>
        <v>0.45000000000000007</v>
      </c>
      <c r="BG215" s="102">
        <f t="shared" si="267"/>
        <v>2.3050000000000002</v>
      </c>
      <c r="BH215" s="102">
        <f t="shared" si="268"/>
        <v>2.0840525425238203</v>
      </c>
      <c r="BI215" s="102">
        <v>0</v>
      </c>
      <c r="BJ215" s="102">
        <f t="shared" si="269"/>
        <v>4.3432750000000006E-2</v>
      </c>
      <c r="BK215" s="103">
        <f t="shared" si="270"/>
        <v>4.3432750000000006E-2</v>
      </c>
      <c r="BL215" s="101">
        <f t="shared" si="271"/>
        <v>1.56</v>
      </c>
      <c r="BM215" s="97">
        <f t="shared" si="272"/>
        <v>1.8048424446471776</v>
      </c>
      <c r="BN215" s="97">
        <f t="shared" si="273"/>
        <v>0.2904180401248509</v>
      </c>
      <c r="BO215" s="97">
        <f t="shared" si="274"/>
        <v>2.1840000000000002</v>
      </c>
      <c r="BP215" s="103">
        <f t="shared" si="275"/>
        <v>2.474418040124851</v>
      </c>
      <c r="BQ215" s="101">
        <f t="shared" si="276"/>
        <v>0.52</v>
      </c>
      <c r="BR215" s="102">
        <f t="shared" si="277"/>
        <v>1.0420262712619102</v>
      </c>
      <c r="BS215" s="102">
        <f t="shared" si="278"/>
        <v>0.17472000000000001</v>
      </c>
      <c r="BT215" s="102">
        <f t="shared" si="279"/>
        <v>0.75525000000000009</v>
      </c>
      <c r="BU215" s="103">
        <f t="shared" si="280"/>
        <v>0.92997000000000007</v>
      </c>
      <c r="BV215" s="99">
        <f t="shared" si="281"/>
        <v>0</v>
      </c>
      <c r="BW215" s="102">
        <f t="shared" si="293"/>
        <v>8.7499999999999994E-2</v>
      </c>
      <c r="BX215" s="103">
        <f t="shared" si="282"/>
        <v>1.155E-2</v>
      </c>
      <c r="BY215" s="101">
        <f t="shared" si="283"/>
        <v>3.5468707901248511</v>
      </c>
      <c r="BZ215" s="102">
        <f t="shared" si="284"/>
        <v>24.96</v>
      </c>
      <c r="CA215" s="103">
        <f t="shared" si="285"/>
        <v>87.557838893514997</v>
      </c>
      <c r="CB215" s="51">
        <f t="shared" si="286"/>
        <v>2.5734680401248511</v>
      </c>
      <c r="CC215" s="32">
        <f t="shared" si="287"/>
        <v>115.07138140436979</v>
      </c>
    </row>
    <row r="216" spans="17:81" ht="15" thickBot="1" x14ac:dyDescent="0.35">
      <c r="Q216" s="32">
        <v>209</v>
      </c>
      <c r="S216" s="101">
        <f t="shared" si="288"/>
        <v>60</v>
      </c>
      <c r="T216" s="97">
        <f t="shared" si="234"/>
        <v>0.41799999999999998</v>
      </c>
      <c r="U216" s="102">
        <f t="shared" si="289"/>
        <v>15</v>
      </c>
      <c r="V216" s="103">
        <f t="shared" si="235"/>
        <v>2.09</v>
      </c>
      <c r="W216" s="101">
        <f t="shared" si="236"/>
        <v>2</v>
      </c>
      <c r="X216" s="102">
        <f t="shared" si="237"/>
        <v>0.75</v>
      </c>
      <c r="Y216" s="100">
        <f t="shared" si="238"/>
        <v>0.25</v>
      </c>
      <c r="Z216" s="101">
        <f t="shared" si="239"/>
        <v>0.45000000000000007</v>
      </c>
      <c r="AA216" s="102">
        <f t="shared" si="240"/>
        <v>2.3149999999999999</v>
      </c>
      <c r="AB216" s="102">
        <f t="shared" si="241"/>
        <v>2.0940331898038291</v>
      </c>
      <c r="AC216" s="102">
        <v>0</v>
      </c>
      <c r="AD216" s="102">
        <f t="shared" si="242"/>
        <v>4.384975E-2</v>
      </c>
      <c r="AE216" s="103">
        <f t="shared" si="243"/>
        <v>4.384975E-2</v>
      </c>
      <c r="AF216" s="101">
        <f t="shared" si="244"/>
        <v>1.5674999999999999</v>
      </c>
      <c r="AG216" s="97">
        <f t="shared" si="245"/>
        <v>1.813485938737877</v>
      </c>
      <c r="AH216" s="102">
        <f t="shared" si="246"/>
        <v>0.17043199265166664</v>
      </c>
      <c r="AI216" s="97">
        <f t="shared" si="247"/>
        <v>2.1945000000000001</v>
      </c>
      <c r="AJ216" s="103">
        <f t="shared" si="248"/>
        <v>2.364931992651667</v>
      </c>
      <c r="AK216" s="101">
        <f t="shared" si="249"/>
        <v>0.52249999999999996</v>
      </c>
      <c r="AL216" s="102">
        <f t="shared" si="250"/>
        <v>1.0470165949019146</v>
      </c>
      <c r="AM216" s="102">
        <f t="shared" si="251"/>
        <v>0.17555999999999999</v>
      </c>
      <c r="AN216" s="102">
        <f t="shared" si="252"/>
        <v>0.75525000000000009</v>
      </c>
      <c r="AO216" s="103">
        <f t="shared" si="253"/>
        <v>0.93081000000000014</v>
      </c>
      <c r="AP216" s="99">
        <f t="shared" si="254"/>
        <v>0</v>
      </c>
      <c r="AQ216" s="102">
        <f t="shared" si="290"/>
        <v>8.7499999999999994E-2</v>
      </c>
      <c r="AR216" s="103">
        <f t="shared" si="255"/>
        <v>1.155E-2</v>
      </c>
      <c r="AS216" s="99">
        <f t="shared" si="256"/>
        <v>2.4639819926516671</v>
      </c>
      <c r="AT216" s="215">
        <f t="shared" si="257"/>
        <v>172.83891955910002</v>
      </c>
      <c r="AU216" s="216">
        <f t="shared" si="258"/>
        <v>8.9332382015252634E-2</v>
      </c>
      <c r="AV216" s="102">
        <f t="shared" si="259"/>
        <v>25.08</v>
      </c>
      <c r="AW216" s="103">
        <f t="shared" si="260"/>
        <v>91.054372627352791</v>
      </c>
      <c r="AX216" s="32"/>
      <c r="AY216" s="101">
        <f t="shared" si="291"/>
        <v>60</v>
      </c>
      <c r="AZ216" s="102">
        <f t="shared" si="261"/>
        <v>0.41799999999999998</v>
      </c>
      <c r="BA216" s="102">
        <f t="shared" si="292"/>
        <v>15</v>
      </c>
      <c r="BB216" s="103">
        <f t="shared" si="262"/>
        <v>2.09</v>
      </c>
      <c r="BC216" s="101">
        <f t="shared" si="263"/>
        <v>2</v>
      </c>
      <c r="BD216" s="102">
        <f t="shared" si="264"/>
        <v>0.75</v>
      </c>
      <c r="BE216" s="100">
        <f t="shared" si="265"/>
        <v>0.25</v>
      </c>
      <c r="BF216" s="101">
        <f t="shared" si="266"/>
        <v>0.45000000000000007</v>
      </c>
      <c r="BG216" s="102">
        <f t="shared" si="267"/>
        <v>2.3149999999999999</v>
      </c>
      <c r="BH216" s="102">
        <f t="shared" si="268"/>
        <v>2.0940331898038291</v>
      </c>
      <c r="BI216" s="102">
        <v>0</v>
      </c>
      <c r="BJ216" s="102">
        <f t="shared" si="269"/>
        <v>4.384975E-2</v>
      </c>
      <c r="BK216" s="103">
        <f t="shared" si="270"/>
        <v>4.384975E-2</v>
      </c>
      <c r="BL216" s="101">
        <f t="shared" si="271"/>
        <v>1.5674999999999999</v>
      </c>
      <c r="BM216" s="97">
        <f t="shared" si="272"/>
        <v>1.813485938737877</v>
      </c>
      <c r="BN216" s="97">
        <f t="shared" si="273"/>
        <v>0.29379019637049919</v>
      </c>
      <c r="BO216" s="97">
        <f t="shared" si="274"/>
        <v>2.1945000000000001</v>
      </c>
      <c r="BP216" s="103">
        <f t="shared" si="275"/>
        <v>2.4882901963704995</v>
      </c>
      <c r="BQ216" s="101">
        <f t="shared" si="276"/>
        <v>0.52249999999999996</v>
      </c>
      <c r="BR216" s="102">
        <f t="shared" si="277"/>
        <v>1.0470165949019146</v>
      </c>
      <c r="BS216" s="102">
        <f t="shared" si="278"/>
        <v>0.17555999999999999</v>
      </c>
      <c r="BT216" s="102">
        <f t="shared" si="279"/>
        <v>0.75525000000000009</v>
      </c>
      <c r="BU216" s="103">
        <f t="shared" si="280"/>
        <v>0.93081000000000014</v>
      </c>
      <c r="BV216" s="99">
        <f t="shared" si="281"/>
        <v>0</v>
      </c>
      <c r="BW216" s="102">
        <f t="shared" si="293"/>
        <v>8.7499999999999994E-2</v>
      </c>
      <c r="BX216" s="103">
        <f t="shared" si="282"/>
        <v>1.155E-2</v>
      </c>
      <c r="BY216" s="101">
        <f t="shared" si="283"/>
        <v>3.5619999463704999</v>
      </c>
      <c r="BZ216" s="102">
        <f t="shared" si="284"/>
        <v>25.08</v>
      </c>
      <c r="CA216" s="103">
        <f t="shared" si="285"/>
        <v>87.563717781439792</v>
      </c>
      <c r="CB216" s="51">
        <f t="shared" si="286"/>
        <v>2.5873401963704996</v>
      </c>
      <c r="CC216" s="32">
        <f t="shared" si="287"/>
        <v>115.55690687296749</v>
      </c>
    </row>
    <row r="217" spans="17:81" ht="15" thickBot="1" x14ac:dyDescent="0.35">
      <c r="Q217" s="32">
        <v>210</v>
      </c>
      <c r="S217" s="101">
        <f t="shared" si="288"/>
        <v>60</v>
      </c>
      <c r="T217" s="97">
        <f t="shared" si="234"/>
        <v>0.42</v>
      </c>
      <c r="U217" s="102">
        <f t="shared" si="289"/>
        <v>15</v>
      </c>
      <c r="V217" s="103">
        <f t="shared" si="235"/>
        <v>2.1</v>
      </c>
      <c r="W217" s="101">
        <f t="shared" si="236"/>
        <v>2</v>
      </c>
      <c r="X217" s="102">
        <f t="shared" si="237"/>
        <v>0.75</v>
      </c>
      <c r="Y217" s="100">
        <f t="shared" si="238"/>
        <v>0.25</v>
      </c>
      <c r="Z217" s="101">
        <f t="shared" si="239"/>
        <v>0.45000000000000007</v>
      </c>
      <c r="AA217" s="102">
        <f t="shared" si="240"/>
        <v>2.3250000000000002</v>
      </c>
      <c r="AB217" s="102">
        <f t="shared" si="241"/>
        <v>2.1040140208658307</v>
      </c>
      <c r="AC217" s="102">
        <v>0</v>
      </c>
      <c r="AD217" s="102">
        <f t="shared" si="242"/>
        <v>4.4268750000000003E-2</v>
      </c>
      <c r="AE217" s="103">
        <f t="shared" si="243"/>
        <v>4.4268750000000003E-2</v>
      </c>
      <c r="AF217" s="101">
        <f t="shared" si="244"/>
        <v>1.5750000000000002</v>
      </c>
      <c r="AG217" s="97">
        <f t="shared" si="245"/>
        <v>1.8221295919884515</v>
      </c>
      <c r="AH217" s="102">
        <f t="shared" si="246"/>
        <v>0.17206053112500008</v>
      </c>
      <c r="AI217" s="97">
        <f t="shared" si="247"/>
        <v>2.2050000000000001</v>
      </c>
      <c r="AJ217" s="103">
        <f t="shared" si="248"/>
        <v>2.3770605311250002</v>
      </c>
      <c r="AK217" s="101">
        <f t="shared" si="249"/>
        <v>0.52500000000000002</v>
      </c>
      <c r="AL217" s="102">
        <f t="shared" si="250"/>
        <v>1.0520070104329153</v>
      </c>
      <c r="AM217" s="102">
        <f t="shared" si="251"/>
        <v>0.17639999999999997</v>
      </c>
      <c r="AN217" s="102">
        <f t="shared" si="252"/>
        <v>0.75525000000000009</v>
      </c>
      <c r="AO217" s="103">
        <f t="shared" si="253"/>
        <v>0.93165000000000009</v>
      </c>
      <c r="AP217" s="99">
        <f t="shared" si="254"/>
        <v>0</v>
      </c>
      <c r="AQ217" s="102">
        <f t="shared" si="290"/>
        <v>8.7499999999999994E-2</v>
      </c>
      <c r="AR217" s="103">
        <f t="shared" si="255"/>
        <v>1.155E-2</v>
      </c>
      <c r="AS217" s="99">
        <f t="shared" si="256"/>
        <v>2.4761105311250002</v>
      </c>
      <c r="AT217" s="215">
        <f t="shared" si="257"/>
        <v>173.56663186750001</v>
      </c>
      <c r="AU217" s="216">
        <f t="shared" si="258"/>
        <v>8.9510022734859224E-2</v>
      </c>
      <c r="AV217" s="102">
        <f t="shared" si="259"/>
        <v>25.2</v>
      </c>
      <c r="AW217" s="103">
        <f t="shared" si="260"/>
        <v>91.053256821111745</v>
      </c>
      <c r="AX217" s="32"/>
      <c r="AY217" s="101">
        <f t="shared" si="291"/>
        <v>60</v>
      </c>
      <c r="AZ217" s="102">
        <f t="shared" si="261"/>
        <v>0.42</v>
      </c>
      <c r="BA217" s="102">
        <f t="shared" si="292"/>
        <v>15</v>
      </c>
      <c r="BB217" s="103">
        <f t="shared" si="262"/>
        <v>2.1</v>
      </c>
      <c r="BC217" s="101">
        <f t="shared" si="263"/>
        <v>2</v>
      </c>
      <c r="BD217" s="102">
        <f t="shared" si="264"/>
        <v>0.75</v>
      </c>
      <c r="BE217" s="100">
        <f t="shared" si="265"/>
        <v>0.25</v>
      </c>
      <c r="BF217" s="101">
        <f t="shared" si="266"/>
        <v>0.45000000000000007</v>
      </c>
      <c r="BG217" s="102">
        <f t="shared" si="267"/>
        <v>2.3250000000000002</v>
      </c>
      <c r="BH217" s="102">
        <f t="shared" si="268"/>
        <v>2.1040140208658307</v>
      </c>
      <c r="BI217" s="102">
        <v>0</v>
      </c>
      <c r="BJ217" s="102">
        <f t="shared" si="269"/>
        <v>4.4268750000000003E-2</v>
      </c>
      <c r="BK217" s="103">
        <f t="shared" si="270"/>
        <v>4.4268750000000003E-2</v>
      </c>
      <c r="BL217" s="101">
        <f t="shared" si="271"/>
        <v>1.5750000000000002</v>
      </c>
      <c r="BM217" s="97">
        <f t="shared" si="272"/>
        <v>1.8221295919884515</v>
      </c>
      <c r="BN217" s="97">
        <f t="shared" si="273"/>
        <v>0.297187261420785</v>
      </c>
      <c r="BO217" s="97">
        <f t="shared" si="274"/>
        <v>2.2050000000000001</v>
      </c>
      <c r="BP217" s="103">
        <f t="shared" si="275"/>
        <v>2.5021872614207852</v>
      </c>
      <c r="BQ217" s="101">
        <f t="shared" si="276"/>
        <v>0.52500000000000002</v>
      </c>
      <c r="BR217" s="102">
        <f t="shared" si="277"/>
        <v>1.0520070104329153</v>
      </c>
      <c r="BS217" s="102">
        <f t="shared" si="278"/>
        <v>0.17639999999999997</v>
      </c>
      <c r="BT217" s="102">
        <f t="shared" si="279"/>
        <v>0.75525000000000009</v>
      </c>
      <c r="BU217" s="103">
        <f t="shared" si="280"/>
        <v>0.93165000000000009</v>
      </c>
      <c r="BV217" s="99">
        <f t="shared" si="281"/>
        <v>0</v>
      </c>
      <c r="BW217" s="102">
        <f t="shared" si="293"/>
        <v>8.7499999999999994E-2</v>
      </c>
      <c r="BX217" s="103">
        <f t="shared" si="282"/>
        <v>1.155E-2</v>
      </c>
      <c r="BY217" s="101">
        <f t="shared" si="283"/>
        <v>3.5771560114207852</v>
      </c>
      <c r="BZ217" s="102">
        <f t="shared" si="284"/>
        <v>25.2</v>
      </c>
      <c r="CA217" s="103">
        <f t="shared" si="285"/>
        <v>87.569459574111079</v>
      </c>
      <c r="CB217" s="51">
        <f t="shared" si="286"/>
        <v>2.6012372614207853</v>
      </c>
      <c r="CC217" s="32">
        <f t="shared" si="287"/>
        <v>116.04330414972749</v>
      </c>
    </row>
    <row r="218" spans="17:81" ht="15" thickBot="1" x14ac:dyDescent="0.35">
      <c r="Q218" s="32">
        <v>211</v>
      </c>
      <c r="S218" s="101">
        <f t="shared" si="288"/>
        <v>60</v>
      </c>
      <c r="T218" s="97">
        <f t="shared" si="234"/>
        <v>0.42199999999999999</v>
      </c>
      <c r="U218" s="102">
        <f t="shared" si="289"/>
        <v>15</v>
      </c>
      <c r="V218" s="103">
        <f t="shared" si="235"/>
        <v>2.11</v>
      </c>
      <c r="W218" s="101">
        <f t="shared" si="236"/>
        <v>2</v>
      </c>
      <c r="X218" s="102">
        <f t="shared" si="237"/>
        <v>0.75</v>
      </c>
      <c r="Y218" s="100">
        <f t="shared" si="238"/>
        <v>0.25</v>
      </c>
      <c r="Z218" s="101">
        <f t="shared" si="239"/>
        <v>0.45000000000000007</v>
      </c>
      <c r="AA218" s="102">
        <f t="shared" si="240"/>
        <v>2.335</v>
      </c>
      <c r="AB218" s="102">
        <f t="shared" si="241"/>
        <v>2.1139950331067476</v>
      </c>
      <c r="AC218" s="102">
        <v>0</v>
      </c>
      <c r="AD218" s="102">
        <f t="shared" si="242"/>
        <v>4.4689749999999986E-2</v>
      </c>
      <c r="AE218" s="103">
        <f t="shared" si="243"/>
        <v>4.4689749999999986E-2</v>
      </c>
      <c r="AF218" s="101">
        <f t="shared" si="244"/>
        <v>1.5825</v>
      </c>
      <c r="AG218" s="97">
        <f t="shared" si="245"/>
        <v>1.830773402144569</v>
      </c>
      <c r="AH218" s="102">
        <f t="shared" si="246"/>
        <v>0.17369684305166672</v>
      </c>
      <c r="AI218" s="97">
        <f t="shared" si="247"/>
        <v>2.2155</v>
      </c>
      <c r="AJ218" s="103">
        <f t="shared" si="248"/>
        <v>2.3891968430516668</v>
      </c>
      <c r="AK218" s="101">
        <f t="shared" si="249"/>
        <v>0.52749999999999997</v>
      </c>
      <c r="AL218" s="102">
        <f t="shared" si="250"/>
        <v>1.0569975165533738</v>
      </c>
      <c r="AM218" s="102">
        <f t="shared" si="251"/>
        <v>0.17723999999999998</v>
      </c>
      <c r="AN218" s="102">
        <f t="shared" si="252"/>
        <v>0.75525000000000009</v>
      </c>
      <c r="AO218" s="103">
        <f t="shared" si="253"/>
        <v>0.93249000000000004</v>
      </c>
      <c r="AP218" s="99">
        <f t="shared" si="254"/>
        <v>0</v>
      </c>
      <c r="AQ218" s="102">
        <f t="shared" si="290"/>
        <v>8.7499999999999994E-2</v>
      </c>
      <c r="AR218" s="103">
        <f t="shared" si="255"/>
        <v>1.155E-2</v>
      </c>
      <c r="AS218" s="99">
        <f t="shared" si="256"/>
        <v>2.4882468430516669</v>
      </c>
      <c r="AT218" s="215">
        <f t="shared" si="257"/>
        <v>174.2948105831</v>
      </c>
      <c r="AU218" s="216">
        <f t="shared" si="258"/>
        <v>8.9687777308401884E-2</v>
      </c>
      <c r="AV218" s="102">
        <f t="shared" si="259"/>
        <v>25.32</v>
      </c>
      <c r="AW218" s="103">
        <f t="shared" si="260"/>
        <v>91.052126165683134</v>
      </c>
      <c r="AX218" s="32"/>
      <c r="AY218" s="101">
        <f t="shared" si="291"/>
        <v>60</v>
      </c>
      <c r="AZ218" s="102">
        <f t="shared" si="261"/>
        <v>0.42199999999999999</v>
      </c>
      <c r="BA218" s="102">
        <f t="shared" si="292"/>
        <v>15</v>
      </c>
      <c r="BB218" s="103">
        <f t="shared" si="262"/>
        <v>2.11</v>
      </c>
      <c r="BC218" s="101">
        <f t="shared" si="263"/>
        <v>2</v>
      </c>
      <c r="BD218" s="102">
        <f t="shared" si="264"/>
        <v>0.75</v>
      </c>
      <c r="BE218" s="100">
        <f t="shared" si="265"/>
        <v>0.25</v>
      </c>
      <c r="BF218" s="101">
        <f t="shared" si="266"/>
        <v>0.45000000000000007</v>
      </c>
      <c r="BG218" s="102">
        <f t="shared" si="267"/>
        <v>2.335</v>
      </c>
      <c r="BH218" s="102">
        <f t="shared" si="268"/>
        <v>2.1139950331067476</v>
      </c>
      <c r="BI218" s="102">
        <v>0</v>
      </c>
      <c r="BJ218" s="102">
        <f t="shared" si="269"/>
        <v>4.4689749999999986E-2</v>
      </c>
      <c r="BK218" s="103">
        <f t="shared" si="270"/>
        <v>4.4689749999999986E-2</v>
      </c>
      <c r="BL218" s="101">
        <f t="shared" si="271"/>
        <v>1.5825</v>
      </c>
      <c r="BM218" s="97">
        <f t="shared" si="272"/>
        <v>1.830773402144569</v>
      </c>
      <c r="BN218" s="97">
        <f t="shared" si="273"/>
        <v>0.30060932594761147</v>
      </c>
      <c r="BO218" s="97">
        <f t="shared" si="274"/>
        <v>2.2155</v>
      </c>
      <c r="BP218" s="103">
        <f t="shared" si="275"/>
        <v>2.5161093259476113</v>
      </c>
      <c r="BQ218" s="101">
        <f t="shared" si="276"/>
        <v>0.52749999999999997</v>
      </c>
      <c r="BR218" s="102">
        <f t="shared" si="277"/>
        <v>1.0569975165533738</v>
      </c>
      <c r="BS218" s="102">
        <f t="shared" si="278"/>
        <v>0.17723999999999998</v>
      </c>
      <c r="BT218" s="102">
        <f t="shared" si="279"/>
        <v>0.75525000000000009</v>
      </c>
      <c r="BU218" s="103">
        <f t="shared" si="280"/>
        <v>0.93249000000000004</v>
      </c>
      <c r="BV218" s="99">
        <f t="shared" si="281"/>
        <v>0</v>
      </c>
      <c r="BW218" s="102">
        <f t="shared" si="293"/>
        <v>8.7499999999999994E-2</v>
      </c>
      <c r="BX218" s="103">
        <f t="shared" si="282"/>
        <v>1.155E-2</v>
      </c>
      <c r="BY218" s="101">
        <f t="shared" si="283"/>
        <v>3.5923390759476113</v>
      </c>
      <c r="BZ218" s="102">
        <f t="shared" si="284"/>
        <v>25.32</v>
      </c>
      <c r="CA218" s="103">
        <f t="shared" si="285"/>
        <v>87.575065903484429</v>
      </c>
      <c r="CB218" s="51">
        <f t="shared" si="286"/>
        <v>2.6151593259476114</v>
      </c>
      <c r="CC218" s="32">
        <f t="shared" si="287"/>
        <v>116.5305764081664</v>
      </c>
    </row>
    <row r="219" spans="17:81" ht="15" thickBot="1" x14ac:dyDescent="0.35">
      <c r="Q219" s="32">
        <v>212</v>
      </c>
      <c r="S219" s="101">
        <f t="shared" si="288"/>
        <v>60</v>
      </c>
      <c r="T219" s="97">
        <f t="shared" si="234"/>
        <v>0.42399999999999999</v>
      </c>
      <c r="U219" s="102">
        <f t="shared" si="289"/>
        <v>15</v>
      </c>
      <c r="V219" s="103">
        <f t="shared" si="235"/>
        <v>2.1199999999999997</v>
      </c>
      <c r="W219" s="101">
        <f t="shared" si="236"/>
        <v>2</v>
      </c>
      <c r="X219" s="102">
        <f t="shared" si="237"/>
        <v>0.75</v>
      </c>
      <c r="Y219" s="100">
        <f t="shared" si="238"/>
        <v>0.25</v>
      </c>
      <c r="Z219" s="101">
        <f t="shared" si="239"/>
        <v>0.45000000000000007</v>
      </c>
      <c r="AA219" s="102">
        <f t="shared" si="240"/>
        <v>2.3449999999999998</v>
      </c>
      <c r="AB219" s="102">
        <f t="shared" si="241"/>
        <v>2.1239762239723867</v>
      </c>
      <c r="AC219" s="102">
        <v>0</v>
      </c>
      <c r="AD219" s="102">
        <f t="shared" si="242"/>
        <v>4.5112749999999986E-2</v>
      </c>
      <c r="AE219" s="103">
        <f t="shared" si="243"/>
        <v>4.5112749999999986E-2</v>
      </c>
      <c r="AF219" s="101">
        <f t="shared" si="244"/>
        <v>1.5899999999999999</v>
      </c>
      <c r="AG219" s="97">
        <f t="shared" si="245"/>
        <v>1.8394173669942335</v>
      </c>
      <c r="AH219" s="102">
        <f t="shared" si="246"/>
        <v>0.17534092843166665</v>
      </c>
      <c r="AI219" s="97">
        <f t="shared" si="247"/>
        <v>2.2259999999999995</v>
      </c>
      <c r="AJ219" s="103">
        <f t="shared" si="248"/>
        <v>2.401340928431666</v>
      </c>
      <c r="AK219" s="101">
        <f t="shared" si="249"/>
        <v>0.52999999999999992</v>
      </c>
      <c r="AL219" s="102">
        <f t="shared" si="250"/>
        <v>1.0619881119861934</v>
      </c>
      <c r="AM219" s="102">
        <f t="shared" si="251"/>
        <v>0.17807999999999999</v>
      </c>
      <c r="AN219" s="102">
        <f t="shared" si="252"/>
        <v>0.75525000000000009</v>
      </c>
      <c r="AO219" s="103">
        <f t="shared" si="253"/>
        <v>0.9333300000000001</v>
      </c>
      <c r="AP219" s="99">
        <f t="shared" si="254"/>
        <v>0</v>
      </c>
      <c r="AQ219" s="102">
        <f t="shared" si="290"/>
        <v>8.7499999999999994E-2</v>
      </c>
      <c r="AR219" s="103">
        <f t="shared" si="255"/>
        <v>1.155E-2</v>
      </c>
      <c r="AS219" s="99">
        <f t="shared" si="256"/>
        <v>2.5003909284316661</v>
      </c>
      <c r="AT219" s="215">
        <f t="shared" si="257"/>
        <v>175.02345570589998</v>
      </c>
      <c r="AU219" s="216">
        <f t="shared" si="258"/>
        <v>8.9865645735880628E-2</v>
      </c>
      <c r="AV219" s="102">
        <f t="shared" si="259"/>
        <v>25.439999999999998</v>
      </c>
      <c r="AW219" s="103">
        <f t="shared" si="260"/>
        <v>91.050980872685955</v>
      </c>
      <c r="AX219" s="32"/>
      <c r="AY219" s="101">
        <f t="shared" si="291"/>
        <v>60</v>
      </c>
      <c r="AZ219" s="102">
        <f t="shared" si="261"/>
        <v>0.42399999999999999</v>
      </c>
      <c r="BA219" s="102">
        <f t="shared" si="292"/>
        <v>15</v>
      </c>
      <c r="BB219" s="103">
        <f t="shared" si="262"/>
        <v>2.1199999999999997</v>
      </c>
      <c r="BC219" s="101">
        <f t="shared" si="263"/>
        <v>2</v>
      </c>
      <c r="BD219" s="102">
        <f t="shared" si="264"/>
        <v>0.75</v>
      </c>
      <c r="BE219" s="100">
        <f t="shared" si="265"/>
        <v>0.25</v>
      </c>
      <c r="BF219" s="101">
        <f t="shared" si="266"/>
        <v>0.45000000000000007</v>
      </c>
      <c r="BG219" s="102">
        <f t="shared" si="267"/>
        <v>2.3449999999999998</v>
      </c>
      <c r="BH219" s="102">
        <f t="shared" si="268"/>
        <v>2.1239762239723867</v>
      </c>
      <c r="BI219" s="102">
        <v>0</v>
      </c>
      <c r="BJ219" s="102">
        <f t="shared" si="269"/>
        <v>4.5112749999999986E-2</v>
      </c>
      <c r="BK219" s="103">
        <f t="shared" si="270"/>
        <v>4.5112749999999986E-2</v>
      </c>
      <c r="BL219" s="101">
        <f t="shared" si="271"/>
        <v>1.5899999999999999</v>
      </c>
      <c r="BM219" s="97">
        <f t="shared" si="272"/>
        <v>1.8394173669942335</v>
      </c>
      <c r="BN219" s="97">
        <f t="shared" si="273"/>
        <v>0.30405648072535102</v>
      </c>
      <c r="BO219" s="97">
        <f t="shared" si="274"/>
        <v>2.2259999999999995</v>
      </c>
      <c r="BP219" s="103">
        <f t="shared" si="275"/>
        <v>2.5300564807253507</v>
      </c>
      <c r="BQ219" s="101">
        <f t="shared" si="276"/>
        <v>0.52999999999999992</v>
      </c>
      <c r="BR219" s="102">
        <f t="shared" si="277"/>
        <v>1.0619881119861934</v>
      </c>
      <c r="BS219" s="102">
        <f t="shared" si="278"/>
        <v>0.17807999999999999</v>
      </c>
      <c r="BT219" s="102">
        <f t="shared" si="279"/>
        <v>0.75525000000000009</v>
      </c>
      <c r="BU219" s="103">
        <f t="shared" si="280"/>
        <v>0.9333300000000001</v>
      </c>
      <c r="BV219" s="99">
        <f t="shared" si="281"/>
        <v>0</v>
      </c>
      <c r="BW219" s="102">
        <f t="shared" si="293"/>
        <v>8.7499999999999994E-2</v>
      </c>
      <c r="BX219" s="103">
        <f t="shared" si="282"/>
        <v>1.155E-2</v>
      </c>
      <c r="BY219" s="101">
        <f t="shared" si="283"/>
        <v>3.6075492307253509</v>
      </c>
      <c r="BZ219" s="102">
        <f t="shared" si="284"/>
        <v>25.439999999999998</v>
      </c>
      <c r="CA219" s="103">
        <f t="shared" si="285"/>
        <v>87.580538371514578</v>
      </c>
      <c r="CB219" s="51">
        <f t="shared" si="286"/>
        <v>2.6291064807253508</v>
      </c>
      <c r="CC219" s="32">
        <f t="shared" si="287"/>
        <v>117.01872682538728</v>
      </c>
    </row>
    <row r="220" spans="17:81" ht="15" thickBot="1" x14ac:dyDescent="0.35">
      <c r="Q220" s="32">
        <v>213</v>
      </c>
      <c r="S220" s="101">
        <f t="shared" si="288"/>
        <v>60</v>
      </c>
      <c r="T220" s="97">
        <f t="shared" si="234"/>
        <v>0.42599999999999999</v>
      </c>
      <c r="U220" s="102">
        <f t="shared" si="289"/>
        <v>15</v>
      </c>
      <c r="V220" s="103">
        <f t="shared" si="235"/>
        <v>2.13</v>
      </c>
      <c r="W220" s="101">
        <f t="shared" si="236"/>
        <v>2</v>
      </c>
      <c r="X220" s="102">
        <f t="shared" si="237"/>
        <v>0.75</v>
      </c>
      <c r="Y220" s="100">
        <f t="shared" si="238"/>
        <v>0.25</v>
      </c>
      <c r="Z220" s="101">
        <f t="shared" si="239"/>
        <v>0.45000000000000007</v>
      </c>
      <c r="AA220" s="102">
        <f t="shared" si="240"/>
        <v>2.355</v>
      </c>
      <c r="AB220" s="102">
        <f t="shared" si="241"/>
        <v>2.133957590956296</v>
      </c>
      <c r="AC220" s="102">
        <v>0</v>
      </c>
      <c r="AD220" s="102">
        <f t="shared" si="242"/>
        <v>4.5537749999999981E-2</v>
      </c>
      <c r="AE220" s="103">
        <f t="shared" si="243"/>
        <v>4.5537749999999981E-2</v>
      </c>
      <c r="AF220" s="101">
        <f t="shared" si="244"/>
        <v>1.5974999999999999</v>
      </c>
      <c r="AG220" s="97">
        <f t="shared" si="245"/>
        <v>1.8480614843667946</v>
      </c>
      <c r="AH220" s="102">
        <f t="shared" si="246"/>
        <v>0.17699278726500006</v>
      </c>
      <c r="AI220" s="97">
        <f t="shared" si="247"/>
        <v>2.2364999999999999</v>
      </c>
      <c r="AJ220" s="103">
        <f t="shared" si="248"/>
        <v>2.4134927872650001</v>
      </c>
      <c r="AK220" s="101">
        <f t="shared" si="249"/>
        <v>0.53249999999999997</v>
      </c>
      <c r="AL220" s="102">
        <f t="shared" si="250"/>
        <v>1.0669787954781482</v>
      </c>
      <c r="AM220" s="102">
        <f t="shared" si="251"/>
        <v>0.17892</v>
      </c>
      <c r="AN220" s="102">
        <f t="shared" si="252"/>
        <v>0.75525000000000009</v>
      </c>
      <c r="AO220" s="103">
        <f t="shared" si="253"/>
        <v>0.93417000000000006</v>
      </c>
      <c r="AP220" s="99">
        <f t="shared" si="254"/>
        <v>0</v>
      </c>
      <c r="AQ220" s="102">
        <f t="shared" si="290"/>
        <v>8.7499999999999994E-2</v>
      </c>
      <c r="AR220" s="103">
        <f t="shared" si="255"/>
        <v>1.155E-2</v>
      </c>
      <c r="AS220" s="99">
        <f t="shared" si="256"/>
        <v>2.5125427872650001</v>
      </c>
      <c r="AT220" s="215">
        <f t="shared" si="257"/>
        <v>175.75256723590002</v>
      </c>
      <c r="AU220" s="216">
        <f t="shared" si="258"/>
        <v>9.0043628017295443E-2</v>
      </c>
      <c r="AV220" s="102">
        <f t="shared" si="259"/>
        <v>25.56</v>
      </c>
      <c r="AW220" s="103">
        <f t="shared" si="260"/>
        <v>91.049821149779106</v>
      </c>
      <c r="AX220" s="32"/>
      <c r="AY220" s="101">
        <f t="shared" si="291"/>
        <v>60</v>
      </c>
      <c r="AZ220" s="102">
        <f t="shared" si="261"/>
        <v>0.42599999999999999</v>
      </c>
      <c r="BA220" s="102">
        <f t="shared" si="292"/>
        <v>15</v>
      </c>
      <c r="BB220" s="103">
        <f t="shared" si="262"/>
        <v>2.13</v>
      </c>
      <c r="BC220" s="101">
        <f t="shared" si="263"/>
        <v>2</v>
      </c>
      <c r="BD220" s="102">
        <f t="shared" si="264"/>
        <v>0.75</v>
      </c>
      <c r="BE220" s="100">
        <f t="shared" si="265"/>
        <v>0.25</v>
      </c>
      <c r="BF220" s="101">
        <f t="shared" si="266"/>
        <v>0.45000000000000007</v>
      </c>
      <c r="BG220" s="102">
        <f t="shared" si="267"/>
        <v>2.355</v>
      </c>
      <c r="BH220" s="102">
        <f t="shared" si="268"/>
        <v>2.133957590956296</v>
      </c>
      <c r="BI220" s="102">
        <v>0</v>
      </c>
      <c r="BJ220" s="102">
        <f t="shared" si="269"/>
        <v>4.5537749999999981E-2</v>
      </c>
      <c r="BK220" s="103">
        <f t="shared" si="270"/>
        <v>4.5537749999999981E-2</v>
      </c>
      <c r="BL220" s="101">
        <f t="shared" si="271"/>
        <v>1.5974999999999999</v>
      </c>
      <c r="BM220" s="97">
        <f t="shared" si="272"/>
        <v>1.8480614843667946</v>
      </c>
      <c r="BN220" s="97">
        <f t="shared" si="273"/>
        <v>0.30752881663084469</v>
      </c>
      <c r="BO220" s="97">
        <f t="shared" si="274"/>
        <v>2.2364999999999999</v>
      </c>
      <c r="BP220" s="103">
        <f t="shared" si="275"/>
        <v>2.5440288166308447</v>
      </c>
      <c r="BQ220" s="101">
        <f t="shared" si="276"/>
        <v>0.53249999999999997</v>
      </c>
      <c r="BR220" s="102">
        <f t="shared" si="277"/>
        <v>1.0669787954781482</v>
      </c>
      <c r="BS220" s="102">
        <f t="shared" si="278"/>
        <v>0.17892</v>
      </c>
      <c r="BT220" s="102">
        <f t="shared" si="279"/>
        <v>0.75525000000000009</v>
      </c>
      <c r="BU220" s="103">
        <f t="shared" si="280"/>
        <v>0.93417000000000006</v>
      </c>
      <c r="BV220" s="99">
        <f t="shared" si="281"/>
        <v>0</v>
      </c>
      <c r="BW220" s="102">
        <f t="shared" si="293"/>
        <v>8.7499999999999994E-2</v>
      </c>
      <c r="BX220" s="103">
        <f t="shared" si="282"/>
        <v>1.155E-2</v>
      </c>
      <c r="BY220" s="101">
        <f t="shared" si="283"/>
        <v>3.6227865666308445</v>
      </c>
      <c r="BZ220" s="102">
        <f t="shared" si="284"/>
        <v>25.56</v>
      </c>
      <c r="CA220" s="103">
        <f t="shared" si="285"/>
        <v>87.58587855083951</v>
      </c>
      <c r="CB220" s="51">
        <f t="shared" si="286"/>
        <v>2.6430788166308448</v>
      </c>
      <c r="CC220" s="32">
        <f t="shared" si="287"/>
        <v>117.50775858207956</v>
      </c>
    </row>
    <row r="221" spans="17:81" ht="15" thickBot="1" x14ac:dyDescent="0.35">
      <c r="Q221" s="32">
        <v>214</v>
      </c>
      <c r="S221" s="101">
        <f t="shared" si="288"/>
        <v>60</v>
      </c>
      <c r="T221" s="97">
        <f t="shared" si="234"/>
        <v>0.42799999999999999</v>
      </c>
      <c r="U221" s="102">
        <f t="shared" si="289"/>
        <v>15</v>
      </c>
      <c r="V221" s="103">
        <f t="shared" si="235"/>
        <v>2.14</v>
      </c>
      <c r="W221" s="101">
        <f t="shared" si="236"/>
        <v>2</v>
      </c>
      <c r="X221" s="102">
        <f t="shared" si="237"/>
        <v>0.75</v>
      </c>
      <c r="Y221" s="100">
        <f t="shared" si="238"/>
        <v>0.25</v>
      </c>
      <c r="Z221" s="101">
        <f t="shared" si="239"/>
        <v>0.45000000000000007</v>
      </c>
      <c r="AA221" s="102">
        <f t="shared" si="240"/>
        <v>2.3650000000000002</v>
      </c>
      <c r="AB221" s="102">
        <f t="shared" si="241"/>
        <v>2.143939131598656</v>
      </c>
      <c r="AC221" s="102">
        <v>0</v>
      </c>
      <c r="AD221" s="102">
        <f t="shared" si="242"/>
        <v>4.5964749999999992E-2</v>
      </c>
      <c r="AE221" s="103">
        <f t="shared" si="243"/>
        <v>4.5964749999999992E-2</v>
      </c>
      <c r="AF221" s="101">
        <f t="shared" si="244"/>
        <v>1.605</v>
      </c>
      <c r="AG221" s="97">
        <f t="shared" si="245"/>
        <v>1.856705752131985</v>
      </c>
      <c r="AH221" s="102">
        <f t="shared" si="246"/>
        <v>0.17865241955166672</v>
      </c>
      <c r="AI221" s="97">
        <f t="shared" si="247"/>
        <v>2.2469999999999999</v>
      </c>
      <c r="AJ221" s="103">
        <f t="shared" si="248"/>
        <v>2.4256524195516667</v>
      </c>
      <c r="AK221" s="101">
        <f t="shared" si="249"/>
        <v>0.53500000000000003</v>
      </c>
      <c r="AL221" s="102">
        <f t="shared" si="250"/>
        <v>1.0719695657993282</v>
      </c>
      <c r="AM221" s="102">
        <f t="shared" si="251"/>
        <v>0.17976</v>
      </c>
      <c r="AN221" s="102">
        <f t="shared" si="252"/>
        <v>0.75525000000000009</v>
      </c>
      <c r="AO221" s="103">
        <f t="shared" si="253"/>
        <v>0.93501000000000012</v>
      </c>
      <c r="AP221" s="99">
        <f t="shared" si="254"/>
        <v>0</v>
      </c>
      <c r="AQ221" s="102">
        <f t="shared" si="290"/>
        <v>8.7499999999999994E-2</v>
      </c>
      <c r="AR221" s="103">
        <f t="shared" si="255"/>
        <v>1.155E-2</v>
      </c>
      <c r="AS221" s="99">
        <f t="shared" si="256"/>
        <v>2.5247024195516667</v>
      </c>
      <c r="AT221" s="215">
        <f t="shared" si="257"/>
        <v>176.48214517310001</v>
      </c>
      <c r="AU221" s="216">
        <f t="shared" si="258"/>
        <v>9.0221724152646315E-2</v>
      </c>
      <c r="AV221" s="102">
        <f t="shared" si="259"/>
        <v>25.68</v>
      </c>
      <c r="AW221" s="103">
        <f t="shared" si="260"/>
        <v>91.048647200753564</v>
      </c>
      <c r="AX221" s="32"/>
      <c r="AY221" s="101">
        <f t="shared" si="291"/>
        <v>60</v>
      </c>
      <c r="AZ221" s="102">
        <f t="shared" si="261"/>
        <v>0.42799999999999999</v>
      </c>
      <c r="BA221" s="102">
        <f t="shared" si="292"/>
        <v>15</v>
      </c>
      <c r="BB221" s="103">
        <f t="shared" si="262"/>
        <v>2.14</v>
      </c>
      <c r="BC221" s="101">
        <f t="shared" si="263"/>
        <v>2</v>
      </c>
      <c r="BD221" s="102">
        <f t="shared" si="264"/>
        <v>0.75</v>
      </c>
      <c r="BE221" s="100">
        <f t="shared" si="265"/>
        <v>0.25</v>
      </c>
      <c r="BF221" s="101">
        <f t="shared" si="266"/>
        <v>0.45000000000000007</v>
      </c>
      <c r="BG221" s="102">
        <f t="shared" si="267"/>
        <v>2.3650000000000002</v>
      </c>
      <c r="BH221" s="102">
        <f t="shared" si="268"/>
        <v>2.143939131598656</v>
      </c>
      <c r="BI221" s="102">
        <v>0</v>
      </c>
      <c r="BJ221" s="102">
        <f t="shared" si="269"/>
        <v>4.5964749999999992E-2</v>
      </c>
      <c r="BK221" s="103">
        <f t="shared" si="270"/>
        <v>4.5964749999999992E-2</v>
      </c>
      <c r="BL221" s="101">
        <f t="shared" si="271"/>
        <v>1.605</v>
      </c>
      <c r="BM221" s="97">
        <f t="shared" si="272"/>
        <v>1.856705752131985</v>
      </c>
      <c r="BN221" s="97">
        <f t="shared" si="273"/>
        <v>0.31102642464340124</v>
      </c>
      <c r="BO221" s="97">
        <f t="shared" si="274"/>
        <v>2.2469999999999999</v>
      </c>
      <c r="BP221" s="103">
        <f t="shared" si="275"/>
        <v>2.5580264246434012</v>
      </c>
      <c r="BQ221" s="101">
        <f t="shared" si="276"/>
        <v>0.53500000000000003</v>
      </c>
      <c r="BR221" s="102">
        <f t="shared" si="277"/>
        <v>1.0719695657993282</v>
      </c>
      <c r="BS221" s="102">
        <f t="shared" si="278"/>
        <v>0.17976</v>
      </c>
      <c r="BT221" s="102">
        <f t="shared" si="279"/>
        <v>0.75525000000000009</v>
      </c>
      <c r="BU221" s="103">
        <f t="shared" si="280"/>
        <v>0.93501000000000012</v>
      </c>
      <c r="BV221" s="99">
        <f t="shared" si="281"/>
        <v>0</v>
      </c>
      <c r="BW221" s="102">
        <f t="shared" si="293"/>
        <v>8.7499999999999994E-2</v>
      </c>
      <c r="BX221" s="103">
        <f t="shared" si="282"/>
        <v>1.155E-2</v>
      </c>
      <c r="BY221" s="101">
        <f t="shared" si="283"/>
        <v>3.6380511746434014</v>
      </c>
      <c r="BZ221" s="102">
        <f t="shared" si="284"/>
        <v>25.68</v>
      </c>
      <c r="CA221" s="103">
        <f t="shared" si="285"/>
        <v>87.591087985446052</v>
      </c>
      <c r="CB221" s="51">
        <f t="shared" si="286"/>
        <v>2.6570764246434013</v>
      </c>
      <c r="CC221" s="32">
        <f t="shared" si="287"/>
        <v>117.99767486251905</v>
      </c>
    </row>
    <row r="222" spans="17:81" ht="15" thickBot="1" x14ac:dyDescent="0.35">
      <c r="Q222" s="32">
        <v>215</v>
      </c>
      <c r="S222" s="101">
        <f t="shared" si="288"/>
        <v>60</v>
      </c>
      <c r="T222" s="97">
        <f t="shared" ref="T222:T285" si="294">Q222*$O$12</f>
        <v>0.43</v>
      </c>
      <c r="U222" s="102">
        <f t="shared" si="289"/>
        <v>15</v>
      </c>
      <c r="V222" s="103">
        <f t="shared" ref="V222:V285" si="295">(S222*T222)/(U222*EFF_est)</f>
        <v>2.15</v>
      </c>
      <c r="W222" s="101">
        <f t="shared" ref="W222:W285" si="296">IF((T222*S222/U222)&lt;((U222*(1-(U222/S222)))/(2*Lm*Fsw)),1,2)</f>
        <v>2</v>
      </c>
      <c r="X222" s="102">
        <f t="shared" ref="X222:X285" si="297">CHOOSE(W222,SQRT((2*T222*Lm*Fsw*(S222-U222))/((U222)^2)),1-(U222/S222))</f>
        <v>0.75</v>
      </c>
      <c r="Y222" s="100">
        <f t="shared" ref="Y222:Y285" si="298">CHOOSE(W222,(Lm*AA222*Fsw)/(S222-U222),1-X222)</f>
        <v>0.25</v>
      </c>
      <c r="Z222" s="101">
        <f t="shared" ref="Z222:Z285" si="299">(U222*X222)/(Lm*Fsw)</f>
        <v>0.45000000000000007</v>
      </c>
      <c r="AA222" s="102">
        <f t="shared" ref="AA222:AA285" si="300">CHOOSE(W222,Z222,V222+(0.5*Z222))</f>
        <v>2.375</v>
      </c>
      <c r="AB222" s="102">
        <f t="shared" ref="AB222:AB285" si="301">CHOOSE(W222,AA222*SQRT((X222+Y222)/3),SQRT((V222^2)+((Z222^2)/12)))</f>
        <v>2.1539208434852011</v>
      </c>
      <c r="AC222" s="102">
        <v>0</v>
      </c>
      <c r="AD222" s="102">
        <f t="shared" ref="AD222:AD285" si="302">(AB222^2)*Rdcr</f>
        <v>4.6393750000000004E-2</v>
      </c>
      <c r="AE222" s="103">
        <f t="shared" ref="AE222:AE285" si="303">AC222+AD222</f>
        <v>4.6393750000000004E-2</v>
      </c>
      <c r="AF222" s="101">
        <f t="shared" ref="AF222:AF285" si="304">V222*X222</f>
        <v>1.6124999999999998</v>
      </c>
      <c r="AG222" s="97">
        <f t="shared" ref="AG222:AG285" si="305">CHOOSE(W222,AA222*SQRT(X222/3),SQRT(X222*((AA222^2)+((Z222^2)/3)-(AA222*Z222))))</f>
        <v>1.8653501681989897</v>
      </c>
      <c r="AH222" s="102">
        <f t="shared" ref="AH222:AH285" si="306">(AG222^2)*RDS_on</f>
        <v>0.18031982529166668</v>
      </c>
      <c r="AI222" s="97">
        <f t="shared" ref="AI222:AI285" si="307">((S222*V222)/2)*Fsw*(tr_sw_fix+tf_sw_fix)</f>
        <v>2.2574999999999998</v>
      </c>
      <c r="AJ222" s="103">
        <f t="shared" ref="AJ222:AJ285" si="308">AH222+AI222</f>
        <v>2.4378198252916663</v>
      </c>
      <c r="AK222" s="101">
        <f t="shared" ref="AK222:AK285" si="309">Y222*V222</f>
        <v>0.53749999999999998</v>
      </c>
      <c r="AL222" s="102">
        <f t="shared" ref="AL222:AL285" si="310">CHOOSE(W222,AA222*SQRT(Y222/3),SQRT(Y222*((AA222^2)+((Z222^2)/3)-(Z222*AA222))))</f>
        <v>1.0769604217426005</v>
      </c>
      <c r="AM222" s="102">
        <f t="shared" ref="AM222:AM285" si="311">T222*Vd_rect</f>
        <v>0.18059999999999998</v>
      </c>
      <c r="AN222" s="102">
        <f t="shared" ref="AN222:AN285" si="312">CHOOSE(W222,(S222+Vd_rect)*Qrr*Fsw,(S222+Vd_rect)*Qrr*Fsw)</f>
        <v>0.75525000000000009</v>
      </c>
      <c r="AO222" s="103">
        <f t="shared" ref="AO222:AO285" si="313">AM222+AN222</f>
        <v>0.93585000000000007</v>
      </c>
      <c r="AP222" s="99">
        <f t="shared" ref="AP222:AP285" si="314">(AG222^2)*0</f>
        <v>0</v>
      </c>
      <c r="AQ222" s="102">
        <f t="shared" si="290"/>
        <v>8.7499999999999994E-2</v>
      </c>
      <c r="AR222" s="103">
        <f t="shared" ref="AR222:AR285" si="315">IQ*U222</f>
        <v>1.155E-2</v>
      </c>
      <c r="AS222" s="99">
        <f t="shared" ref="AS222:AS285" si="316">AP222+AJ222+AQ222+AR222</f>
        <v>2.5368698252916664</v>
      </c>
      <c r="AT222" s="215">
        <f t="shared" ref="AT222:AT285" si="317">Ta+Tk*AS222</f>
        <v>177.21218951749998</v>
      </c>
      <c r="AU222" s="216">
        <f t="shared" ref="AU222:AU285" si="318">RDS_on/51.8*(47.12+AT222*0.244)</f>
        <v>9.0399934141933258E-2</v>
      </c>
      <c r="AV222" s="102">
        <f t="shared" ref="AV222:AV285" si="319">S222*T222</f>
        <v>25.8</v>
      </c>
      <c r="AW222" s="103">
        <f t="shared" ref="AW222:AW285" si="320">(AV222/(AV222+AS222))*100</f>
        <v>91.047459225621949</v>
      </c>
      <c r="AX222" s="32"/>
      <c r="AY222" s="101">
        <f t="shared" si="291"/>
        <v>60</v>
      </c>
      <c r="AZ222" s="102">
        <f t="shared" ref="AZ222:AZ285" si="321">Q222*$O$12</f>
        <v>0.43</v>
      </c>
      <c r="BA222" s="102">
        <f t="shared" si="292"/>
        <v>15</v>
      </c>
      <c r="BB222" s="103">
        <f t="shared" ref="BB222:BB285" si="322">(AY222*AZ222)/(BA222*EFF_est)</f>
        <v>2.15</v>
      </c>
      <c r="BC222" s="101">
        <f t="shared" ref="BC222:BC285" si="323">IF((AZ222*AY222/BA222)&lt;((BA222*(1-(BA222/AY222)))/(2*Lm*Fsw)),1,2)</f>
        <v>2</v>
      </c>
      <c r="BD222" s="102">
        <f t="shared" ref="BD222:BD285" si="324">CHOOSE(BC222,SQRT((2*AZ222*Lm*Fsw*(AY222-BA222))/((BA222)^2)),1-(BA222/AY222))</f>
        <v>0.75</v>
      </c>
      <c r="BE222" s="100">
        <f t="shared" ref="BE222:BE285" si="325">CHOOSE(BC222,(Lm*BG222*Fsw)/(AY222-BA222),1-BD222)</f>
        <v>0.25</v>
      </c>
      <c r="BF222" s="101">
        <f t="shared" ref="BF222:BF285" si="326">(BA222*BD222)/(Lm*Fsw)</f>
        <v>0.45000000000000007</v>
      </c>
      <c r="BG222" s="102">
        <f t="shared" ref="BG222:BG285" si="327">CHOOSE(BC222,BF222,BB222+(0.5*BF222))</f>
        <v>2.375</v>
      </c>
      <c r="BH222" s="102">
        <f t="shared" ref="BH222:BH285" si="328">CHOOSE(BC222,BG222*SQRT((BD222+BE222)/3),SQRT((BB222^2)+((BF222^2)/12)))</f>
        <v>2.1539208434852011</v>
      </c>
      <c r="BI222" s="102">
        <v>0</v>
      </c>
      <c r="BJ222" s="102">
        <f t="shared" ref="BJ222:BJ285" si="329">(BH222^2)*Rdcr</f>
        <v>4.6393750000000004E-2</v>
      </c>
      <c r="BK222" s="103">
        <f t="shared" ref="BK222:BK285" si="330">BI222+BJ222</f>
        <v>4.6393750000000004E-2</v>
      </c>
      <c r="BL222" s="101">
        <f t="shared" ref="BL222:BL285" si="331">BB222*BD222</f>
        <v>1.6124999999999998</v>
      </c>
      <c r="BM222" s="97">
        <f t="shared" ref="BM222:BM285" si="332">CHOOSE(BC222,BG222*SQRT(BD222/3),SQRT(BD222*((BG222^2)+((BF222^2)/3)-(BG222*BF222))))</f>
        <v>1.8653501681989897</v>
      </c>
      <c r="BN222" s="97">
        <f t="shared" ref="BN222:BN285" si="333">(BM222^2)*AU222</f>
        <v>0.31454939584479863</v>
      </c>
      <c r="BO222" s="97">
        <f t="shared" ref="BO222:BO285" si="334">((AY222*BB222)/2)*Fsw*(tr_sw_fix+tf_sw_fix)</f>
        <v>2.2574999999999998</v>
      </c>
      <c r="BP222" s="103">
        <f t="shared" ref="BP222:BP285" si="335">BN222+BO222</f>
        <v>2.5720493958447985</v>
      </c>
      <c r="BQ222" s="101">
        <f t="shared" ref="BQ222:BQ285" si="336">BE222*BB222</f>
        <v>0.53749999999999998</v>
      </c>
      <c r="BR222" s="102">
        <f t="shared" ref="BR222:BR285" si="337">CHOOSE(BC222,BG222*SQRT(BE222/3),SQRT(BE222*((BG222^2)+((BF222^2)/3)-(BF222*BG222))))</f>
        <v>1.0769604217426005</v>
      </c>
      <c r="BS222" s="102">
        <f t="shared" ref="BS222:BS285" si="338">AZ222*Vd_rect</f>
        <v>0.18059999999999998</v>
      </c>
      <c r="BT222" s="102">
        <f t="shared" ref="BT222:BT285" si="339">CHOOSE(BC222,(AY222+Vd_rect)*Qrr*Fsw,(AY222+Vd_rect)*Qrr*Fsw)</f>
        <v>0.75525000000000009</v>
      </c>
      <c r="BU222" s="103">
        <f t="shared" ref="BU222:BU285" si="340">BS222+BT222</f>
        <v>0.93585000000000007</v>
      </c>
      <c r="BV222" s="99">
        <f t="shared" ref="BV222:BV285" si="341">(BM222^2)*0</f>
        <v>0</v>
      </c>
      <c r="BW222" s="102">
        <f t="shared" si="293"/>
        <v>8.7499999999999994E-2</v>
      </c>
      <c r="BX222" s="103">
        <f t="shared" ref="BX222:BX285" si="342">IQ*BA222</f>
        <v>1.155E-2</v>
      </c>
      <c r="BY222" s="101">
        <f t="shared" ref="BY222:BY285" si="343">BV222+BU222+BP222+BK222+BW222+BX222</f>
        <v>3.6533431458447989</v>
      </c>
      <c r="BZ222" s="102">
        <f t="shared" ref="BZ222:BZ285" si="344">AY222*AZ222</f>
        <v>25.8</v>
      </c>
      <c r="CA222" s="103">
        <f t="shared" ref="CA222:CA285" si="345">(BZ222/(BZ222+BY222))*100</f>
        <v>87.596168191317176</v>
      </c>
      <c r="CB222" s="51">
        <f t="shared" ref="CB222:CB285" si="346">BP222+BW222+BX222+BV222</f>
        <v>2.6710993958447986</v>
      </c>
      <c r="CC222" s="32">
        <f t="shared" ref="CC222:CC285" si="347">Ta+Tk_f*CB222</f>
        <v>118.48847885456794</v>
      </c>
    </row>
    <row r="223" spans="17:81" ht="15" thickBot="1" x14ac:dyDescent="0.35">
      <c r="Q223" s="32">
        <v>216</v>
      </c>
      <c r="S223" s="101">
        <f t="shared" si="288"/>
        <v>60</v>
      </c>
      <c r="T223" s="97">
        <f t="shared" si="294"/>
        <v>0.432</v>
      </c>
      <c r="U223" s="102">
        <f t="shared" si="289"/>
        <v>15</v>
      </c>
      <c r="V223" s="103">
        <f t="shared" si="295"/>
        <v>2.1599999999999997</v>
      </c>
      <c r="W223" s="101">
        <f t="shared" si="296"/>
        <v>2</v>
      </c>
      <c r="X223" s="102">
        <f t="shared" si="297"/>
        <v>0.75</v>
      </c>
      <c r="Y223" s="100">
        <f t="shared" si="298"/>
        <v>0.25</v>
      </c>
      <c r="Z223" s="101">
        <f t="shared" si="299"/>
        <v>0.45000000000000007</v>
      </c>
      <c r="AA223" s="102">
        <f t="shared" si="300"/>
        <v>2.3849999999999998</v>
      </c>
      <c r="AB223" s="102">
        <f t="shared" si="301"/>
        <v>2.1639027242461704</v>
      </c>
      <c r="AC223" s="102">
        <v>0</v>
      </c>
      <c r="AD223" s="102">
        <f t="shared" si="302"/>
        <v>4.6824749999999978E-2</v>
      </c>
      <c r="AE223" s="103">
        <f t="shared" si="303"/>
        <v>4.6824749999999978E-2</v>
      </c>
      <c r="AF223" s="101">
        <f t="shared" si="304"/>
        <v>1.6199999999999997</v>
      </c>
      <c r="AG223" s="97">
        <f t="shared" si="305"/>
        <v>1.8739947305155367</v>
      </c>
      <c r="AH223" s="102">
        <f t="shared" si="306"/>
        <v>0.181995004485</v>
      </c>
      <c r="AI223" s="97">
        <f t="shared" si="307"/>
        <v>2.2679999999999998</v>
      </c>
      <c r="AJ223" s="103">
        <f t="shared" si="308"/>
        <v>2.4499950044849998</v>
      </c>
      <c r="AK223" s="101">
        <f t="shared" si="309"/>
        <v>0.53999999999999992</v>
      </c>
      <c r="AL223" s="102">
        <f t="shared" si="310"/>
        <v>1.0819513621230854</v>
      </c>
      <c r="AM223" s="102">
        <f t="shared" si="311"/>
        <v>0.18143999999999999</v>
      </c>
      <c r="AN223" s="102">
        <f t="shared" si="312"/>
        <v>0.75525000000000009</v>
      </c>
      <c r="AO223" s="103">
        <f t="shared" si="313"/>
        <v>0.93669000000000002</v>
      </c>
      <c r="AP223" s="99">
        <f t="shared" si="314"/>
        <v>0</v>
      </c>
      <c r="AQ223" s="102">
        <f t="shared" si="290"/>
        <v>8.7499999999999994E-2</v>
      </c>
      <c r="AR223" s="103">
        <f t="shared" si="315"/>
        <v>1.155E-2</v>
      </c>
      <c r="AS223" s="99">
        <f t="shared" si="316"/>
        <v>2.5490450044849999</v>
      </c>
      <c r="AT223" s="215">
        <f t="shared" si="317"/>
        <v>177.94270026909999</v>
      </c>
      <c r="AU223" s="216">
        <f t="shared" si="318"/>
        <v>9.0578257985156271E-2</v>
      </c>
      <c r="AV223" s="102">
        <f t="shared" si="319"/>
        <v>25.919999999999998</v>
      </c>
      <c r="AW223" s="103">
        <f t="shared" si="320"/>
        <v>91.046257420705814</v>
      </c>
      <c r="AX223" s="32"/>
      <c r="AY223" s="101">
        <f t="shared" si="291"/>
        <v>60</v>
      </c>
      <c r="AZ223" s="102">
        <f t="shared" si="321"/>
        <v>0.432</v>
      </c>
      <c r="BA223" s="102">
        <f t="shared" si="292"/>
        <v>15</v>
      </c>
      <c r="BB223" s="103">
        <f t="shared" si="322"/>
        <v>2.1599999999999997</v>
      </c>
      <c r="BC223" s="101">
        <f t="shared" si="323"/>
        <v>2</v>
      </c>
      <c r="BD223" s="102">
        <f t="shared" si="324"/>
        <v>0.75</v>
      </c>
      <c r="BE223" s="100">
        <f t="shared" si="325"/>
        <v>0.25</v>
      </c>
      <c r="BF223" s="101">
        <f t="shared" si="326"/>
        <v>0.45000000000000007</v>
      </c>
      <c r="BG223" s="102">
        <f t="shared" si="327"/>
        <v>2.3849999999999998</v>
      </c>
      <c r="BH223" s="102">
        <f t="shared" si="328"/>
        <v>2.1639027242461704</v>
      </c>
      <c r="BI223" s="102">
        <v>0</v>
      </c>
      <c r="BJ223" s="102">
        <f t="shared" si="329"/>
        <v>4.6824749999999978E-2</v>
      </c>
      <c r="BK223" s="103">
        <f t="shared" si="330"/>
        <v>4.6824749999999978E-2</v>
      </c>
      <c r="BL223" s="101">
        <f t="shared" si="331"/>
        <v>1.6199999999999997</v>
      </c>
      <c r="BM223" s="97">
        <f t="shared" si="332"/>
        <v>1.8739947305155367</v>
      </c>
      <c r="BN223" s="97">
        <f t="shared" si="333"/>
        <v>0.31809782141928333</v>
      </c>
      <c r="BO223" s="97">
        <f t="shared" si="334"/>
        <v>2.2679999999999998</v>
      </c>
      <c r="BP223" s="103">
        <f t="shared" si="335"/>
        <v>2.5860978214192833</v>
      </c>
      <c r="BQ223" s="101">
        <f t="shared" si="336"/>
        <v>0.53999999999999992</v>
      </c>
      <c r="BR223" s="102">
        <f t="shared" si="337"/>
        <v>1.0819513621230854</v>
      </c>
      <c r="BS223" s="102">
        <f t="shared" si="338"/>
        <v>0.18143999999999999</v>
      </c>
      <c r="BT223" s="102">
        <f t="shared" si="339"/>
        <v>0.75525000000000009</v>
      </c>
      <c r="BU223" s="103">
        <f t="shared" si="340"/>
        <v>0.93669000000000002</v>
      </c>
      <c r="BV223" s="99">
        <f t="shared" si="341"/>
        <v>0</v>
      </c>
      <c r="BW223" s="102">
        <f t="shared" si="293"/>
        <v>8.7499999999999994E-2</v>
      </c>
      <c r="BX223" s="103">
        <f t="shared" si="342"/>
        <v>1.155E-2</v>
      </c>
      <c r="BY223" s="101">
        <f t="shared" si="343"/>
        <v>3.6686625714192833</v>
      </c>
      <c r="BZ223" s="102">
        <f t="shared" si="344"/>
        <v>25.919999999999998</v>
      </c>
      <c r="CA223" s="103">
        <f t="shared" si="345"/>
        <v>87.601120657062168</v>
      </c>
      <c r="CB223" s="51">
        <f t="shared" si="346"/>
        <v>2.6851478214192834</v>
      </c>
      <c r="CC223" s="32">
        <f t="shared" si="347"/>
        <v>118.98017374967492</v>
      </c>
    </row>
    <row r="224" spans="17:81" ht="15" thickBot="1" x14ac:dyDescent="0.35">
      <c r="Q224" s="32">
        <v>217</v>
      </c>
      <c r="S224" s="101">
        <f t="shared" si="288"/>
        <v>60</v>
      </c>
      <c r="T224" s="97">
        <f t="shared" si="294"/>
        <v>0.434</v>
      </c>
      <c r="U224" s="102">
        <f t="shared" si="289"/>
        <v>15</v>
      </c>
      <c r="V224" s="103">
        <f t="shared" si="295"/>
        <v>2.17</v>
      </c>
      <c r="W224" s="101">
        <f t="shared" si="296"/>
        <v>2</v>
      </c>
      <c r="X224" s="102">
        <f t="shared" si="297"/>
        <v>0.75</v>
      </c>
      <c r="Y224" s="100">
        <f t="shared" si="298"/>
        <v>0.25</v>
      </c>
      <c r="Z224" s="101">
        <f t="shared" si="299"/>
        <v>0.45000000000000007</v>
      </c>
      <c r="AA224" s="102">
        <f t="shared" si="300"/>
        <v>2.395</v>
      </c>
      <c r="AB224" s="102">
        <f t="shared" si="301"/>
        <v>2.1738847715552909</v>
      </c>
      <c r="AC224" s="102">
        <v>0</v>
      </c>
      <c r="AD224" s="102">
        <f t="shared" si="302"/>
        <v>4.7257749999999994E-2</v>
      </c>
      <c r="AE224" s="103">
        <f t="shared" si="303"/>
        <v>4.7257749999999994E-2</v>
      </c>
      <c r="AF224" s="101">
        <f t="shared" si="304"/>
        <v>1.6274999999999999</v>
      </c>
      <c r="AG224" s="97">
        <f t="shared" si="305"/>
        <v>1.882639437067013</v>
      </c>
      <c r="AH224" s="102">
        <f t="shared" si="306"/>
        <v>0.18367795713166668</v>
      </c>
      <c r="AI224" s="97">
        <f t="shared" si="307"/>
        <v>2.2784999999999997</v>
      </c>
      <c r="AJ224" s="103">
        <f t="shared" si="308"/>
        <v>2.4621779571316664</v>
      </c>
      <c r="AK224" s="101">
        <f t="shared" si="309"/>
        <v>0.54249999999999998</v>
      </c>
      <c r="AL224" s="102">
        <f t="shared" si="310"/>
        <v>1.0869423857776455</v>
      </c>
      <c r="AM224" s="102">
        <f t="shared" si="311"/>
        <v>0.18228</v>
      </c>
      <c r="AN224" s="102">
        <f t="shared" si="312"/>
        <v>0.75525000000000009</v>
      </c>
      <c r="AO224" s="103">
        <f t="shared" si="313"/>
        <v>0.93753000000000009</v>
      </c>
      <c r="AP224" s="99">
        <f t="shared" si="314"/>
        <v>0</v>
      </c>
      <c r="AQ224" s="102">
        <f t="shared" si="290"/>
        <v>8.7499999999999994E-2</v>
      </c>
      <c r="AR224" s="103">
        <f t="shared" si="315"/>
        <v>1.155E-2</v>
      </c>
      <c r="AS224" s="99">
        <f t="shared" si="316"/>
        <v>2.5612279571316665</v>
      </c>
      <c r="AT224" s="215">
        <f t="shared" si="317"/>
        <v>178.6736774279</v>
      </c>
      <c r="AU224" s="216">
        <f t="shared" si="318"/>
        <v>9.0756695682315369E-2</v>
      </c>
      <c r="AV224" s="102">
        <f t="shared" si="319"/>
        <v>26.04</v>
      </c>
      <c r="AW224" s="103">
        <f t="shared" si="320"/>
        <v>91.045041978720249</v>
      </c>
      <c r="AX224" s="32"/>
      <c r="AY224" s="101">
        <f t="shared" si="291"/>
        <v>60</v>
      </c>
      <c r="AZ224" s="102">
        <f t="shared" si="321"/>
        <v>0.434</v>
      </c>
      <c r="BA224" s="102">
        <f t="shared" si="292"/>
        <v>15</v>
      </c>
      <c r="BB224" s="103">
        <f t="shared" si="322"/>
        <v>2.17</v>
      </c>
      <c r="BC224" s="101">
        <f t="shared" si="323"/>
        <v>2</v>
      </c>
      <c r="BD224" s="102">
        <f t="shared" si="324"/>
        <v>0.75</v>
      </c>
      <c r="BE224" s="100">
        <f t="shared" si="325"/>
        <v>0.25</v>
      </c>
      <c r="BF224" s="101">
        <f t="shared" si="326"/>
        <v>0.45000000000000007</v>
      </c>
      <c r="BG224" s="102">
        <f t="shared" si="327"/>
        <v>2.395</v>
      </c>
      <c r="BH224" s="102">
        <f t="shared" si="328"/>
        <v>2.1738847715552909</v>
      </c>
      <c r="BI224" s="102">
        <v>0</v>
      </c>
      <c r="BJ224" s="102">
        <f t="shared" si="329"/>
        <v>4.7257749999999994E-2</v>
      </c>
      <c r="BK224" s="103">
        <f t="shared" si="330"/>
        <v>4.7257749999999994E-2</v>
      </c>
      <c r="BL224" s="101">
        <f t="shared" si="331"/>
        <v>1.6274999999999999</v>
      </c>
      <c r="BM224" s="97">
        <f t="shared" si="332"/>
        <v>1.882639437067013</v>
      </c>
      <c r="BN224" s="97">
        <f t="shared" si="333"/>
        <v>0.32167179265357038</v>
      </c>
      <c r="BO224" s="97">
        <f t="shared" si="334"/>
        <v>2.2784999999999997</v>
      </c>
      <c r="BP224" s="103">
        <f t="shared" si="335"/>
        <v>2.6001717926535699</v>
      </c>
      <c r="BQ224" s="101">
        <f t="shared" si="336"/>
        <v>0.54249999999999998</v>
      </c>
      <c r="BR224" s="102">
        <f t="shared" si="337"/>
        <v>1.0869423857776455</v>
      </c>
      <c r="BS224" s="102">
        <f t="shared" si="338"/>
        <v>0.18228</v>
      </c>
      <c r="BT224" s="102">
        <f t="shared" si="339"/>
        <v>0.75525000000000009</v>
      </c>
      <c r="BU224" s="103">
        <f t="shared" si="340"/>
        <v>0.93753000000000009</v>
      </c>
      <c r="BV224" s="99">
        <f t="shared" si="341"/>
        <v>0</v>
      </c>
      <c r="BW224" s="102">
        <f t="shared" si="293"/>
        <v>8.7499999999999994E-2</v>
      </c>
      <c r="BX224" s="103">
        <f t="shared" si="342"/>
        <v>1.155E-2</v>
      </c>
      <c r="BY224" s="101">
        <f t="shared" si="343"/>
        <v>3.6840095426535702</v>
      </c>
      <c r="BZ224" s="102">
        <f t="shared" si="344"/>
        <v>26.04</v>
      </c>
      <c r="CA224" s="103">
        <f t="shared" si="345"/>
        <v>87.605946844529626</v>
      </c>
      <c r="CB224" s="51">
        <f t="shared" si="346"/>
        <v>2.69922179265357</v>
      </c>
      <c r="CC224" s="32">
        <f t="shared" si="347"/>
        <v>119.47276274287495</v>
      </c>
    </row>
    <row r="225" spans="17:81" ht="15" thickBot="1" x14ac:dyDescent="0.35">
      <c r="Q225" s="32">
        <v>218</v>
      </c>
      <c r="S225" s="101">
        <f t="shared" si="288"/>
        <v>60</v>
      </c>
      <c r="T225" s="97">
        <f t="shared" si="294"/>
        <v>0.436</v>
      </c>
      <c r="U225" s="102">
        <f t="shared" si="289"/>
        <v>15</v>
      </c>
      <c r="V225" s="103">
        <f t="shared" si="295"/>
        <v>2.1800000000000002</v>
      </c>
      <c r="W225" s="101">
        <f t="shared" si="296"/>
        <v>2</v>
      </c>
      <c r="X225" s="102">
        <f t="shared" si="297"/>
        <v>0.75</v>
      </c>
      <c r="Y225" s="100">
        <f t="shared" si="298"/>
        <v>0.25</v>
      </c>
      <c r="Z225" s="101">
        <f t="shared" si="299"/>
        <v>0.45000000000000007</v>
      </c>
      <c r="AA225" s="102">
        <f t="shared" si="300"/>
        <v>2.4050000000000002</v>
      </c>
      <c r="AB225" s="102">
        <f t="shared" si="301"/>
        <v>2.1838669831287802</v>
      </c>
      <c r="AC225" s="102">
        <v>0</v>
      </c>
      <c r="AD225" s="102">
        <f t="shared" si="302"/>
        <v>4.7692750000000006E-2</v>
      </c>
      <c r="AE225" s="103">
        <f t="shared" si="303"/>
        <v>4.7692750000000006E-2</v>
      </c>
      <c r="AF225" s="101">
        <f t="shared" si="304"/>
        <v>1.6350000000000002</v>
      </c>
      <c r="AG225" s="97">
        <f t="shared" si="305"/>
        <v>1.891284285875606</v>
      </c>
      <c r="AH225" s="102">
        <f t="shared" si="306"/>
        <v>0.18536868323166678</v>
      </c>
      <c r="AI225" s="97">
        <f t="shared" si="307"/>
        <v>2.2890000000000001</v>
      </c>
      <c r="AJ225" s="103">
        <f t="shared" si="308"/>
        <v>2.4743686832316669</v>
      </c>
      <c r="AK225" s="101">
        <f t="shared" si="309"/>
        <v>0.54500000000000004</v>
      </c>
      <c r="AL225" s="102">
        <f t="shared" si="310"/>
        <v>1.0919334915643903</v>
      </c>
      <c r="AM225" s="102">
        <f t="shared" si="311"/>
        <v>0.18312</v>
      </c>
      <c r="AN225" s="102">
        <f t="shared" si="312"/>
        <v>0.75525000000000009</v>
      </c>
      <c r="AO225" s="103">
        <f t="shared" si="313"/>
        <v>0.93837000000000015</v>
      </c>
      <c r="AP225" s="99">
        <f t="shared" si="314"/>
        <v>0</v>
      </c>
      <c r="AQ225" s="102">
        <f t="shared" si="290"/>
        <v>8.7499999999999994E-2</v>
      </c>
      <c r="AR225" s="103">
        <f t="shared" si="315"/>
        <v>1.155E-2</v>
      </c>
      <c r="AS225" s="99">
        <f t="shared" si="316"/>
        <v>2.573418683231667</v>
      </c>
      <c r="AT225" s="215">
        <f t="shared" si="317"/>
        <v>179.40512099390003</v>
      </c>
      <c r="AU225" s="216">
        <f t="shared" si="318"/>
        <v>9.0935247233410538E-2</v>
      </c>
      <c r="AV225" s="102">
        <f t="shared" si="319"/>
        <v>26.16</v>
      </c>
      <c r="AW225" s="103">
        <f t="shared" si="320"/>
        <v>91.043813088856453</v>
      </c>
      <c r="AX225" s="32"/>
      <c r="AY225" s="101">
        <f t="shared" si="291"/>
        <v>60</v>
      </c>
      <c r="AZ225" s="102">
        <f t="shared" si="321"/>
        <v>0.436</v>
      </c>
      <c r="BA225" s="102">
        <f t="shared" si="292"/>
        <v>15</v>
      </c>
      <c r="BB225" s="103">
        <f t="shared" si="322"/>
        <v>2.1800000000000002</v>
      </c>
      <c r="BC225" s="101">
        <f t="shared" si="323"/>
        <v>2</v>
      </c>
      <c r="BD225" s="102">
        <f t="shared" si="324"/>
        <v>0.75</v>
      </c>
      <c r="BE225" s="100">
        <f t="shared" si="325"/>
        <v>0.25</v>
      </c>
      <c r="BF225" s="101">
        <f t="shared" si="326"/>
        <v>0.45000000000000007</v>
      </c>
      <c r="BG225" s="102">
        <f t="shared" si="327"/>
        <v>2.4050000000000002</v>
      </c>
      <c r="BH225" s="102">
        <f t="shared" si="328"/>
        <v>2.1838669831287802</v>
      </c>
      <c r="BI225" s="102">
        <v>0</v>
      </c>
      <c r="BJ225" s="102">
        <f t="shared" si="329"/>
        <v>4.7692750000000006E-2</v>
      </c>
      <c r="BK225" s="103">
        <f t="shared" si="330"/>
        <v>4.7692750000000006E-2</v>
      </c>
      <c r="BL225" s="101">
        <f t="shared" si="331"/>
        <v>1.6350000000000002</v>
      </c>
      <c r="BM225" s="97">
        <f t="shared" si="332"/>
        <v>1.891284285875606</v>
      </c>
      <c r="BN225" s="97">
        <f t="shared" si="333"/>
        <v>0.32527140093684315</v>
      </c>
      <c r="BO225" s="97">
        <f t="shared" si="334"/>
        <v>2.2890000000000001</v>
      </c>
      <c r="BP225" s="103">
        <f t="shared" si="335"/>
        <v>2.6142714009368433</v>
      </c>
      <c r="BQ225" s="101">
        <f t="shared" si="336"/>
        <v>0.54500000000000004</v>
      </c>
      <c r="BR225" s="102">
        <f t="shared" si="337"/>
        <v>1.0919334915643903</v>
      </c>
      <c r="BS225" s="102">
        <f t="shared" si="338"/>
        <v>0.18312</v>
      </c>
      <c r="BT225" s="102">
        <f t="shared" si="339"/>
        <v>0.75525000000000009</v>
      </c>
      <c r="BU225" s="103">
        <f t="shared" si="340"/>
        <v>0.93837000000000015</v>
      </c>
      <c r="BV225" s="99">
        <f t="shared" si="341"/>
        <v>0</v>
      </c>
      <c r="BW225" s="102">
        <f t="shared" si="293"/>
        <v>8.7499999999999994E-2</v>
      </c>
      <c r="BX225" s="103">
        <f t="shared" si="342"/>
        <v>1.155E-2</v>
      </c>
      <c r="BY225" s="101">
        <f t="shared" si="343"/>
        <v>3.6993841509368433</v>
      </c>
      <c r="BZ225" s="102">
        <f t="shared" si="344"/>
        <v>26.16</v>
      </c>
      <c r="CA225" s="103">
        <f t="shared" si="345"/>
        <v>87.610648189404216</v>
      </c>
      <c r="CB225" s="51">
        <f t="shared" si="346"/>
        <v>2.7133214009368434</v>
      </c>
      <c r="CC225" s="32">
        <f t="shared" si="347"/>
        <v>119.96624903278952</v>
      </c>
    </row>
    <row r="226" spans="17:81" ht="15" thickBot="1" x14ac:dyDescent="0.35">
      <c r="Q226" s="32">
        <v>219</v>
      </c>
      <c r="S226" s="101">
        <f t="shared" si="288"/>
        <v>60</v>
      </c>
      <c r="T226" s="97">
        <f t="shared" si="294"/>
        <v>0.438</v>
      </c>
      <c r="U226" s="102">
        <f t="shared" si="289"/>
        <v>15</v>
      </c>
      <c r="V226" s="103">
        <f t="shared" si="295"/>
        <v>2.19</v>
      </c>
      <c r="W226" s="101">
        <f t="shared" si="296"/>
        <v>2</v>
      </c>
      <c r="X226" s="102">
        <f t="shared" si="297"/>
        <v>0.75</v>
      </c>
      <c r="Y226" s="100">
        <f t="shared" si="298"/>
        <v>0.25</v>
      </c>
      <c r="Z226" s="101">
        <f t="shared" si="299"/>
        <v>0.45000000000000007</v>
      </c>
      <c r="AA226" s="102">
        <f t="shared" si="300"/>
        <v>2.415</v>
      </c>
      <c r="AB226" s="102">
        <f t="shared" si="301"/>
        <v>2.1938493567243853</v>
      </c>
      <c r="AC226" s="102">
        <v>0</v>
      </c>
      <c r="AD226" s="102">
        <f t="shared" si="302"/>
        <v>4.8129749999999992E-2</v>
      </c>
      <c r="AE226" s="103">
        <f t="shared" si="303"/>
        <v>4.8129749999999992E-2</v>
      </c>
      <c r="AF226" s="101">
        <f t="shared" si="304"/>
        <v>1.6425000000000001</v>
      </c>
      <c r="AG226" s="97">
        <f t="shared" si="305"/>
        <v>1.899929274999467</v>
      </c>
      <c r="AH226" s="102">
        <f t="shared" si="306"/>
        <v>0.18706718278500006</v>
      </c>
      <c r="AI226" s="97">
        <f t="shared" si="307"/>
        <v>2.2995000000000001</v>
      </c>
      <c r="AJ226" s="103">
        <f t="shared" si="308"/>
        <v>2.486567182785</v>
      </c>
      <c r="AK226" s="101">
        <f t="shared" si="309"/>
        <v>0.54749999999999999</v>
      </c>
      <c r="AL226" s="102">
        <f t="shared" si="310"/>
        <v>1.0969246783621927</v>
      </c>
      <c r="AM226" s="102">
        <f t="shared" si="311"/>
        <v>0.18395999999999998</v>
      </c>
      <c r="AN226" s="102">
        <f t="shared" si="312"/>
        <v>0.75525000000000009</v>
      </c>
      <c r="AO226" s="103">
        <f t="shared" si="313"/>
        <v>0.9392100000000001</v>
      </c>
      <c r="AP226" s="99">
        <f t="shared" si="314"/>
        <v>0</v>
      </c>
      <c r="AQ226" s="102">
        <f t="shared" si="290"/>
        <v>8.7499999999999994E-2</v>
      </c>
      <c r="AR226" s="103">
        <f t="shared" si="315"/>
        <v>1.155E-2</v>
      </c>
      <c r="AS226" s="99">
        <f t="shared" si="316"/>
        <v>2.5856171827850001</v>
      </c>
      <c r="AT226" s="215">
        <f t="shared" si="317"/>
        <v>180.1370309671</v>
      </c>
      <c r="AU226" s="216">
        <f t="shared" si="318"/>
        <v>9.1113912638441749E-2</v>
      </c>
      <c r="AV226" s="102">
        <f t="shared" si="319"/>
        <v>26.28</v>
      </c>
      <c r="AW226" s="103">
        <f t="shared" si="320"/>
        <v>91.042570936861793</v>
      </c>
      <c r="AX226" s="32"/>
      <c r="AY226" s="101">
        <f t="shared" si="291"/>
        <v>60</v>
      </c>
      <c r="AZ226" s="102">
        <f t="shared" si="321"/>
        <v>0.438</v>
      </c>
      <c r="BA226" s="102">
        <f t="shared" si="292"/>
        <v>15</v>
      </c>
      <c r="BB226" s="103">
        <f t="shared" si="322"/>
        <v>2.19</v>
      </c>
      <c r="BC226" s="101">
        <f t="shared" si="323"/>
        <v>2</v>
      </c>
      <c r="BD226" s="102">
        <f t="shared" si="324"/>
        <v>0.75</v>
      </c>
      <c r="BE226" s="100">
        <f t="shared" si="325"/>
        <v>0.25</v>
      </c>
      <c r="BF226" s="101">
        <f t="shared" si="326"/>
        <v>0.45000000000000007</v>
      </c>
      <c r="BG226" s="102">
        <f t="shared" si="327"/>
        <v>2.415</v>
      </c>
      <c r="BH226" s="102">
        <f t="shared" si="328"/>
        <v>2.1938493567243853</v>
      </c>
      <c r="BI226" s="102">
        <v>0</v>
      </c>
      <c r="BJ226" s="102">
        <f t="shared" si="329"/>
        <v>4.8129749999999992E-2</v>
      </c>
      <c r="BK226" s="103">
        <f t="shared" si="330"/>
        <v>4.8129749999999992E-2</v>
      </c>
      <c r="BL226" s="101">
        <f t="shared" si="331"/>
        <v>1.6425000000000001</v>
      </c>
      <c r="BM226" s="97">
        <f t="shared" si="332"/>
        <v>1.899929274999467</v>
      </c>
      <c r="BN226" s="97">
        <f t="shared" si="333"/>
        <v>0.32889673776075318</v>
      </c>
      <c r="BO226" s="97">
        <f t="shared" si="334"/>
        <v>2.2995000000000001</v>
      </c>
      <c r="BP226" s="103">
        <f t="shared" si="335"/>
        <v>2.6283967377607533</v>
      </c>
      <c r="BQ226" s="101">
        <f t="shared" si="336"/>
        <v>0.54749999999999999</v>
      </c>
      <c r="BR226" s="102">
        <f t="shared" si="337"/>
        <v>1.0969246783621927</v>
      </c>
      <c r="BS226" s="102">
        <f t="shared" si="338"/>
        <v>0.18395999999999998</v>
      </c>
      <c r="BT226" s="102">
        <f t="shared" si="339"/>
        <v>0.75525000000000009</v>
      </c>
      <c r="BU226" s="103">
        <f t="shared" si="340"/>
        <v>0.9392100000000001</v>
      </c>
      <c r="BV226" s="99">
        <f t="shared" si="341"/>
        <v>0</v>
      </c>
      <c r="BW226" s="102">
        <f t="shared" si="293"/>
        <v>8.7499999999999994E-2</v>
      </c>
      <c r="BX226" s="103">
        <f t="shared" si="342"/>
        <v>1.155E-2</v>
      </c>
      <c r="BY226" s="101">
        <f t="shared" si="343"/>
        <v>3.7147864877607537</v>
      </c>
      <c r="BZ226" s="102">
        <f t="shared" si="344"/>
        <v>26.28</v>
      </c>
      <c r="CA226" s="103">
        <f t="shared" si="345"/>
        <v>87.615226101787542</v>
      </c>
      <c r="CB226" s="51">
        <f t="shared" si="346"/>
        <v>2.7274467377607534</v>
      </c>
      <c r="CC226" s="32">
        <f t="shared" si="347"/>
        <v>120.46063582162637</v>
      </c>
    </row>
    <row r="227" spans="17:81" ht="15" thickBot="1" x14ac:dyDescent="0.35">
      <c r="Q227" s="32">
        <v>220</v>
      </c>
      <c r="S227" s="101">
        <f t="shared" si="288"/>
        <v>60</v>
      </c>
      <c r="T227" s="97">
        <f t="shared" si="294"/>
        <v>0.44</v>
      </c>
      <c r="U227" s="102">
        <f t="shared" si="289"/>
        <v>15</v>
      </c>
      <c r="V227" s="103">
        <f t="shared" si="295"/>
        <v>2.1999999999999997</v>
      </c>
      <c r="W227" s="101">
        <f t="shared" si="296"/>
        <v>2</v>
      </c>
      <c r="X227" s="102">
        <f t="shared" si="297"/>
        <v>0.75</v>
      </c>
      <c r="Y227" s="100">
        <f t="shared" si="298"/>
        <v>0.25</v>
      </c>
      <c r="Z227" s="101">
        <f t="shared" si="299"/>
        <v>0.45000000000000007</v>
      </c>
      <c r="AA227" s="102">
        <f t="shared" si="300"/>
        <v>2.4249999999999998</v>
      </c>
      <c r="AB227" s="102">
        <f t="shared" si="301"/>
        <v>2.2038318901404432</v>
      </c>
      <c r="AC227" s="102">
        <v>0</v>
      </c>
      <c r="AD227" s="102">
        <f t="shared" si="302"/>
        <v>4.8568749999999987E-2</v>
      </c>
      <c r="AE227" s="103">
        <f t="shared" si="303"/>
        <v>4.8568749999999987E-2</v>
      </c>
      <c r="AF227" s="101">
        <f t="shared" si="304"/>
        <v>1.65</v>
      </c>
      <c r="AG227" s="97">
        <f t="shared" si="305"/>
        <v>1.9085744025319</v>
      </c>
      <c r="AH227" s="102">
        <f t="shared" si="306"/>
        <v>0.18877345579166668</v>
      </c>
      <c r="AI227" s="97">
        <f t="shared" si="307"/>
        <v>2.3099999999999996</v>
      </c>
      <c r="AJ227" s="103">
        <f t="shared" si="308"/>
        <v>2.4987734557916661</v>
      </c>
      <c r="AK227" s="101">
        <f t="shared" si="309"/>
        <v>0.54999999999999993</v>
      </c>
      <c r="AL227" s="102">
        <f t="shared" si="310"/>
        <v>1.1019159450702216</v>
      </c>
      <c r="AM227" s="102">
        <f t="shared" si="311"/>
        <v>0.18479999999999999</v>
      </c>
      <c r="AN227" s="102">
        <f t="shared" si="312"/>
        <v>0.75525000000000009</v>
      </c>
      <c r="AO227" s="103">
        <f t="shared" si="313"/>
        <v>0.94005000000000005</v>
      </c>
      <c r="AP227" s="99">
        <f t="shared" si="314"/>
        <v>0</v>
      </c>
      <c r="AQ227" s="102">
        <f t="shared" si="290"/>
        <v>8.7499999999999994E-2</v>
      </c>
      <c r="AR227" s="103">
        <f t="shared" si="315"/>
        <v>1.155E-2</v>
      </c>
      <c r="AS227" s="99">
        <f t="shared" si="316"/>
        <v>2.5978234557916662</v>
      </c>
      <c r="AT227" s="215">
        <f t="shared" si="317"/>
        <v>180.86940734749996</v>
      </c>
      <c r="AU227" s="216">
        <f t="shared" si="318"/>
        <v>9.1292691897409045E-2</v>
      </c>
      <c r="AV227" s="102">
        <f t="shared" si="319"/>
        <v>26.4</v>
      </c>
      <c r="AW227" s="103">
        <f t="shared" si="320"/>
        <v>91.041315705117825</v>
      </c>
      <c r="AX227" s="32"/>
      <c r="AY227" s="101">
        <f t="shared" si="291"/>
        <v>60</v>
      </c>
      <c r="AZ227" s="102">
        <f t="shared" si="321"/>
        <v>0.44</v>
      </c>
      <c r="BA227" s="102">
        <f t="shared" si="292"/>
        <v>15</v>
      </c>
      <c r="BB227" s="103">
        <f t="shared" si="322"/>
        <v>2.1999999999999997</v>
      </c>
      <c r="BC227" s="101">
        <f t="shared" si="323"/>
        <v>2</v>
      </c>
      <c r="BD227" s="102">
        <f t="shared" si="324"/>
        <v>0.75</v>
      </c>
      <c r="BE227" s="100">
        <f t="shared" si="325"/>
        <v>0.25</v>
      </c>
      <c r="BF227" s="101">
        <f t="shared" si="326"/>
        <v>0.45000000000000007</v>
      </c>
      <c r="BG227" s="102">
        <f t="shared" si="327"/>
        <v>2.4249999999999998</v>
      </c>
      <c r="BH227" s="102">
        <f t="shared" si="328"/>
        <v>2.2038318901404432</v>
      </c>
      <c r="BI227" s="102">
        <v>0</v>
      </c>
      <c r="BJ227" s="102">
        <f t="shared" si="329"/>
        <v>4.8568749999999987E-2</v>
      </c>
      <c r="BK227" s="103">
        <f t="shared" si="330"/>
        <v>4.8568749999999987E-2</v>
      </c>
      <c r="BL227" s="101">
        <f t="shared" si="331"/>
        <v>1.65</v>
      </c>
      <c r="BM227" s="97">
        <f t="shared" si="332"/>
        <v>1.9085744025319</v>
      </c>
      <c r="BN227" s="97">
        <f t="shared" si="333"/>
        <v>0.33254789471942131</v>
      </c>
      <c r="BO227" s="97">
        <f t="shared" si="334"/>
        <v>2.3099999999999996</v>
      </c>
      <c r="BP227" s="103">
        <f t="shared" si="335"/>
        <v>2.6425478947194208</v>
      </c>
      <c r="BQ227" s="101">
        <f t="shared" si="336"/>
        <v>0.54999999999999993</v>
      </c>
      <c r="BR227" s="102">
        <f t="shared" si="337"/>
        <v>1.1019159450702216</v>
      </c>
      <c r="BS227" s="102">
        <f t="shared" si="338"/>
        <v>0.18479999999999999</v>
      </c>
      <c r="BT227" s="102">
        <f t="shared" si="339"/>
        <v>0.75525000000000009</v>
      </c>
      <c r="BU227" s="103">
        <f t="shared" si="340"/>
        <v>0.94005000000000005</v>
      </c>
      <c r="BV227" s="99">
        <f t="shared" si="341"/>
        <v>0</v>
      </c>
      <c r="BW227" s="102">
        <f t="shared" si="293"/>
        <v>8.7499999999999994E-2</v>
      </c>
      <c r="BX227" s="103">
        <f t="shared" si="342"/>
        <v>1.155E-2</v>
      </c>
      <c r="BY227" s="101">
        <f t="shared" si="343"/>
        <v>3.7302166447194209</v>
      </c>
      <c r="BZ227" s="102">
        <f t="shared" si="344"/>
        <v>26.4</v>
      </c>
      <c r="CA227" s="103">
        <f t="shared" si="345"/>
        <v>87.619681966763522</v>
      </c>
      <c r="CB227" s="51">
        <f t="shared" si="346"/>
        <v>2.7415978947194208</v>
      </c>
      <c r="CC227" s="32">
        <f t="shared" si="347"/>
        <v>120.95592631517972</v>
      </c>
    </row>
    <row r="228" spans="17:81" ht="15" thickBot="1" x14ac:dyDescent="0.35">
      <c r="Q228" s="32">
        <v>221</v>
      </c>
      <c r="S228" s="101">
        <f t="shared" si="288"/>
        <v>60</v>
      </c>
      <c r="T228" s="97">
        <f t="shared" si="294"/>
        <v>0.442</v>
      </c>
      <c r="U228" s="102">
        <f t="shared" si="289"/>
        <v>15</v>
      </c>
      <c r="V228" s="103">
        <f t="shared" si="295"/>
        <v>2.21</v>
      </c>
      <c r="W228" s="101">
        <f t="shared" si="296"/>
        <v>2</v>
      </c>
      <c r="X228" s="102">
        <f t="shared" si="297"/>
        <v>0.75</v>
      </c>
      <c r="Y228" s="100">
        <f t="shared" si="298"/>
        <v>0.25</v>
      </c>
      <c r="Z228" s="101">
        <f t="shared" si="299"/>
        <v>0.45000000000000007</v>
      </c>
      <c r="AA228" s="102">
        <f t="shared" si="300"/>
        <v>2.4350000000000001</v>
      </c>
      <c r="AB228" s="102">
        <f t="shared" si="301"/>
        <v>2.213814581214967</v>
      </c>
      <c r="AC228" s="102">
        <v>0</v>
      </c>
      <c r="AD228" s="102">
        <f t="shared" si="302"/>
        <v>4.9009749999999998E-2</v>
      </c>
      <c r="AE228" s="103">
        <f t="shared" si="303"/>
        <v>4.9009749999999998E-2</v>
      </c>
      <c r="AF228" s="101">
        <f t="shared" si="304"/>
        <v>1.6575</v>
      </c>
      <c r="AG228" s="97">
        <f t="shared" si="305"/>
        <v>1.9172196666005699</v>
      </c>
      <c r="AH228" s="102">
        <f t="shared" si="306"/>
        <v>0.19048750225166672</v>
      </c>
      <c r="AI228" s="97">
        <f t="shared" si="307"/>
        <v>2.3205</v>
      </c>
      <c r="AJ228" s="103">
        <f t="shared" si="308"/>
        <v>2.5109875022516666</v>
      </c>
      <c r="AK228" s="101">
        <f t="shared" si="309"/>
        <v>0.55249999999999999</v>
      </c>
      <c r="AL228" s="102">
        <f t="shared" si="310"/>
        <v>1.1069072906074837</v>
      </c>
      <c r="AM228" s="102">
        <f t="shared" si="311"/>
        <v>0.18564</v>
      </c>
      <c r="AN228" s="102">
        <f t="shared" si="312"/>
        <v>0.75525000000000009</v>
      </c>
      <c r="AO228" s="103">
        <f t="shared" si="313"/>
        <v>0.94089000000000012</v>
      </c>
      <c r="AP228" s="99">
        <f t="shared" si="314"/>
        <v>0</v>
      </c>
      <c r="AQ228" s="102">
        <f t="shared" si="290"/>
        <v>8.7499999999999994E-2</v>
      </c>
      <c r="AR228" s="103">
        <f t="shared" si="315"/>
        <v>1.155E-2</v>
      </c>
      <c r="AS228" s="99">
        <f t="shared" si="316"/>
        <v>2.6100375022516666</v>
      </c>
      <c r="AT228" s="215">
        <f t="shared" si="317"/>
        <v>181.60225013510001</v>
      </c>
      <c r="AU228" s="216">
        <f t="shared" si="318"/>
        <v>9.1471585010312426E-2</v>
      </c>
      <c r="AV228" s="102">
        <f t="shared" si="319"/>
        <v>26.52</v>
      </c>
      <c r="AW228" s="103">
        <f t="shared" si="320"/>
        <v>91.040047572716247</v>
      </c>
      <c r="AX228" s="32"/>
      <c r="AY228" s="101">
        <f t="shared" si="291"/>
        <v>60</v>
      </c>
      <c r="AZ228" s="102">
        <f t="shared" si="321"/>
        <v>0.442</v>
      </c>
      <c r="BA228" s="102">
        <f t="shared" si="292"/>
        <v>15</v>
      </c>
      <c r="BB228" s="103">
        <f t="shared" si="322"/>
        <v>2.21</v>
      </c>
      <c r="BC228" s="101">
        <f t="shared" si="323"/>
        <v>2</v>
      </c>
      <c r="BD228" s="102">
        <f t="shared" si="324"/>
        <v>0.75</v>
      </c>
      <c r="BE228" s="100">
        <f t="shared" si="325"/>
        <v>0.25</v>
      </c>
      <c r="BF228" s="101">
        <f t="shared" si="326"/>
        <v>0.45000000000000007</v>
      </c>
      <c r="BG228" s="102">
        <f t="shared" si="327"/>
        <v>2.4350000000000001</v>
      </c>
      <c r="BH228" s="102">
        <f t="shared" si="328"/>
        <v>2.213814581214967</v>
      </c>
      <c r="BI228" s="102">
        <v>0</v>
      </c>
      <c r="BJ228" s="102">
        <f t="shared" si="329"/>
        <v>4.9009749999999998E-2</v>
      </c>
      <c r="BK228" s="103">
        <f t="shared" si="330"/>
        <v>4.9009749999999998E-2</v>
      </c>
      <c r="BL228" s="101">
        <f t="shared" si="331"/>
        <v>1.6575</v>
      </c>
      <c r="BM228" s="97">
        <f t="shared" si="332"/>
        <v>1.9172196666005699</v>
      </c>
      <c r="BN228" s="97">
        <f t="shared" si="333"/>
        <v>0.33622496350943698</v>
      </c>
      <c r="BO228" s="97">
        <f t="shared" si="334"/>
        <v>2.3205</v>
      </c>
      <c r="BP228" s="103">
        <f t="shared" si="335"/>
        <v>2.6567249635094372</v>
      </c>
      <c r="BQ228" s="101">
        <f t="shared" si="336"/>
        <v>0.55249999999999999</v>
      </c>
      <c r="BR228" s="102">
        <f t="shared" si="337"/>
        <v>1.1069072906074837</v>
      </c>
      <c r="BS228" s="102">
        <f t="shared" si="338"/>
        <v>0.18564</v>
      </c>
      <c r="BT228" s="102">
        <f t="shared" si="339"/>
        <v>0.75525000000000009</v>
      </c>
      <c r="BU228" s="103">
        <f t="shared" si="340"/>
        <v>0.94089000000000012</v>
      </c>
      <c r="BV228" s="99">
        <f t="shared" si="341"/>
        <v>0</v>
      </c>
      <c r="BW228" s="102">
        <f t="shared" si="293"/>
        <v>8.7499999999999994E-2</v>
      </c>
      <c r="BX228" s="103">
        <f t="shared" si="342"/>
        <v>1.155E-2</v>
      </c>
      <c r="BY228" s="101">
        <f t="shared" si="343"/>
        <v>3.7456747135094375</v>
      </c>
      <c r="BZ228" s="102">
        <f t="shared" si="344"/>
        <v>26.52</v>
      </c>
      <c r="CA228" s="103">
        <f t="shared" si="345"/>
        <v>87.624017144948979</v>
      </c>
      <c r="CB228" s="51">
        <f t="shared" si="346"/>
        <v>2.7557749635094373</v>
      </c>
      <c r="CC228" s="32">
        <f t="shared" si="347"/>
        <v>121.45212372283031</v>
      </c>
    </row>
    <row r="229" spans="17:81" ht="15" thickBot="1" x14ac:dyDescent="0.35">
      <c r="Q229" s="32">
        <v>222</v>
      </c>
      <c r="S229" s="101">
        <f t="shared" si="288"/>
        <v>60</v>
      </c>
      <c r="T229" s="97">
        <f t="shared" si="294"/>
        <v>0.44400000000000001</v>
      </c>
      <c r="U229" s="102">
        <f t="shared" si="289"/>
        <v>15</v>
      </c>
      <c r="V229" s="103">
        <f t="shared" si="295"/>
        <v>2.2200000000000002</v>
      </c>
      <c r="W229" s="101">
        <f t="shared" si="296"/>
        <v>2</v>
      </c>
      <c r="X229" s="102">
        <f t="shared" si="297"/>
        <v>0.75</v>
      </c>
      <c r="Y229" s="100">
        <f t="shared" si="298"/>
        <v>0.25</v>
      </c>
      <c r="Z229" s="101">
        <f t="shared" si="299"/>
        <v>0.45000000000000007</v>
      </c>
      <c r="AA229" s="102">
        <f t="shared" si="300"/>
        <v>2.4450000000000003</v>
      </c>
      <c r="AB229" s="102">
        <f t="shared" si="301"/>
        <v>2.2237974278247559</v>
      </c>
      <c r="AC229" s="102">
        <v>0</v>
      </c>
      <c r="AD229" s="102">
        <f t="shared" si="302"/>
        <v>4.9452750000000004E-2</v>
      </c>
      <c r="AE229" s="103">
        <f t="shared" si="303"/>
        <v>4.9452750000000004E-2</v>
      </c>
      <c r="AF229" s="101">
        <f t="shared" si="304"/>
        <v>1.665</v>
      </c>
      <c r="AG229" s="97">
        <f t="shared" si="305"/>
        <v>1.9258650653667304</v>
      </c>
      <c r="AH229" s="102">
        <f t="shared" si="306"/>
        <v>0.19220932216500008</v>
      </c>
      <c r="AI229" s="97">
        <f t="shared" si="307"/>
        <v>2.3310000000000004</v>
      </c>
      <c r="AJ229" s="103">
        <f t="shared" si="308"/>
        <v>2.5232093221650005</v>
      </c>
      <c r="AK229" s="101">
        <f t="shared" si="309"/>
        <v>0.55500000000000005</v>
      </c>
      <c r="AL229" s="102">
        <f t="shared" si="310"/>
        <v>1.1118987139123779</v>
      </c>
      <c r="AM229" s="102">
        <f t="shared" si="311"/>
        <v>0.18648000000000001</v>
      </c>
      <c r="AN229" s="102">
        <f t="shared" si="312"/>
        <v>0.75525000000000009</v>
      </c>
      <c r="AO229" s="103">
        <f t="shared" si="313"/>
        <v>0.94173000000000007</v>
      </c>
      <c r="AP229" s="99">
        <f t="shared" si="314"/>
        <v>0</v>
      </c>
      <c r="AQ229" s="102">
        <f t="shared" si="290"/>
        <v>8.7499999999999994E-2</v>
      </c>
      <c r="AR229" s="103">
        <f t="shared" si="315"/>
        <v>1.155E-2</v>
      </c>
      <c r="AS229" s="99">
        <f t="shared" si="316"/>
        <v>2.6222593221650006</v>
      </c>
      <c r="AT229" s="215">
        <f t="shared" si="317"/>
        <v>182.33555932990004</v>
      </c>
      <c r="AU229" s="216">
        <f t="shared" si="318"/>
        <v>9.1650591977151863E-2</v>
      </c>
      <c r="AV229" s="102">
        <f t="shared" si="319"/>
        <v>26.64</v>
      </c>
      <c r="AW229" s="103">
        <f t="shared" si="320"/>
        <v>91.038766715532645</v>
      </c>
      <c r="AX229" s="32"/>
      <c r="AY229" s="101">
        <f t="shared" si="291"/>
        <v>60</v>
      </c>
      <c r="AZ229" s="102">
        <f t="shared" si="321"/>
        <v>0.44400000000000001</v>
      </c>
      <c r="BA229" s="102">
        <f t="shared" si="292"/>
        <v>15</v>
      </c>
      <c r="BB229" s="103">
        <f t="shared" si="322"/>
        <v>2.2200000000000002</v>
      </c>
      <c r="BC229" s="101">
        <f t="shared" si="323"/>
        <v>2</v>
      </c>
      <c r="BD229" s="102">
        <f t="shared" si="324"/>
        <v>0.75</v>
      </c>
      <c r="BE229" s="100">
        <f t="shared" si="325"/>
        <v>0.25</v>
      </c>
      <c r="BF229" s="101">
        <f t="shared" si="326"/>
        <v>0.45000000000000007</v>
      </c>
      <c r="BG229" s="102">
        <f t="shared" si="327"/>
        <v>2.4450000000000003</v>
      </c>
      <c r="BH229" s="102">
        <f t="shared" si="328"/>
        <v>2.2237974278247559</v>
      </c>
      <c r="BI229" s="102">
        <v>0</v>
      </c>
      <c r="BJ229" s="102">
        <f t="shared" si="329"/>
        <v>4.9452750000000004E-2</v>
      </c>
      <c r="BK229" s="103">
        <f t="shared" si="330"/>
        <v>4.9452750000000004E-2</v>
      </c>
      <c r="BL229" s="101">
        <f t="shared" si="331"/>
        <v>1.665</v>
      </c>
      <c r="BM229" s="97">
        <f t="shared" si="332"/>
        <v>1.9258650653667304</v>
      </c>
      <c r="BN229" s="97">
        <f t="shared" si="333"/>
        <v>0.33992803592985732</v>
      </c>
      <c r="BO229" s="97">
        <f t="shared" si="334"/>
        <v>2.3310000000000004</v>
      </c>
      <c r="BP229" s="103">
        <f t="shared" si="335"/>
        <v>2.6709280359298577</v>
      </c>
      <c r="BQ229" s="101">
        <f t="shared" si="336"/>
        <v>0.55500000000000005</v>
      </c>
      <c r="BR229" s="102">
        <f t="shared" si="337"/>
        <v>1.1118987139123779</v>
      </c>
      <c r="BS229" s="102">
        <f t="shared" si="338"/>
        <v>0.18648000000000001</v>
      </c>
      <c r="BT229" s="102">
        <f t="shared" si="339"/>
        <v>0.75525000000000009</v>
      </c>
      <c r="BU229" s="103">
        <f t="shared" si="340"/>
        <v>0.94173000000000007</v>
      </c>
      <c r="BV229" s="99">
        <f t="shared" si="341"/>
        <v>0</v>
      </c>
      <c r="BW229" s="102">
        <f t="shared" si="293"/>
        <v>8.7499999999999994E-2</v>
      </c>
      <c r="BX229" s="103">
        <f t="shared" si="342"/>
        <v>1.155E-2</v>
      </c>
      <c r="BY229" s="101">
        <f t="shared" si="343"/>
        <v>3.7611607859298579</v>
      </c>
      <c r="BZ229" s="102">
        <f t="shared" si="344"/>
        <v>26.64</v>
      </c>
      <c r="CA229" s="103">
        <f t="shared" si="345"/>
        <v>87.628232973029824</v>
      </c>
      <c r="CB229" s="51">
        <f t="shared" si="346"/>
        <v>2.7699780359298578</v>
      </c>
      <c r="CC229" s="32">
        <f t="shared" si="347"/>
        <v>121.94923125754502</v>
      </c>
    </row>
    <row r="230" spans="17:81" ht="15" thickBot="1" x14ac:dyDescent="0.35">
      <c r="Q230" s="32">
        <v>223</v>
      </c>
      <c r="S230" s="101">
        <f t="shared" si="288"/>
        <v>60</v>
      </c>
      <c r="T230" s="97">
        <f t="shared" si="294"/>
        <v>0.44600000000000001</v>
      </c>
      <c r="U230" s="102">
        <f t="shared" si="289"/>
        <v>15</v>
      </c>
      <c r="V230" s="103">
        <f t="shared" si="295"/>
        <v>2.23</v>
      </c>
      <c r="W230" s="101">
        <f t="shared" si="296"/>
        <v>2</v>
      </c>
      <c r="X230" s="102">
        <f t="shared" si="297"/>
        <v>0.75</v>
      </c>
      <c r="Y230" s="100">
        <f t="shared" si="298"/>
        <v>0.25</v>
      </c>
      <c r="Z230" s="101">
        <f t="shared" si="299"/>
        <v>0.45000000000000007</v>
      </c>
      <c r="AA230" s="102">
        <f t="shared" si="300"/>
        <v>2.4550000000000001</v>
      </c>
      <c r="AB230" s="102">
        <f t="shared" si="301"/>
        <v>2.2337804278845312</v>
      </c>
      <c r="AC230" s="102">
        <v>0</v>
      </c>
      <c r="AD230" s="102">
        <f t="shared" si="302"/>
        <v>4.9897749999999998E-2</v>
      </c>
      <c r="AE230" s="103">
        <f t="shared" si="303"/>
        <v>4.9897749999999998E-2</v>
      </c>
      <c r="AF230" s="101">
        <f t="shared" si="304"/>
        <v>1.6724999999999999</v>
      </c>
      <c r="AG230" s="97">
        <f t="shared" si="305"/>
        <v>1.9345105970244774</v>
      </c>
      <c r="AH230" s="102">
        <f t="shared" si="306"/>
        <v>0.19393891553166673</v>
      </c>
      <c r="AI230" s="97">
        <f t="shared" si="307"/>
        <v>2.3414999999999999</v>
      </c>
      <c r="AJ230" s="103">
        <f t="shared" si="308"/>
        <v>2.5354389155316666</v>
      </c>
      <c r="AK230" s="101">
        <f t="shared" si="309"/>
        <v>0.5575</v>
      </c>
      <c r="AL230" s="102">
        <f t="shared" si="310"/>
        <v>1.1168902139422656</v>
      </c>
      <c r="AM230" s="102">
        <f t="shared" si="311"/>
        <v>0.18731999999999999</v>
      </c>
      <c r="AN230" s="102">
        <f t="shared" si="312"/>
        <v>0.75525000000000009</v>
      </c>
      <c r="AO230" s="103">
        <f t="shared" si="313"/>
        <v>0.94257000000000013</v>
      </c>
      <c r="AP230" s="99">
        <f t="shared" si="314"/>
        <v>0</v>
      </c>
      <c r="AQ230" s="102">
        <f t="shared" si="290"/>
        <v>8.7499999999999994E-2</v>
      </c>
      <c r="AR230" s="103">
        <f t="shared" si="315"/>
        <v>1.155E-2</v>
      </c>
      <c r="AS230" s="99">
        <f t="shared" si="316"/>
        <v>2.6344889155316666</v>
      </c>
      <c r="AT230" s="215">
        <f t="shared" si="317"/>
        <v>183.06933493189999</v>
      </c>
      <c r="AU230" s="216">
        <f t="shared" si="318"/>
        <v>9.1829712797927357E-2</v>
      </c>
      <c r="AV230" s="102">
        <f t="shared" si="319"/>
        <v>26.76</v>
      </c>
      <c r="AW230" s="103">
        <f t="shared" si="320"/>
        <v>91.037473306298452</v>
      </c>
      <c r="AX230" s="32"/>
      <c r="AY230" s="101">
        <f t="shared" si="291"/>
        <v>60</v>
      </c>
      <c r="AZ230" s="102">
        <f t="shared" si="321"/>
        <v>0.44600000000000001</v>
      </c>
      <c r="BA230" s="102">
        <f t="shared" si="292"/>
        <v>15</v>
      </c>
      <c r="BB230" s="103">
        <f t="shared" si="322"/>
        <v>2.23</v>
      </c>
      <c r="BC230" s="101">
        <f t="shared" si="323"/>
        <v>2</v>
      </c>
      <c r="BD230" s="102">
        <f t="shared" si="324"/>
        <v>0.75</v>
      </c>
      <c r="BE230" s="100">
        <f t="shared" si="325"/>
        <v>0.25</v>
      </c>
      <c r="BF230" s="101">
        <f t="shared" si="326"/>
        <v>0.45000000000000007</v>
      </c>
      <c r="BG230" s="102">
        <f t="shared" si="327"/>
        <v>2.4550000000000001</v>
      </c>
      <c r="BH230" s="102">
        <f t="shared" si="328"/>
        <v>2.2337804278845312</v>
      </c>
      <c r="BI230" s="102">
        <v>0</v>
      </c>
      <c r="BJ230" s="102">
        <f t="shared" si="329"/>
        <v>4.9897749999999998E-2</v>
      </c>
      <c r="BK230" s="103">
        <f t="shared" si="330"/>
        <v>4.9897749999999998E-2</v>
      </c>
      <c r="BL230" s="101">
        <f t="shared" si="331"/>
        <v>1.6724999999999999</v>
      </c>
      <c r="BM230" s="97">
        <f t="shared" si="332"/>
        <v>1.9345105970244774</v>
      </c>
      <c r="BN230" s="97">
        <f t="shared" si="333"/>
        <v>0.3436572038822085</v>
      </c>
      <c r="BO230" s="97">
        <f t="shared" si="334"/>
        <v>2.3414999999999999</v>
      </c>
      <c r="BP230" s="103">
        <f t="shared" si="335"/>
        <v>2.6851572038822082</v>
      </c>
      <c r="BQ230" s="101">
        <f t="shared" si="336"/>
        <v>0.5575</v>
      </c>
      <c r="BR230" s="102">
        <f t="shared" si="337"/>
        <v>1.1168902139422656</v>
      </c>
      <c r="BS230" s="102">
        <f t="shared" si="338"/>
        <v>0.18731999999999999</v>
      </c>
      <c r="BT230" s="102">
        <f t="shared" si="339"/>
        <v>0.75525000000000009</v>
      </c>
      <c r="BU230" s="103">
        <f t="shared" si="340"/>
        <v>0.94257000000000013</v>
      </c>
      <c r="BV230" s="99">
        <f t="shared" si="341"/>
        <v>0</v>
      </c>
      <c r="BW230" s="102">
        <f t="shared" si="293"/>
        <v>8.7499999999999994E-2</v>
      </c>
      <c r="BX230" s="103">
        <f t="shared" si="342"/>
        <v>1.155E-2</v>
      </c>
      <c r="BY230" s="101">
        <f t="shared" si="343"/>
        <v>3.7766749538822082</v>
      </c>
      <c r="BZ230" s="102">
        <f t="shared" si="344"/>
        <v>26.76</v>
      </c>
      <c r="CA230" s="103">
        <f t="shared" si="345"/>
        <v>87.632330764282941</v>
      </c>
      <c r="CB230" s="51">
        <f t="shared" si="346"/>
        <v>2.7842072038822083</v>
      </c>
      <c r="CC230" s="32">
        <f t="shared" si="347"/>
        <v>122.44725213587729</v>
      </c>
    </row>
    <row r="231" spans="17:81" ht="15" thickBot="1" x14ac:dyDescent="0.35">
      <c r="Q231" s="32">
        <v>224</v>
      </c>
      <c r="S231" s="101">
        <f t="shared" si="288"/>
        <v>60</v>
      </c>
      <c r="T231" s="97">
        <f t="shared" si="294"/>
        <v>0.44800000000000001</v>
      </c>
      <c r="U231" s="102">
        <f t="shared" si="289"/>
        <v>15</v>
      </c>
      <c r="V231" s="103">
        <f t="shared" si="295"/>
        <v>2.2399999999999998</v>
      </c>
      <c r="W231" s="101">
        <f t="shared" si="296"/>
        <v>2</v>
      </c>
      <c r="X231" s="102">
        <f t="shared" si="297"/>
        <v>0.75</v>
      </c>
      <c r="Y231" s="100">
        <f t="shared" si="298"/>
        <v>0.25</v>
      </c>
      <c r="Z231" s="101">
        <f t="shared" si="299"/>
        <v>0.45000000000000007</v>
      </c>
      <c r="AA231" s="102">
        <f t="shared" si="300"/>
        <v>2.4649999999999999</v>
      </c>
      <c r="AB231" s="102">
        <f t="shared" si="301"/>
        <v>2.2437635793460946</v>
      </c>
      <c r="AC231" s="102">
        <v>0</v>
      </c>
      <c r="AD231" s="102">
        <f t="shared" si="302"/>
        <v>5.034474999999998E-2</v>
      </c>
      <c r="AE231" s="103">
        <f t="shared" si="303"/>
        <v>5.034474999999998E-2</v>
      </c>
      <c r="AF231" s="101">
        <f t="shared" si="304"/>
        <v>1.6799999999999997</v>
      </c>
      <c r="AG231" s="97">
        <f t="shared" si="305"/>
        <v>1.9431562598000189</v>
      </c>
      <c r="AH231" s="102">
        <f t="shared" si="306"/>
        <v>0.19567628235166665</v>
      </c>
      <c r="AI231" s="97">
        <f t="shared" si="307"/>
        <v>2.3519999999999994</v>
      </c>
      <c r="AJ231" s="103">
        <f t="shared" si="308"/>
        <v>2.5476762823516661</v>
      </c>
      <c r="AK231" s="101">
        <f t="shared" si="309"/>
        <v>0.55999999999999994</v>
      </c>
      <c r="AL231" s="102">
        <f t="shared" si="310"/>
        <v>1.1218817896730473</v>
      </c>
      <c r="AM231" s="102">
        <f t="shared" si="311"/>
        <v>0.18815999999999999</v>
      </c>
      <c r="AN231" s="102">
        <f t="shared" si="312"/>
        <v>0.75525000000000009</v>
      </c>
      <c r="AO231" s="103">
        <f t="shared" si="313"/>
        <v>0.94341000000000008</v>
      </c>
      <c r="AP231" s="99">
        <f t="shared" si="314"/>
        <v>0</v>
      </c>
      <c r="AQ231" s="102">
        <f t="shared" si="290"/>
        <v>8.7499999999999994E-2</v>
      </c>
      <c r="AR231" s="103">
        <f t="shared" si="315"/>
        <v>1.155E-2</v>
      </c>
      <c r="AS231" s="99">
        <f t="shared" si="316"/>
        <v>2.6467262823516662</v>
      </c>
      <c r="AT231" s="215">
        <f t="shared" si="317"/>
        <v>183.80357694109998</v>
      </c>
      <c r="AU231" s="216">
        <f t="shared" si="318"/>
        <v>9.2008947472638936E-2</v>
      </c>
      <c r="AV231" s="102">
        <f t="shared" si="319"/>
        <v>26.88</v>
      </c>
      <c r="AW231" s="103">
        <f t="shared" si="320"/>
        <v>91.036167514670836</v>
      </c>
      <c r="AX231" s="32"/>
      <c r="AY231" s="101">
        <f t="shared" si="291"/>
        <v>60</v>
      </c>
      <c r="AZ231" s="102">
        <f t="shared" si="321"/>
        <v>0.44800000000000001</v>
      </c>
      <c r="BA231" s="102">
        <f t="shared" si="292"/>
        <v>15</v>
      </c>
      <c r="BB231" s="103">
        <f t="shared" si="322"/>
        <v>2.2399999999999998</v>
      </c>
      <c r="BC231" s="101">
        <f t="shared" si="323"/>
        <v>2</v>
      </c>
      <c r="BD231" s="102">
        <f t="shared" si="324"/>
        <v>0.75</v>
      </c>
      <c r="BE231" s="100">
        <f t="shared" si="325"/>
        <v>0.25</v>
      </c>
      <c r="BF231" s="101">
        <f t="shared" si="326"/>
        <v>0.45000000000000007</v>
      </c>
      <c r="BG231" s="102">
        <f t="shared" si="327"/>
        <v>2.4649999999999999</v>
      </c>
      <c r="BH231" s="102">
        <f t="shared" si="328"/>
        <v>2.2437635793460946</v>
      </c>
      <c r="BI231" s="102">
        <v>0</v>
      </c>
      <c r="BJ231" s="102">
        <f t="shared" si="329"/>
        <v>5.034474999999998E-2</v>
      </c>
      <c r="BK231" s="103">
        <f t="shared" si="330"/>
        <v>5.034474999999998E-2</v>
      </c>
      <c r="BL231" s="101">
        <f t="shared" si="331"/>
        <v>1.6799999999999997</v>
      </c>
      <c r="BM231" s="97">
        <f t="shared" si="332"/>
        <v>1.9431562598000189</v>
      </c>
      <c r="BN231" s="97">
        <f t="shared" si="333"/>
        <v>0.34741255937048532</v>
      </c>
      <c r="BO231" s="97">
        <f t="shared" si="334"/>
        <v>2.3519999999999994</v>
      </c>
      <c r="BP231" s="103">
        <f t="shared" si="335"/>
        <v>2.6994125593704847</v>
      </c>
      <c r="BQ231" s="101">
        <f t="shared" si="336"/>
        <v>0.55999999999999994</v>
      </c>
      <c r="BR231" s="102">
        <f t="shared" si="337"/>
        <v>1.1218817896730473</v>
      </c>
      <c r="BS231" s="102">
        <f t="shared" si="338"/>
        <v>0.18815999999999999</v>
      </c>
      <c r="BT231" s="102">
        <f t="shared" si="339"/>
        <v>0.75525000000000009</v>
      </c>
      <c r="BU231" s="103">
        <f t="shared" si="340"/>
        <v>0.94341000000000008</v>
      </c>
      <c r="BV231" s="99">
        <f t="shared" si="341"/>
        <v>0</v>
      </c>
      <c r="BW231" s="102">
        <f t="shared" si="293"/>
        <v>8.7499999999999994E-2</v>
      </c>
      <c r="BX231" s="103">
        <f t="shared" si="342"/>
        <v>1.155E-2</v>
      </c>
      <c r="BY231" s="101">
        <f t="shared" si="343"/>
        <v>3.7922173093704847</v>
      </c>
      <c r="BZ231" s="102">
        <f t="shared" si="344"/>
        <v>26.88</v>
      </c>
      <c r="CA231" s="103">
        <f t="shared" si="345"/>
        <v>87.636311809084802</v>
      </c>
      <c r="CB231" s="51">
        <f t="shared" si="346"/>
        <v>2.7984625593704848</v>
      </c>
      <c r="CC231" s="32">
        <f t="shared" si="347"/>
        <v>122.94618957796698</v>
      </c>
    </row>
    <row r="232" spans="17:81" ht="15" thickBot="1" x14ac:dyDescent="0.35">
      <c r="Q232" s="32">
        <v>225</v>
      </c>
      <c r="S232" s="101">
        <f t="shared" si="288"/>
        <v>60</v>
      </c>
      <c r="T232" s="97">
        <f t="shared" si="294"/>
        <v>0.45</v>
      </c>
      <c r="U232" s="102">
        <f t="shared" si="289"/>
        <v>15</v>
      </c>
      <c r="V232" s="103">
        <f t="shared" si="295"/>
        <v>2.25</v>
      </c>
      <c r="W232" s="101">
        <f t="shared" si="296"/>
        <v>2</v>
      </c>
      <c r="X232" s="102">
        <f t="shared" si="297"/>
        <v>0.75</v>
      </c>
      <c r="Y232" s="100">
        <f t="shared" si="298"/>
        <v>0.25</v>
      </c>
      <c r="Z232" s="101">
        <f t="shared" si="299"/>
        <v>0.45000000000000007</v>
      </c>
      <c r="AA232" s="102">
        <f t="shared" si="300"/>
        <v>2.4750000000000001</v>
      </c>
      <c r="AB232" s="102">
        <f t="shared" si="301"/>
        <v>2.2537468801975078</v>
      </c>
      <c r="AC232" s="102">
        <v>0</v>
      </c>
      <c r="AD232" s="102">
        <f t="shared" si="302"/>
        <v>5.0793749999999999E-2</v>
      </c>
      <c r="AE232" s="103">
        <f t="shared" si="303"/>
        <v>5.0793749999999999E-2</v>
      </c>
      <c r="AF232" s="101">
        <f t="shared" si="304"/>
        <v>1.6875</v>
      </c>
      <c r="AG232" s="97">
        <f t="shared" si="305"/>
        <v>1.9518020519509656</v>
      </c>
      <c r="AH232" s="102">
        <f t="shared" si="306"/>
        <v>0.19742142262500004</v>
      </c>
      <c r="AI232" s="97">
        <f t="shared" si="307"/>
        <v>2.3624999999999998</v>
      </c>
      <c r="AJ232" s="103">
        <f t="shared" si="308"/>
        <v>2.559921422625</v>
      </c>
      <c r="AK232" s="101">
        <f t="shared" si="309"/>
        <v>0.5625</v>
      </c>
      <c r="AL232" s="102">
        <f t="shared" si="310"/>
        <v>1.1268734400987539</v>
      </c>
      <c r="AM232" s="102">
        <f t="shared" si="311"/>
        <v>0.189</v>
      </c>
      <c r="AN232" s="102">
        <f t="shared" si="312"/>
        <v>0.75525000000000009</v>
      </c>
      <c r="AO232" s="103">
        <f t="shared" si="313"/>
        <v>0.94425000000000003</v>
      </c>
      <c r="AP232" s="99">
        <f t="shared" si="314"/>
        <v>0</v>
      </c>
      <c r="AQ232" s="102">
        <f t="shared" si="290"/>
        <v>8.7499999999999994E-2</v>
      </c>
      <c r="AR232" s="103">
        <f t="shared" si="315"/>
        <v>1.155E-2</v>
      </c>
      <c r="AS232" s="99">
        <f t="shared" si="316"/>
        <v>2.6589714226250001</v>
      </c>
      <c r="AT232" s="215">
        <f t="shared" si="317"/>
        <v>184.5382853575</v>
      </c>
      <c r="AU232" s="216">
        <f t="shared" si="318"/>
        <v>9.2188296001286571E-2</v>
      </c>
      <c r="AV232" s="102">
        <f t="shared" si="319"/>
        <v>27</v>
      </c>
      <c r="AW232" s="103">
        <f t="shared" si="320"/>
        <v>91.034849507300734</v>
      </c>
      <c r="AX232" s="32"/>
      <c r="AY232" s="101">
        <f t="shared" si="291"/>
        <v>60</v>
      </c>
      <c r="AZ232" s="102">
        <f t="shared" si="321"/>
        <v>0.45</v>
      </c>
      <c r="BA232" s="102">
        <f t="shared" si="292"/>
        <v>15</v>
      </c>
      <c r="BB232" s="103">
        <f t="shared" si="322"/>
        <v>2.25</v>
      </c>
      <c r="BC232" s="101">
        <f t="shared" si="323"/>
        <v>2</v>
      </c>
      <c r="BD232" s="102">
        <f t="shared" si="324"/>
        <v>0.75</v>
      </c>
      <c r="BE232" s="100">
        <f t="shared" si="325"/>
        <v>0.25</v>
      </c>
      <c r="BF232" s="101">
        <f t="shared" si="326"/>
        <v>0.45000000000000007</v>
      </c>
      <c r="BG232" s="102">
        <f t="shared" si="327"/>
        <v>2.4750000000000001</v>
      </c>
      <c r="BH232" s="102">
        <f t="shared" si="328"/>
        <v>2.2537468801975078</v>
      </c>
      <c r="BI232" s="102">
        <v>0</v>
      </c>
      <c r="BJ232" s="102">
        <f t="shared" si="329"/>
        <v>5.0793749999999999E-2</v>
      </c>
      <c r="BK232" s="103">
        <f t="shared" si="330"/>
        <v>5.0793749999999999E-2</v>
      </c>
      <c r="BL232" s="101">
        <f t="shared" si="331"/>
        <v>1.6875</v>
      </c>
      <c r="BM232" s="97">
        <f t="shared" si="332"/>
        <v>1.9518020519509656</v>
      </c>
      <c r="BN232" s="97">
        <f t="shared" si="333"/>
        <v>0.35119419450115119</v>
      </c>
      <c r="BO232" s="97">
        <f t="shared" si="334"/>
        <v>2.3624999999999998</v>
      </c>
      <c r="BP232" s="103">
        <f t="shared" si="335"/>
        <v>2.713694194501151</v>
      </c>
      <c r="BQ232" s="101">
        <f t="shared" si="336"/>
        <v>0.5625</v>
      </c>
      <c r="BR232" s="102">
        <f t="shared" si="337"/>
        <v>1.1268734400987539</v>
      </c>
      <c r="BS232" s="102">
        <f t="shared" si="338"/>
        <v>0.189</v>
      </c>
      <c r="BT232" s="102">
        <f t="shared" si="339"/>
        <v>0.75525000000000009</v>
      </c>
      <c r="BU232" s="103">
        <f t="shared" si="340"/>
        <v>0.94425000000000003</v>
      </c>
      <c r="BV232" s="99">
        <f t="shared" si="341"/>
        <v>0</v>
      </c>
      <c r="BW232" s="102">
        <f t="shared" si="293"/>
        <v>8.7499999999999994E-2</v>
      </c>
      <c r="BX232" s="103">
        <f t="shared" si="342"/>
        <v>1.155E-2</v>
      </c>
      <c r="BY232" s="101">
        <f t="shared" si="343"/>
        <v>3.8077879445011509</v>
      </c>
      <c r="BZ232" s="102">
        <f t="shared" si="344"/>
        <v>27</v>
      </c>
      <c r="CA232" s="103">
        <f t="shared" si="345"/>
        <v>87.640177375406807</v>
      </c>
      <c r="CB232" s="51">
        <f t="shared" si="346"/>
        <v>2.8127441945011511</v>
      </c>
      <c r="CC232" s="32">
        <f t="shared" si="347"/>
        <v>123.44604680754028</v>
      </c>
    </row>
    <row r="233" spans="17:81" ht="15" thickBot="1" x14ac:dyDescent="0.35">
      <c r="Q233" s="32">
        <v>226</v>
      </c>
      <c r="S233" s="101">
        <f t="shared" si="288"/>
        <v>60</v>
      </c>
      <c r="T233" s="97">
        <f t="shared" si="294"/>
        <v>0.45200000000000001</v>
      </c>
      <c r="U233" s="102">
        <f t="shared" si="289"/>
        <v>15</v>
      </c>
      <c r="V233" s="103">
        <f t="shared" si="295"/>
        <v>2.2600000000000002</v>
      </c>
      <c r="W233" s="101">
        <f t="shared" si="296"/>
        <v>2</v>
      </c>
      <c r="X233" s="102">
        <f t="shared" si="297"/>
        <v>0.75</v>
      </c>
      <c r="Y233" s="100">
        <f t="shared" si="298"/>
        <v>0.25</v>
      </c>
      <c r="Z233" s="101">
        <f t="shared" si="299"/>
        <v>0.45000000000000007</v>
      </c>
      <c r="AA233" s="102">
        <f t="shared" si="300"/>
        <v>2.4850000000000003</v>
      </c>
      <c r="AB233" s="102">
        <f t="shared" si="301"/>
        <v>2.2637303284622932</v>
      </c>
      <c r="AC233" s="102">
        <v>0</v>
      </c>
      <c r="AD233" s="102">
        <f t="shared" si="302"/>
        <v>5.1244750000000019E-2</v>
      </c>
      <c r="AE233" s="103">
        <f t="shared" si="303"/>
        <v>5.1244750000000019E-2</v>
      </c>
      <c r="AF233" s="101">
        <f t="shared" si="304"/>
        <v>1.6950000000000003</v>
      </c>
      <c r="AG233" s="97">
        <f t="shared" si="305"/>
        <v>1.9604479717656373</v>
      </c>
      <c r="AH233" s="102">
        <f t="shared" si="306"/>
        <v>0.19917433635166679</v>
      </c>
      <c r="AI233" s="97">
        <f t="shared" si="307"/>
        <v>2.3730000000000002</v>
      </c>
      <c r="AJ233" s="103">
        <f t="shared" si="308"/>
        <v>2.5721743363516669</v>
      </c>
      <c r="AK233" s="101">
        <f t="shared" si="309"/>
        <v>0.56500000000000006</v>
      </c>
      <c r="AL233" s="102">
        <f t="shared" si="310"/>
        <v>1.1318651642311466</v>
      </c>
      <c r="AM233" s="102">
        <f t="shared" si="311"/>
        <v>0.18984000000000001</v>
      </c>
      <c r="AN233" s="102">
        <f t="shared" si="312"/>
        <v>0.75525000000000009</v>
      </c>
      <c r="AO233" s="103">
        <f t="shared" si="313"/>
        <v>0.9450900000000001</v>
      </c>
      <c r="AP233" s="99">
        <f t="shared" si="314"/>
        <v>0</v>
      </c>
      <c r="AQ233" s="102">
        <f t="shared" si="290"/>
        <v>8.7499999999999994E-2</v>
      </c>
      <c r="AR233" s="103">
        <f t="shared" si="315"/>
        <v>1.155E-2</v>
      </c>
      <c r="AS233" s="99">
        <f t="shared" si="316"/>
        <v>2.671224336351667</v>
      </c>
      <c r="AT233" s="215">
        <f t="shared" si="317"/>
        <v>185.27346018110001</v>
      </c>
      <c r="AU233" s="216">
        <f t="shared" si="318"/>
        <v>9.2367758383870305E-2</v>
      </c>
      <c r="AV233" s="102">
        <f t="shared" si="319"/>
        <v>27.12</v>
      </c>
      <c r="AW233" s="103">
        <f t="shared" si="320"/>
        <v>91.033519447899295</v>
      </c>
      <c r="AX233" s="32"/>
      <c r="AY233" s="101">
        <f t="shared" si="291"/>
        <v>60</v>
      </c>
      <c r="AZ233" s="102">
        <f t="shared" si="321"/>
        <v>0.45200000000000001</v>
      </c>
      <c r="BA233" s="102">
        <f t="shared" si="292"/>
        <v>15</v>
      </c>
      <c r="BB233" s="103">
        <f t="shared" si="322"/>
        <v>2.2600000000000002</v>
      </c>
      <c r="BC233" s="101">
        <f t="shared" si="323"/>
        <v>2</v>
      </c>
      <c r="BD233" s="102">
        <f t="shared" si="324"/>
        <v>0.75</v>
      </c>
      <c r="BE233" s="100">
        <f t="shared" si="325"/>
        <v>0.25</v>
      </c>
      <c r="BF233" s="101">
        <f t="shared" si="326"/>
        <v>0.45000000000000007</v>
      </c>
      <c r="BG233" s="102">
        <f t="shared" si="327"/>
        <v>2.4850000000000003</v>
      </c>
      <c r="BH233" s="102">
        <f t="shared" si="328"/>
        <v>2.2637303284622932</v>
      </c>
      <c r="BI233" s="102">
        <v>0</v>
      </c>
      <c r="BJ233" s="102">
        <f t="shared" si="329"/>
        <v>5.1244750000000019E-2</v>
      </c>
      <c r="BK233" s="103">
        <f t="shared" si="330"/>
        <v>5.1244750000000019E-2</v>
      </c>
      <c r="BL233" s="101">
        <f t="shared" si="331"/>
        <v>1.6950000000000003</v>
      </c>
      <c r="BM233" s="97">
        <f t="shared" si="332"/>
        <v>1.9604479717656373</v>
      </c>
      <c r="BN233" s="97">
        <f t="shared" si="333"/>
        <v>0.35500220148313794</v>
      </c>
      <c r="BO233" s="97">
        <f t="shared" si="334"/>
        <v>2.3730000000000002</v>
      </c>
      <c r="BP233" s="103">
        <f t="shared" si="335"/>
        <v>2.7280022014831382</v>
      </c>
      <c r="BQ233" s="101">
        <f t="shared" si="336"/>
        <v>0.56500000000000006</v>
      </c>
      <c r="BR233" s="102">
        <f t="shared" si="337"/>
        <v>1.1318651642311466</v>
      </c>
      <c r="BS233" s="102">
        <f t="shared" si="338"/>
        <v>0.18984000000000001</v>
      </c>
      <c r="BT233" s="102">
        <f t="shared" si="339"/>
        <v>0.75525000000000009</v>
      </c>
      <c r="BU233" s="103">
        <f t="shared" si="340"/>
        <v>0.9450900000000001</v>
      </c>
      <c r="BV233" s="99">
        <f t="shared" si="341"/>
        <v>0</v>
      </c>
      <c r="BW233" s="102">
        <f t="shared" si="293"/>
        <v>8.7499999999999994E-2</v>
      </c>
      <c r="BX233" s="103">
        <f t="shared" si="342"/>
        <v>1.155E-2</v>
      </c>
      <c r="BY233" s="101">
        <f t="shared" si="343"/>
        <v>3.8233869514831382</v>
      </c>
      <c r="BZ233" s="102">
        <f t="shared" si="344"/>
        <v>27.12</v>
      </c>
      <c r="CA233" s="103">
        <f t="shared" si="345"/>
        <v>87.643928709297683</v>
      </c>
      <c r="CB233" s="51">
        <f t="shared" si="346"/>
        <v>2.8270522014831383</v>
      </c>
      <c r="CC233" s="32">
        <f t="shared" si="347"/>
        <v>123.94682705190984</v>
      </c>
    </row>
    <row r="234" spans="17:81" ht="15" thickBot="1" x14ac:dyDescent="0.35">
      <c r="Q234" s="32">
        <v>227</v>
      </c>
      <c r="S234" s="101">
        <f t="shared" si="288"/>
        <v>60</v>
      </c>
      <c r="T234" s="97">
        <f t="shared" si="294"/>
        <v>0.45400000000000001</v>
      </c>
      <c r="U234" s="102">
        <f t="shared" si="289"/>
        <v>15</v>
      </c>
      <c r="V234" s="103">
        <f t="shared" si="295"/>
        <v>2.27</v>
      </c>
      <c r="W234" s="101">
        <f t="shared" si="296"/>
        <v>2</v>
      </c>
      <c r="X234" s="102">
        <f t="shared" si="297"/>
        <v>0.75</v>
      </c>
      <c r="Y234" s="100">
        <f t="shared" si="298"/>
        <v>0.25</v>
      </c>
      <c r="Z234" s="101">
        <f t="shared" si="299"/>
        <v>0.45000000000000007</v>
      </c>
      <c r="AA234" s="102">
        <f t="shared" si="300"/>
        <v>2.4950000000000001</v>
      </c>
      <c r="AB234" s="102">
        <f t="shared" si="301"/>
        <v>2.2737139221986569</v>
      </c>
      <c r="AC234" s="102">
        <v>0</v>
      </c>
      <c r="AD234" s="102">
        <f t="shared" si="302"/>
        <v>5.1697749999999994E-2</v>
      </c>
      <c r="AE234" s="103">
        <f t="shared" si="303"/>
        <v>5.1697749999999994E-2</v>
      </c>
      <c r="AF234" s="101">
        <f t="shared" si="304"/>
        <v>1.7025000000000001</v>
      </c>
      <c r="AG234" s="97">
        <f t="shared" si="305"/>
        <v>1.9690940175623917</v>
      </c>
      <c r="AH234" s="102">
        <f t="shared" si="306"/>
        <v>0.20093502353166676</v>
      </c>
      <c r="AI234" s="97">
        <f t="shared" si="307"/>
        <v>2.3834999999999997</v>
      </c>
      <c r="AJ234" s="103">
        <f t="shared" si="308"/>
        <v>2.5844350235316664</v>
      </c>
      <c r="AK234" s="101">
        <f t="shared" si="309"/>
        <v>0.5675</v>
      </c>
      <c r="AL234" s="102">
        <f t="shared" si="310"/>
        <v>1.1368569610993284</v>
      </c>
      <c r="AM234" s="102">
        <f t="shared" si="311"/>
        <v>0.19067999999999999</v>
      </c>
      <c r="AN234" s="102">
        <f t="shared" si="312"/>
        <v>0.75525000000000009</v>
      </c>
      <c r="AO234" s="103">
        <f t="shared" si="313"/>
        <v>0.94593000000000005</v>
      </c>
      <c r="AP234" s="99">
        <f t="shared" si="314"/>
        <v>0</v>
      </c>
      <c r="AQ234" s="102">
        <f t="shared" si="290"/>
        <v>8.7499999999999994E-2</v>
      </c>
      <c r="AR234" s="103">
        <f t="shared" si="315"/>
        <v>1.155E-2</v>
      </c>
      <c r="AS234" s="99">
        <f t="shared" si="316"/>
        <v>2.6834850235316665</v>
      </c>
      <c r="AT234" s="215">
        <f t="shared" si="317"/>
        <v>186.00910141189999</v>
      </c>
      <c r="AU234" s="216">
        <f t="shared" si="318"/>
        <v>9.2547334620390082E-2</v>
      </c>
      <c r="AV234" s="102">
        <f t="shared" si="319"/>
        <v>27.240000000000002</v>
      </c>
      <c r="AW234" s="103">
        <f t="shared" si="320"/>
        <v>91.032177497302243</v>
      </c>
      <c r="AX234" s="32"/>
      <c r="AY234" s="101">
        <f t="shared" si="291"/>
        <v>60</v>
      </c>
      <c r="AZ234" s="102">
        <f t="shared" si="321"/>
        <v>0.45400000000000001</v>
      </c>
      <c r="BA234" s="102">
        <f t="shared" si="292"/>
        <v>15</v>
      </c>
      <c r="BB234" s="103">
        <f t="shared" si="322"/>
        <v>2.27</v>
      </c>
      <c r="BC234" s="101">
        <f t="shared" si="323"/>
        <v>2</v>
      </c>
      <c r="BD234" s="102">
        <f t="shared" si="324"/>
        <v>0.75</v>
      </c>
      <c r="BE234" s="100">
        <f t="shared" si="325"/>
        <v>0.25</v>
      </c>
      <c r="BF234" s="101">
        <f t="shared" si="326"/>
        <v>0.45000000000000007</v>
      </c>
      <c r="BG234" s="102">
        <f t="shared" si="327"/>
        <v>2.4950000000000001</v>
      </c>
      <c r="BH234" s="102">
        <f t="shared" si="328"/>
        <v>2.2737139221986569</v>
      </c>
      <c r="BI234" s="102">
        <v>0</v>
      </c>
      <c r="BJ234" s="102">
        <f t="shared" si="329"/>
        <v>5.1697749999999994E-2</v>
      </c>
      <c r="BK234" s="103">
        <f t="shared" si="330"/>
        <v>5.1697749999999994E-2</v>
      </c>
      <c r="BL234" s="101">
        <f t="shared" si="331"/>
        <v>1.7025000000000001</v>
      </c>
      <c r="BM234" s="97">
        <f t="shared" si="332"/>
        <v>1.9690940175623917</v>
      </c>
      <c r="BN234" s="97">
        <f t="shared" si="333"/>
        <v>0.35883667262784541</v>
      </c>
      <c r="BO234" s="97">
        <f t="shared" si="334"/>
        <v>2.3834999999999997</v>
      </c>
      <c r="BP234" s="103">
        <f t="shared" si="335"/>
        <v>2.7423366726278453</v>
      </c>
      <c r="BQ234" s="101">
        <f t="shared" si="336"/>
        <v>0.5675</v>
      </c>
      <c r="BR234" s="102">
        <f t="shared" si="337"/>
        <v>1.1368569610993284</v>
      </c>
      <c r="BS234" s="102">
        <f t="shared" si="338"/>
        <v>0.19067999999999999</v>
      </c>
      <c r="BT234" s="102">
        <f t="shared" si="339"/>
        <v>0.75525000000000009</v>
      </c>
      <c r="BU234" s="103">
        <f t="shared" si="340"/>
        <v>0.94593000000000005</v>
      </c>
      <c r="BV234" s="99">
        <f t="shared" si="341"/>
        <v>0</v>
      </c>
      <c r="BW234" s="102">
        <f t="shared" si="293"/>
        <v>8.7499999999999994E-2</v>
      </c>
      <c r="BX234" s="103">
        <f t="shared" si="342"/>
        <v>1.155E-2</v>
      </c>
      <c r="BY234" s="101">
        <f t="shared" si="343"/>
        <v>3.8390144226278458</v>
      </c>
      <c r="BZ234" s="102">
        <f t="shared" si="344"/>
        <v>27.240000000000002</v>
      </c>
      <c r="CA234" s="103">
        <f t="shared" si="345"/>
        <v>87.647567035353745</v>
      </c>
      <c r="CB234" s="51">
        <f t="shared" si="346"/>
        <v>2.8413866726278454</v>
      </c>
      <c r="CC234" s="32">
        <f t="shared" si="347"/>
        <v>124.44853354197458</v>
      </c>
    </row>
    <row r="235" spans="17:81" ht="15" thickBot="1" x14ac:dyDescent="0.35">
      <c r="Q235" s="32">
        <v>228</v>
      </c>
      <c r="S235" s="101">
        <f t="shared" si="288"/>
        <v>60</v>
      </c>
      <c r="T235" s="97">
        <f t="shared" si="294"/>
        <v>0.45600000000000002</v>
      </c>
      <c r="U235" s="102">
        <f t="shared" si="289"/>
        <v>15</v>
      </c>
      <c r="V235" s="103">
        <f t="shared" si="295"/>
        <v>2.2799999999999998</v>
      </c>
      <c r="W235" s="101">
        <f t="shared" si="296"/>
        <v>2</v>
      </c>
      <c r="X235" s="102">
        <f t="shared" si="297"/>
        <v>0.75</v>
      </c>
      <c r="Y235" s="100">
        <f t="shared" si="298"/>
        <v>0.25</v>
      </c>
      <c r="Z235" s="101">
        <f t="shared" si="299"/>
        <v>0.45000000000000007</v>
      </c>
      <c r="AA235" s="102">
        <f t="shared" si="300"/>
        <v>2.5049999999999999</v>
      </c>
      <c r="AB235" s="102">
        <f t="shared" si="301"/>
        <v>2.2836976594987348</v>
      </c>
      <c r="AC235" s="102">
        <v>0</v>
      </c>
      <c r="AD235" s="102">
        <f t="shared" si="302"/>
        <v>5.2152749999999991E-2</v>
      </c>
      <c r="AE235" s="103">
        <f t="shared" si="303"/>
        <v>5.2152749999999991E-2</v>
      </c>
      <c r="AF235" s="101">
        <f t="shared" si="304"/>
        <v>1.71</v>
      </c>
      <c r="AG235" s="97">
        <f t="shared" si="305"/>
        <v>1.9777401876889693</v>
      </c>
      <c r="AH235" s="102">
        <f t="shared" si="306"/>
        <v>0.20270348416500003</v>
      </c>
      <c r="AI235" s="97">
        <f t="shared" si="307"/>
        <v>2.3939999999999997</v>
      </c>
      <c r="AJ235" s="103">
        <f t="shared" si="308"/>
        <v>2.5967034841649999</v>
      </c>
      <c r="AK235" s="101">
        <f t="shared" si="309"/>
        <v>0.56999999999999995</v>
      </c>
      <c r="AL235" s="102">
        <f t="shared" si="310"/>
        <v>1.1418488297493674</v>
      </c>
      <c r="AM235" s="102">
        <f t="shared" si="311"/>
        <v>0.19152</v>
      </c>
      <c r="AN235" s="102">
        <f t="shared" si="312"/>
        <v>0.75525000000000009</v>
      </c>
      <c r="AO235" s="103">
        <f t="shared" si="313"/>
        <v>0.94677000000000011</v>
      </c>
      <c r="AP235" s="99">
        <f t="shared" si="314"/>
        <v>0</v>
      </c>
      <c r="AQ235" s="102">
        <f t="shared" si="290"/>
        <v>8.7499999999999994E-2</v>
      </c>
      <c r="AR235" s="103">
        <f t="shared" si="315"/>
        <v>1.155E-2</v>
      </c>
      <c r="AS235" s="99">
        <f t="shared" si="316"/>
        <v>2.6957534841649999</v>
      </c>
      <c r="AT235" s="215">
        <f t="shared" si="317"/>
        <v>186.74520904989998</v>
      </c>
      <c r="AU235" s="216">
        <f t="shared" si="318"/>
        <v>9.2727024710845943E-2</v>
      </c>
      <c r="AV235" s="102">
        <f t="shared" si="319"/>
        <v>27.36</v>
      </c>
      <c r="AW235" s="103">
        <f t="shared" si="320"/>
        <v>91.030823813532848</v>
      </c>
      <c r="AX235" s="32"/>
      <c r="AY235" s="101">
        <f t="shared" si="291"/>
        <v>60</v>
      </c>
      <c r="AZ235" s="102">
        <f t="shared" si="321"/>
        <v>0.45600000000000002</v>
      </c>
      <c r="BA235" s="102">
        <f t="shared" si="292"/>
        <v>15</v>
      </c>
      <c r="BB235" s="103">
        <f t="shared" si="322"/>
        <v>2.2799999999999998</v>
      </c>
      <c r="BC235" s="101">
        <f t="shared" si="323"/>
        <v>2</v>
      </c>
      <c r="BD235" s="102">
        <f t="shared" si="324"/>
        <v>0.75</v>
      </c>
      <c r="BE235" s="100">
        <f t="shared" si="325"/>
        <v>0.25</v>
      </c>
      <c r="BF235" s="101">
        <f t="shared" si="326"/>
        <v>0.45000000000000007</v>
      </c>
      <c r="BG235" s="102">
        <f t="shared" si="327"/>
        <v>2.5049999999999999</v>
      </c>
      <c r="BH235" s="102">
        <f t="shared" si="328"/>
        <v>2.2836976594987348</v>
      </c>
      <c r="BI235" s="102">
        <v>0</v>
      </c>
      <c r="BJ235" s="102">
        <f t="shared" si="329"/>
        <v>5.2152749999999991E-2</v>
      </c>
      <c r="BK235" s="103">
        <f t="shared" si="330"/>
        <v>5.2152749999999991E-2</v>
      </c>
      <c r="BL235" s="101">
        <f t="shared" si="331"/>
        <v>1.71</v>
      </c>
      <c r="BM235" s="97">
        <f t="shared" si="332"/>
        <v>1.9777401876889693</v>
      </c>
      <c r="BN235" s="97">
        <f t="shared" si="333"/>
        <v>0.36269770034914278</v>
      </c>
      <c r="BO235" s="97">
        <f t="shared" si="334"/>
        <v>2.3939999999999997</v>
      </c>
      <c r="BP235" s="103">
        <f t="shared" si="335"/>
        <v>2.7566977003491426</v>
      </c>
      <c r="BQ235" s="101">
        <f t="shared" si="336"/>
        <v>0.56999999999999995</v>
      </c>
      <c r="BR235" s="102">
        <f t="shared" si="337"/>
        <v>1.1418488297493674</v>
      </c>
      <c r="BS235" s="102">
        <f t="shared" si="338"/>
        <v>0.19152</v>
      </c>
      <c r="BT235" s="102">
        <f t="shared" si="339"/>
        <v>0.75525000000000009</v>
      </c>
      <c r="BU235" s="103">
        <f t="shared" si="340"/>
        <v>0.94677000000000011</v>
      </c>
      <c r="BV235" s="99">
        <f t="shared" si="341"/>
        <v>0</v>
      </c>
      <c r="BW235" s="102">
        <f t="shared" si="293"/>
        <v>8.7499999999999994E-2</v>
      </c>
      <c r="BX235" s="103">
        <f t="shared" si="342"/>
        <v>1.155E-2</v>
      </c>
      <c r="BY235" s="101">
        <f t="shared" si="343"/>
        <v>3.8546704503491429</v>
      </c>
      <c r="BZ235" s="102">
        <f t="shared" si="344"/>
        <v>27.36</v>
      </c>
      <c r="CA235" s="103">
        <f t="shared" si="345"/>
        <v>87.651093557176964</v>
      </c>
      <c r="CB235" s="51">
        <f t="shared" si="346"/>
        <v>2.8557477003491427</v>
      </c>
      <c r="CC235" s="32">
        <f t="shared" si="347"/>
        <v>124.95116951221999</v>
      </c>
    </row>
    <row r="236" spans="17:81" ht="15" thickBot="1" x14ac:dyDescent="0.35">
      <c r="Q236" s="32">
        <v>229</v>
      </c>
      <c r="S236" s="101">
        <f t="shared" si="288"/>
        <v>60</v>
      </c>
      <c r="T236" s="97">
        <f t="shared" si="294"/>
        <v>0.45800000000000002</v>
      </c>
      <c r="U236" s="102">
        <f t="shared" si="289"/>
        <v>15</v>
      </c>
      <c r="V236" s="103">
        <f t="shared" si="295"/>
        <v>2.29</v>
      </c>
      <c r="W236" s="101">
        <f t="shared" si="296"/>
        <v>2</v>
      </c>
      <c r="X236" s="102">
        <f t="shared" si="297"/>
        <v>0.75</v>
      </c>
      <c r="Y236" s="100">
        <f t="shared" si="298"/>
        <v>0.25</v>
      </c>
      <c r="Z236" s="101">
        <f t="shared" si="299"/>
        <v>0.45000000000000007</v>
      </c>
      <c r="AA236" s="102">
        <f t="shared" si="300"/>
        <v>2.5150000000000001</v>
      </c>
      <c r="AB236" s="102">
        <f t="shared" si="301"/>
        <v>2.2936815384878519</v>
      </c>
      <c r="AC236" s="102">
        <v>0</v>
      </c>
      <c r="AD236" s="102">
        <f t="shared" si="302"/>
        <v>5.2609749999999997E-2</v>
      </c>
      <c r="AE236" s="103">
        <f t="shared" si="303"/>
        <v>5.2609749999999997E-2</v>
      </c>
      <c r="AF236" s="101">
        <f t="shared" si="304"/>
        <v>1.7175</v>
      </c>
      <c r="AG236" s="97">
        <f t="shared" si="305"/>
        <v>1.9863864805218545</v>
      </c>
      <c r="AH236" s="102">
        <f t="shared" si="306"/>
        <v>0.20447971825166672</v>
      </c>
      <c r="AI236" s="97">
        <f t="shared" si="307"/>
        <v>2.4045000000000001</v>
      </c>
      <c r="AJ236" s="103">
        <f t="shared" si="308"/>
        <v>2.6089797182516667</v>
      </c>
      <c r="AK236" s="101">
        <f t="shared" si="309"/>
        <v>0.57250000000000001</v>
      </c>
      <c r="AL236" s="102">
        <f t="shared" si="310"/>
        <v>1.146840769243926</v>
      </c>
      <c r="AM236" s="102">
        <f t="shared" si="311"/>
        <v>0.19236</v>
      </c>
      <c r="AN236" s="102">
        <f t="shared" si="312"/>
        <v>0.75525000000000009</v>
      </c>
      <c r="AO236" s="103">
        <f t="shared" si="313"/>
        <v>0.94761000000000006</v>
      </c>
      <c r="AP236" s="99">
        <f t="shared" si="314"/>
        <v>0</v>
      </c>
      <c r="AQ236" s="102">
        <f t="shared" si="290"/>
        <v>8.7499999999999994E-2</v>
      </c>
      <c r="AR236" s="103">
        <f t="shared" si="315"/>
        <v>1.155E-2</v>
      </c>
      <c r="AS236" s="99">
        <f t="shared" si="316"/>
        <v>2.7080297182516668</v>
      </c>
      <c r="AT236" s="215">
        <f t="shared" si="317"/>
        <v>187.48178309510001</v>
      </c>
      <c r="AU236" s="216">
        <f t="shared" si="318"/>
        <v>9.2906828655237861E-2</v>
      </c>
      <c r="AV236" s="102">
        <f t="shared" si="319"/>
        <v>27.48</v>
      </c>
      <c r="AW236" s="103">
        <f t="shared" si="320"/>
        <v>91.029458551863058</v>
      </c>
      <c r="AX236" s="32"/>
      <c r="AY236" s="101">
        <f t="shared" si="291"/>
        <v>60</v>
      </c>
      <c r="AZ236" s="102">
        <f t="shared" si="321"/>
        <v>0.45800000000000002</v>
      </c>
      <c r="BA236" s="102">
        <f t="shared" si="292"/>
        <v>15</v>
      </c>
      <c r="BB236" s="103">
        <f t="shared" si="322"/>
        <v>2.29</v>
      </c>
      <c r="BC236" s="101">
        <f t="shared" si="323"/>
        <v>2</v>
      </c>
      <c r="BD236" s="102">
        <f t="shared" si="324"/>
        <v>0.75</v>
      </c>
      <c r="BE236" s="100">
        <f t="shared" si="325"/>
        <v>0.25</v>
      </c>
      <c r="BF236" s="101">
        <f t="shared" si="326"/>
        <v>0.45000000000000007</v>
      </c>
      <c r="BG236" s="102">
        <f t="shared" si="327"/>
        <v>2.5150000000000001</v>
      </c>
      <c r="BH236" s="102">
        <f t="shared" si="328"/>
        <v>2.2936815384878519</v>
      </c>
      <c r="BI236" s="102">
        <v>0</v>
      </c>
      <c r="BJ236" s="102">
        <f t="shared" si="329"/>
        <v>5.2609749999999997E-2</v>
      </c>
      <c r="BK236" s="103">
        <f t="shared" si="330"/>
        <v>5.2609749999999997E-2</v>
      </c>
      <c r="BL236" s="101">
        <f t="shared" si="331"/>
        <v>1.7175</v>
      </c>
      <c r="BM236" s="97">
        <f t="shared" si="332"/>
        <v>1.9863864805218545</v>
      </c>
      <c r="BN236" s="97">
        <f t="shared" si="333"/>
        <v>0.36658537716336748</v>
      </c>
      <c r="BO236" s="97">
        <f t="shared" si="334"/>
        <v>2.4045000000000001</v>
      </c>
      <c r="BP236" s="103">
        <f t="shared" si="335"/>
        <v>2.7710853771633674</v>
      </c>
      <c r="BQ236" s="101">
        <f t="shared" si="336"/>
        <v>0.57250000000000001</v>
      </c>
      <c r="BR236" s="102">
        <f t="shared" si="337"/>
        <v>1.146840769243926</v>
      </c>
      <c r="BS236" s="102">
        <f t="shared" si="338"/>
        <v>0.19236</v>
      </c>
      <c r="BT236" s="102">
        <f t="shared" si="339"/>
        <v>0.75525000000000009</v>
      </c>
      <c r="BU236" s="103">
        <f t="shared" si="340"/>
        <v>0.94761000000000006</v>
      </c>
      <c r="BV236" s="99">
        <f t="shared" si="341"/>
        <v>0</v>
      </c>
      <c r="BW236" s="102">
        <f t="shared" si="293"/>
        <v>8.7499999999999994E-2</v>
      </c>
      <c r="BX236" s="103">
        <f t="shared" si="342"/>
        <v>1.155E-2</v>
      </c>
      <c r="BY236" s="101">
        <f t="shared" si="343"/>
        <v>3.8703551271633674</v>
      </c>
      <c r="BZ236" s="102">
        <f t="shared" si="344"/>
        <v>27.48</v>
      </c>
      <c r="CA236" s="103">
        <f t="shared" si="345"/>
        <v>87.654509457821376</v>
      </c>
      <c r="CB236" s="51">
        <f t="shared" si="346"/>
        <v>2.8701353771633675</v>
      </c>
      <c r="CC236" s="32">
        <f t="shared" si="347"/>
        <v>125.45473820071787</v>
      </c>
    </row>
    <row r="237" spans="17:81" ht="15" thickBot="1" x14ac:dyDescent="0.35">
      <c r="Q237" s="32">
        <v>230</v>
      </c>
      <c r="S237" s="101">
        <f t="shared" si="288"/>
        <v>60</v>
      </c>
      <c r="T237" s="97">
        <f t="shared" si="294"/>
        <v>0.46</v>
      </c>
      <c r="U237" s="102">
        <f t="shared" si="289"/>
        <v>15</v>
      </c>
      <c r="V237" s="103">
        <f t="shared" si="295"/>
        <v>2.3000000000000003</v>
      </c>
      <c r="W237" s="101">
        <f t="shared" si="296"/>
        <v>2</v>
      </c>
      <c r="X237" s="102">
        <f t="shared" si="297"/>
        <v>0.75</v>
      </c>
      <c r="Y237" s="100">
        <f t="shared" si="298"/>
        <v>0.25</v>
      </c>
      <c r="Z237" s="101">
        <f t="shared" si="299"/>
        <v>0.45000000000000007</v>
      </c>
      <c r="AA237" s="102">
        <f t="shared" si="300"/>
        <v>2.5250000000000004</v>
      </c>
      <c r="AB237" s="102">
        <f t="shared" si="301"/>
        <v>2.3036655573238058</v>
      </c>
      <c r="AC237" s="102">
        <v>0</v>
      </c>
      <c r="AD237" s="102">
        <f t="shared" si="302"/>
        <v>5.3068750000000005E-2</v>
      </c>
      <c r="AE237" s="103">
        <f t="shared" si="303"/>
        <v>5.3068750000000005E-2</v>
      </c>
      <c r="AF237" s="101">
        <f t="shared" si="304"/>
        <v>1.7250000000000001</v>
      </c>
      <c r="AG237" s="97">
        <f t="shared" si="305"/>
        <v>1.995032894465653</v>
      </c>
      <c r="AH237" s="102">
        <f t="shared" si="306"/>
        <v>0.2062637257916668</v>
      </c>
      <c r="AI237" s="97">
        <f t="shared" si="307"/>
        <v>2.4150000000000005</v>
      </c>
      <c r="AJ237" s="103">
        <f t="shared" si="308"/>
        <v>2.6212637257916671</v>
      </c>
      <c r="AK237" s="101">
        <f t="shared" si="309"/>
        <v>0.57500000000000007</v>
      </c>
      <c r="AL237" s="102">
        <f t="shared" si="310"/>
        <v>1.1518327786619029</v>
      </c>
      <c r="AM237" s="102">
        <f t="shared" si="311"/>
        <v>0.19320000000000001</v>
      </c>
      <c r="AN237" s="102">
        <f t="shared" si="312"/>
        <v>0.75525000000000009</v>
      </c>
      <c r="AO237" s="103">
        <f t="shared" si="313"/>
        <v>0.94845000000000013</v>
      </c>
      <c r="AP237" s="99">
        <f t="shared" si="314"/>
        <v>0</v>
      </c>
      <c r="AQ237" s="102">
        <f t="shared" si="290"/>
        <v>8.7499999999999994E-2</v>
      </c>
      <c r="AR237" s="103">
        <f t="shared" si="315"/>
        <v>1.155E-2</v>
      </c>
      <c r="AS237" s="99">
        <f t="shared" si="316"/>
        <v>2.7203137257916672</v>
      </c>
      <c r="AT237" s="215">
        <f t="shared" si="317"/>
        <v>188.21882354750002</v>
      </c>
      <c r="AU237" s="216">
        <f t="shared" si="318"/>
        <v>9.3086746453565863E-2</v>
      </c>
      <c r="AV237" s="102">
        <f t="shared" si="319"/>
        <v>27.6</v>
      </c>
      <c r="AW237" s="103">
        <f t="shared" si="320"/>
        <v>91.028081864873116</v>
      </c>
      <c r="AX237" s="32"/>
      <c r="AY237" s="101">
        <f t="shared" si="291"/>
        <v>60</v>
      </c>
      <c r="AZ237" s="102">
        <f t="shared" si="321"/>
        <v>0.46</v>
      </c>
      <c r="BA237" s="102">
        <f t="shared" si="292"/>
        <v>15</v>
      </c>
      <c r="BB237" s="103">
        <f t="shared" si="322"/>
        <v>2.3000000000000003</v>
      </c>
      <c r="BC237" s="101">
        <f t="shared" si="323"/>
        <v>2</v>
      </c>
      <c r="BD237" s="102">
        <f t="shared" si="324"/>
        <v>0.75</v>
      </c>
      <c r="BE237" s="100">
        <f t="shared" si="325"/>
        <v>0.25</v>
      </c>
      <c r="BF237" s="101">
        <f t="shared" si="326"/>
        <v>0.45000000000000007</v>
      </c>
      <c r="BG237" s="102">
        <f t="shared" si="327"/>
        <v>2.5250000000000004</v>
      </c>
      <c r="BH237" s="102">
        <f t="shared" si="328"/>
        <v>2.3036655573238058</v>
      </c>
      <c r="BI237" s="102">
        <v>0</v>
      </c>
      <c r="BJ237" s="102">
        <f t="shared" si="329"/>
        <v>5.3068750000000005E-2</v>
      </c>
      <c r="BK237" s="103">
        <f t="shared" si="330"/>
        <v>5.3068750000000005E-2</v>
      </c>
      <c r="BL237" s="101">
        <f t="shared" si="331"/>
        <v>1.7250000000000001</v>
      </c>
      <c r="BM237" s="97">
        <f t="shared" si="332"/>
        <v>1.995032894465653</v>
      </c>
      <c r="BN237" s="97">
        <f t="shared" si="333"/>
        <v>0.37049979568932567</v>
      </c>
      <c r="BO237" s="97">
        <f t="shared" si="334"/>
        <v>2.4150000000000005</v>
      </c>
      <c r="BP237" s="103">
        <f t="shared" si="335"/>
        <v>2.7854997956893262</v>
      </c>
      <c r="BQ237" s="101">
        <f t="shared" si="336"/>
        <v>0.57500000000000007</v>
      </c>
      <c r="BR237" s="102">
        <f t="shared" si="337"/>
        <v>1.1518327786619029</v>
      </c>
      <c r="BS237" s="102">
        <f t="shared" si="338"/>
        <v>0.19320000000000001</v>
      </c>
      <c r="BT237" s="102">
        <f t="shared" si="339"/>
        <v>0.75525000000000009</v>
      </c>
      <c r="BU237" s="103">
        <f t="shared" si="340"/>
        <v>0.94845000000000013</v>
      </c>
      <c r="BV237" s="99">
        <f t="shared" si="341"/>
        <v>0</v>
      </c>
      <c r="BW237" s="102">
        <f t="shared" si="293"/>
        <v>8.7499999999999994E-2</v>
      </c>
      <c r="BX237" s="103">
        <f t="shared" si="342"/>
        <v>1.155E-2</v>
      </c>
      <c r="BY237" s="101">
        <f t="shared" si="343"/>
        <v>3.8860685456893265</v>
      </c>
      <c r="BZ237" s="102">
        <f t="shared" si="344"/>
        <v>27.6</v>
      </c>
      <c r="CA237" s="103">
        <f t="shared" si="345"/>
        <v>87.657815900228172</v>
      </c>
      <c r="CB237" s="51">
        <f t="shared" si="346"/>
        <v>2.8845497956893262</v>
      </c>
      <c r="CC237" s="32">
        <f t="shared" si="347"/>
        <v>125.95924284912641</v>
      </c>
    </row>
    <row r="238" spans="17:81" ht="15" thickBot="1" x14ac:dyDescent="0.35">
      <c r="Q238" s="32">
        <v>231</v>
      </c>
      <c r="S238" s="101">
        <f t="shared" si="288"/>
        <v>60</v>
      </c>
      <c r="T238" s="97">
        <f t="shared" si="294"/>
        <v>0.46200000000000002</v>
      </c>
      <c r="U238" s="102">
        <f t="shared" si="289"/>
        <v>15</v>
      </c>
      <c r="V238" s="103">
        <f t="shared" si="295"/>
        <v>2.31</v>
      </c>
      <c r="W238" s="101">
        <f t="shared" si="296"/>
        <v>2</v>
      </c>
      <c r="X238" s="102">
        <f t="shared" si="297"/>
        <v>0.75</v>
      </c>
      <c r="Y238" s="100">
        <f t="shared" si="298"/>
        <v>0.25</v>
      </c>
      <c r="Z238" s="101">
        <f t="shared" si="299"/>
        <v>0.45000000000000007</v>
      </c>
      <c r="AA238" s="102">
        <f t="shared" si="300"/>
        <v>2.5350000000000001</v>
      </c>
      <c r="AB238" s="102">
        <f t="shared" si="301"/>
        <v>2.3136497141961656</v>
      </c>
      <c r="AC238" s="102">
        <v>0</v>
      </c>
      <c r="AD238" s="102">
        <f t="shared" si="302"/>
        <v>5.3529749999999987E-2</v>
      </c>
      <c r="AE238" s="103">
        <f t="shared" si="303"/>
        <v>5.3529749999999987E-2</v>
      </c>
      <c r="AF238" s="101">
        <f t="shared" si="304"/>
        <v>1.7324999999999999</v>
      </c>
      <c r="AG238" s="97">
        <f t="shared" si="305"/>
        <v>2.0036794279524859</v>
      </c>
      <c r="AH238" s="102">
        <f t="shared" si="306"/>
        <v>0.20805550678500012</v>
      </c>
      <c r="AI238" s="97">
        <f t="shared" si="307"/>
        <v>2.4255</v>
      </c>
      <c r="AJ238" s="103">
        <f t="shared" si="308"/>
        <v>2.6335555067850001</v>
      </c>
      <c r="AK238" s="101">
        <f t="shared" si="309"/>
        <v>0.57750000000000001</v>
      </c>
      <c r="AL238" s="102">
        <f t="shared" si="310"/>
        <v>1.156824857098083</v>
      </c>
      <c r="AM238" s="102">
        <f t="shared" si="311"/>
        <v>0.19403999999999999</v>
      </c>
      <c r="AN238" s="102">
        <f t="shared" si="312"/>
        <v>0.75525000000000009</v>
      </c>
      <c r="AO238" s="103">
        <f t="shared" si="313"/>
        <v>0.94929000000000008</v>
      </c>
      <c r="AP238" s="99">
        <f t="shared" si="314"/>
        <v>0</v>
      </c>
      <c r="AQ238" s="102">
        <f t="shared" si="290"/>
        <v>8.7499999999999994E-2</v>
      </c>
      <c r="AR238" s="103">
        <f t="shared" si="315"/>
        <v>1.155E-2</v>
      </c>
      <c r="AS238" s="99">
        <f t="shared" si="316"/>
        <v>2.7326055067850001</v>
      </c>
      <c r="AT238" s="215">
        <f t="shared" si="317"/>
        <v>188.95633040710001</v>
      </c>
      <c r="AU238" s="216">
        <f t="shared" si="318"/>
        <v>9.3266778105829909E-2</v>
      </c>
      <c r="AV238" s="102">
        <f t="shared" si="319"/>
        <v>27.720000000000002</v>
      </c>
      <c r="AW238" s="103">
        <f t="shared" si="320"/>
        <v>91.02669390250972</v>
      </c>
      <c r="AX238" s="32"/>
      <c r="AY238" s="101">
        <f t="shared" si="291"/>
        <v>60</v>
      </c>
      <c r="AZ238" s="102">
        <f t="shared" si="321"/>
        <v>0.46200000000000002</v>
      </c>
      <c r="BA238" s="102">
        <f t="shared" si="292"/>
        <v>15</v>
      </c>
      <c r="BB238" s="103">
        <f t="shared" si="322"/>
        <v>2.31</v>
      </c>
      <c r="BC238" s="101">
        <f t="shared" si="323"/>
        <v>2</v>
      </c>
      <c r="BD238" s="102">
        <f t="shared" si="324"/>
        <v>0.75</v>
      </c>
      <c r="BE238" s="100">
        <f t="shared" si="325"/>
        <v>0.25</v>
      </c>
      <c r="BF238" s="101">
        <f t="shared" si="326"/>
        <v>0.45000000000000007</v>
      </c>
      <c r="BG238" s="102">
        <f t="shared" si="327"/>
        <v>2.5350000000000001</v>
      </c>
      <c r="BH238" s="102">
        <f t="shared" si="328"/>
        <v>2.3136497141961656</v>
      </c>
      <c r="BI238" s="102">
        <v>0</v>
      </c>
      <c r="BJ238" s="102">
        <f t="shared" si="329"/>
        <v>5.3529749999999987E-2</v>
      </c>
      <c r="BK238" s="103">
        <f t="shared" si="330"/>
        <v>5.3529749999999987E-2</v>
      </c>
      <c r="BL238" s="101">
        <f t="shared" si="331"/>
        <v>1.7324999999999999</v>
      </c>
      <c r="BM238" s="97">
        <f t="shared" si="332"/>
        <v>2.0036794279524859</v>
      </c>
      <c r="BN238" s="97">
        <f t="shared" si="333"/>
        <v>0.37444104864829125</v>
      </c>
      <c r="BO238" s="97">
        <f t="shared" si="334"/>
        <v>2.4255</v>
      </c>
      <c r="BP238" s="103">
        <f t="shared" si="335"/>
        <v>2.7999410486482912</v>
      </c>
      <c r="BQ238" s="101">
        <f t="shared" si="336"/>
        <v>0.57750000000000001</v>
      </c>
      <c r="BR238" s="102">
        <f t="shared" si="337"/>
        <v>1.156824857098083</v>
      </c>
      <c r="BS238" s="102">
        <f t="shared" si="338"/>
        <v>0.19403999999999999</v>
      </c>
      <c r="BT238" s="102">
        <f t="shared" si="339"/>
        <v>0.75525000000000009</v>
      </c>
      <c r="BU238" s="103">
        <f t="shared" si="340"/>
        <v>0.94929000000000008</v>
      </c>
      <c r="BV238" s="99">
        <f t="shared" si="341"/>
        <v>0</v>
      </c>
      <c r="BW238" s="102">
        <f t="shared" si="293"/>
        <v>8.7499999999999994E-2</v>
      </c>
      <c r="BX238" s="103">
        <f t="shared" si="342"/>
        <v>1.155E-2</v>
      </c>
      <c r="BY238" s="101">
        <f t="shared" si="343"/>
        <v>3.9018107986482913</v>
      </c>
      <c r="BZ238" s="102">
        <f t="shared" si="344"/>
        <v>27.720000000000002</v>
      </c>
      <c r="CA238" s="103">
        <f t="shared" si="345"/>
        <v>87.661014027649927</v>
      </c>
      <c r="CB238" s="51">
        <f t="shared" si="346"/>
        <v>2.8989910486482913</v>
      </c>
      <c r="CC238" s="32">
        <f t="shared" si="347"/>
        <v>126.46468670269019</v>
      </c>
    </row>
    <row r="239" spans="17:81" ht="15" thickBot="1" x14ac:dyDescent="0.35">
      <c r="Q239" s="32">
        <v>232</v>
      </c>
      <c r="S239" s="101">
        <f t="shared" si="288"/>
        <v>60</v>
      </c>
      <c r="T239" s="97">
        <f t="shared" si="294"/>
        <v>0.46400000000000002</v>
      </c>
      <c r="U239" s="102">
        <f t="shared" si="289"/>
        <v>15</v>
      </c>
      <c r="V239" s="103">
        <f t="shared" si="295"/>
        <v>2.3199999999999998</v>
      </c>
      <c r="W239" s="101">
        <f t="shared" si="296"/>
        <v>2</v>
      </c>
      <c r="X239" s="102">
        <f t="shared" si="297"/>
        <v>0.75</v>
      </c>
      <c r="Y239" s="100">
        <f t="shared" si="298"/>
        <v>0.25</v>
      </c>
      <c r="Z239" s="101">
        <f t="shared" si="299"/>
        <v>0.45000000000000007</v>
      </c>
      <c r="AA239" s="102">
        <f t="shared" si="300"/>
        <v>2.5449999999999999</v>
      </c>
      <c r="AB239" s="102">
        <f t="shared" si="301"/>
        <v>2.3236340073255941</v>
      </c>
      <c r="AC239" s="102">
        <v>0</v>
      </c>
      <c r="AD239" s="102">
        <f t="shared" si="302"/>
        <v>5.3992749999999992E-2</v>
      </c>
      <c r="AE239" s="103">
        <f t="shared" si="303"/>
        <v>5.3992749999999992E-2</v>
      </c>
      <c r="AF239" s="101">
        <f t="shared" si="304"/>
        <v>1.7399999999999998</v>
      </c>
      <c r="AG239" s="97">
        <f t="shared" si="305"/>
        <v>2.0123260794414009</v>
      </c>
      <c r="AH239" s="102">
        <f t="shared" si="306"/>
        <v>0.2098550612316667</v>
      </c>
      <c r="AI239" s="97">
        <f t="shared" si="307"/>
        <v>2.4359999999999999</v>
      </c>
      <c r="AJ239" s="103">
        <f t="shared" si="308"/>
        <v>2.6458550612316665</v>
      </c>
      <c r="AK239" s="101">
        <f t="shared" si="309"/>
        <v>0.57999999999999996</v>
      </c>
      <c r="AL239" s="102">
        <f t="shared" si="310"/>
        <v>1.1618170036627971</v>
      </c>
      <c r="AM239" s="102">
        <f t="shared" si="311"/>
        <v>0.19488</v>
      </c>
      <c r="AN239" s="102">
        <f t="shared" si="312"/>
        <v>0.75525000000000009</v>
      </c>
      <c r="AO239" s="103">
        <f t="shared" si="313"/>
        <v>0.95013000000000014</v>
      </c>
      <c r="AP239" s="99">
        <f t="shared" si="314"/>
        <v>0</v>
      </c>
      <c r="AQ239" s="102">
        <f t="shared" si="290"/>
        <v>8.7499999999999994E-2</v>
      </c>
      <c r="AR239" s="103">
        <f t="shared" si="315"/>
        <v>1.155E-2</v>
      </c>
      <c r="AS239" s="99">
        <f t="shared" si="316"/>
        <v>2.7449050612316666</v>
      </c>
      <c r="AT239" s="215">
        <f t="shared" si="317"/>
        <v>189.69430367389998</v>
      </c>
      <c r="AU239" s="216">
        <f t="shared" si="318"/>
        <v>9.3446923612030053E-2</v>
      </c>
      <c r="AV239" s="102">
        <f t="shared" si="319"/>
        <v>27.84</v>
      </c>
      <c r="AW239" s="103">
        <f t="shared" si="320"/>
        <v>91.025294812142448</v>
      </c>
      <c r="AX239" s="32"/>
      <c r="AY239" s="101">
        <f t="shared" si="291"/>
        <v>60</v>
      </c>
      <c r="AZ239" s="102">
        <f t="shared" si="321"/>
        <v>0.46400000000000002</v>
      </c>
      <c r="BA239" s="102">
        <f t="shared" si="292"/>
        <v>15</v>
      </c>
      <c r="BB239" s="103">
        <f t="shared" si="322"/>
        <v>2.3199999999999998</v>
      </c>
      <c r="BC239" s="101">
        <f t="shared" si="323"/>
        <v>2</v>
      </c>
      <c r="BD239" s="102">
        <f t="shared" si="324"/>
        <v>0.75</v>
      </c>
      <c r="BE239" s="100">
        <f t="shared" si="325"/>
        <v>0.25</v>
      </c>
      <c r="BF239" s="101">
        <f t="shared" si="326"/>
        <v>0.45000000000000007</v>
      </c>
      <c r="BG239" s="102">
        <f t="shared" si="327"/>
        <v>2.5449999999999999</v>
      </c>
      <c r="BH239" s="102">
        <f t="shared" si="328"/>
        <v>2.3236340073255941</v>
      </c>
      <c r="BI239" s="102">
        <v>0</v>
      </c>
      <c r="BJ239" s="102">
        <f t="shared" si="329"/>
        <v>5.3992749999999992E-2</v>
      </c>
      <c r="BK239" s="103">
        <f t="shared" si="330"/>
        <v>5.3992749999999992E-2</v>
      </c>
      <c r="BL239" s="101">
        <f t="shared" si="331"/>
        <v>1.7399999999999998</v>
      </c>
      <c r="BM239" s="97">
        <f t="shared" si="332"/>
        <v>2.0123260794414009</v>
      </c>
      <c r="BN239" s="97">
        <f t="shared" si="333"/>
        <v>0.37840922886400763</v>
      </c>
      <c r="BO239" s="97">
        <f t="shared" si="334"/>
        <v>2.4359999999999999</v>
      </c>
      <c r="BP239" s="103">
        <f t="shared" si="335"/>
        <v>2.8144092288640077</v>
      </c>
      <c r="BQ239" s="101">
        <f t="shared" si="336"/>
        <v>0.57999999999999996</v>
      </c>
      <c r="BR239" s="102">
        <f t="shared" si="337"/>
        <v>1.1618170036627971</v>
      </c>
      <c r="BS239" s="102">
        <f t="shared" si="338"/>
        <v>0.19488</v>
      </c>
      <c r="BT239" s="102">
        <f t="shared" si="339"/>
        <v>0.75525000000000009</v>
      </c>
      <c r="BU239" s="103">
        <f t="shared" si="340"/>
        <v>0.95013000000000014</v>
      </c>
      <c r="BV239" s="99">
        <f t="shared" si="341"/>
        <v>0</v>
      </c>
      <c r="BW239" s="102">
        <f t="shared" si="293"/>
        <v>8.7499999999999994E-2</v>
      </c>
      <c r="BX239" s="103">
        <f t="shared" si="342"/>
        <v>1.155E-2</v>
      </c>
      <c r="BY239" s="101">
        <f t="shared" si="343"/>
        <v>3.9175819788640078</v>
      </c>
      <c r="BZ239" s="102">
        <f t="shared" si="344"/>
        <v>27.84</v>
      </c>
      <c r="CA239" s="103">
        <f t="shared" si="345"/>
        <v>87.664104964063952</v>
      </c>
      <c r="CB239" s="51">
        <f t="shared" si="346"/>
        <v>2.9134592288640078</v>
      </c>
      <c r="CC239" s="32">
        <f t="shared" si="347"/>
        <v>126.97107301024027</v>
      </c>
    </row>
    <row r="240" spans="17:81" ht="15" thickBot="1" x14ac:dyDescent="0.35">
      <c r="Q240" s="32">
        <v>233</v>
      </c>
      <c r="S240" s="101">
        <f t="shared" si="288"/>
        <v>60</v>
      </c>
      <c r="T240" s="97">
        <f t="shared" si="294"/>
        <v>0.46600000000000003</v>
      </c>
      <c r="U240" s="102">
        <f t="shared" si="289"/>
        <v>15</v>
      </c>
      <c r="V240" s="103">
        <f t="shared" si="295"/>
        <v>2.33</v>
      </c>
      <c r="W240" s="101">
        <f t="shared" si="296"/>
        <v>2</v>
      </c>
      <c r="X240" s="102">
        <f t="shared" si="297"/>
        <v>0.75</v>
      </c>
      <c r="Y240" s="100">
        <f t="shared" si="298"/>
        <v>0.25</v>
      </c>
      <c r="Z240" s="101">
        <f t="shared" si="299"/>
        <v>0.45000000000000007</v>
      </c>
      <c r="AA240" s="102">
        <f t="shared" si="300"/>
        <v>2.5550000000000002</v>
      </c>
      <c r="AB240" s="102">
        <f t="shared" si="301"/>
        <v>2.3336184349631797</v>
      </c>
      <c r="AC240" s="102">
        <v>0</v>
      </c>
      <c r="AD240" s="102">
        <f t="shared" si="302"/>
        <v>5.4457750000000006E-2</v>
      </c>
      <c r="AE240" s="103">
        <f t="shared" si="303"/>
        <v>5.4457750000000006E-2</v>
      </c>
      <c r="AF240" s="101">
        <f t="shared" si="304"/>
        <v>1.7475000000000001</v>
      </c>
      <c r="AG240" s="97">
        <f t="shared" si="305"/>
        <v>2.0209728474177973</v>
      </c>
      <c r="AH240" s="102">
        <f t="shared" si="306"/>
        <v>0.21166238913166668</v>
      </c>
      <c r="AI240" s="97">
        <f t="shared" si="307"/>
        <v>2.4464999999999999</v>
      </c>
      <c r="AJ240" s="103">
        <f t="shared" si="308"/>
        <v>2.6581623891316664</v>
      </c>
      <c r="AK240" s="101">
        <f t="shared" si="309"/>
        <v>0.58250000000000002</v>
      </c>
      <c r="AL240" s="102">
        <f t="shared" si="310"/>
        <v>1.1668092174815898</v>
      </c>
      <c r="AM240" s="102">
        <f t="shared" si="311"/>
        <v>0.19572000000000001</v>
      </c>
      <c r="AN240" s="102">
        <f t="shared" si="312"/>
        <v>0.75525000000000009</v>
      </c>
      <c r="AO240" s="103">
        <f t="shared" si="313"/>
        <v>0.95097000000000009</v>
      </c>
      <c r="AP240" s="99">
        <f t="shared" si="314"/>
        <v>0</v>
      </c>
      <c r="AQ240" s="102">
        <f t="shared" si="290"/>
        <v>8.7499999999999994E-2</v>
      </c>
      <c r="AR240" s="103">
        <f t="shared" si="315"/>
        <v>1.155E-2</v>
      </c>
      <c r="AS240" s="99">
        <f t="shared" si="316"/>
        <v>2.7572123891316664</v>
      </c>
      <c r="AT240" s="215">
        <f t="shared" si="317"/>
        <v>190.43274334789999</v>
      </c>
      <c r="AU240" s="216">
        <f t="shared" si="318"/>
        <v>9.362718297216624E-2</v>
      </c>
      <c r="AV240" s="102">
        <f t="shared" si="319"/>
        <v>27.96</v>
      </c>
      <c r="AW240" s="103">
        <f t="shared" si="320"/>
        <v>91.023884738618989</v>
      </c>
      <c r="AX240" s="32"/>
      <c r="AY240" s="101">
        <f t="shared" si="291"/>
        <v>60</v>
      </c>
      <c r="AZ240" s="102">
        <f t="shared" si="321"/>
        <v>0.46600000000000003</v>
      </c>
      <c r="BA240" s="102">
        <f t="shared" si="292"/>
        <v>15</v>
      </c>
      <c r="BB240" s="103">
        <f t="shared" si="322"/>
        <v>2.33</v>
      </c>
      <c r="BC240" s="101">
        <f t="shared" si="323"/>
        <v>2</v>
      </c>
      <c r="BD240" s="102">
        <f t="shared" si="324"/>
        <v>0.75</v>
      </c>
      <c r="BE240" s="100">
        <f t="shared" si="325"/>
        <v>0.25</v>
      </c>
      <c r="BF240" s="101">
        <f t="shared" si="326"/>
        <v>0.45000000000000007</v>
      </c>
      <c r="BG240" s="102">
        <f t="shared" si="327"/>
        <v>2.5550000000000002</v>
      </c>
      <c r="BH240" s="102">
        <f t="shared" si="328"/>
        <v>2.3336184349631797</v>
      </c>
      <c r="BI240" s="102">
        <v>0</v>
      </c>
      <c r="BJ240" s="102">
        <f t="shared" si="329"/>
        <v>5.4457750000000006E-2</v>
      </c>
      <c r="BK240" s="103">
        <f t="shared" si="330"/>
        <v>5.4457750000000006E-2</v>
      </c>
      <c r="BL240" s="101">
        <f t="shared" si="331"/>
        <v>1.7475000000000001</v>
      </c>
      <c r="BM240" s="97">
        <f t="shared" si="332"/>
        <v>2.0209728474177973</v>
      </c>
      <c r="BN240" s="97">
        <f t="shared" si="333"/>
        <v>0.38240442926268636</v>
      </c>
      <c r="BO240" s="97">
        <f t="shared" si="334"/>
        <v>2.4464999999999999</v>
      </c>
      <c r="BP240" s="103">
        <f t="shared" si="335"/>
        <v>2.8289044292626864</v>
      </c>
      <c r="BQ240" s="101">
        <f t="shared" si="336"/>
        <v>0.58250000000000002</v>
      </c>
      <c r="BR240" s="102">
        <f t="shared" si="337"/>
        <v>1.1668092174815898</v>
      </c>
      <c r="BS240" s="102">
        <f t="shared" si="338"/>
        <v>0.19572000000000001</v>
      </c>
      <c r="BT240" s="102">
        <f t="shared" si="339"/>
        <v>0.75525000000000009</v>
      </c>
      <c r="BU240" s="103">
        <f t="shared" si="340"/>
        <v>0.95097000000000009</v>
      </c>
      <c r="BV240" s="99">
        <f t="shared" si="341"/>
        <v>0</v>
      </c>
      <c r="BW240" s="102">
        <f t="shared" si="293"/>
        <v>8.7499999999999994E-2</v>
      </c>
      <c r="BX240" s="103">
        <f t="shared" si="342"/>
        <v>1.155E-2</v>
      </c>
      <c r="BY240" s="101">
        <f t="shared" si="343"/>
        <v>3.9333821792626864</v>
      </c>
      <c r="BZ240" s="102">
        <f t="shared" si="344"/>
        <v>27.96</v>
      </c>
      <c r="CA240" s="103">
        <f t="shared" si="345"/>
        <v>87.667089814575377</v>
      </c>
      <c r="CB240" s="51">
        <f t="shared" si="346"/>
        <v>2.9279544292626865</v>
      </c>
      <c r="CC240" s="32">
        <f t="shared" si="347"/>
        <v>127.47840502419403</v>
      </c>
    </row>
    <row r="241" spans="17:81" ht="15" thickBot="1" x14ac:dyDescent="0.35">
      <c r="Q241" s="32">
        <v>234</v>
      </c>
      <c r="S241" s="101">
        <f t="shared" si="288"/>
        <v>60</v>
      </c>
      <c r="T241" s="97">
        <f t="shared" si="294"/>
        <v>0.46800000000000003</v>
      </c>
      <c r="U241" s="102">
        <f t="shared" si="289"/>
        <v>15</v>
      </c>
      <c r="V241" s="103">
        <f t="shared" si="295"/>
        <v>2.3400000000000003</v>
      </c>
      <c r="W241" s="101">
        <f t="shared" si="296"/>
        <v>2</v>
      </c>
      <c r="X241" s="102">
        <f t="shared" si="297"/>
        <v>0.75</v>
      </c>
      <c r="Y241" s="100">
        <f t="shared" si="298"/>
        <v>0.25</v>
      </c>
      <c r="Z241" s="101">
        <f t="shared" si="299"/>
        <v>0.45000000000000007</v>
      </c>
      <c r="AA241" s="102">
        <f t="shared" si="300"/>
        <v>2.5650000000000004</v>
      </c>
      <c r="AB241" s="102">
        <f t="shared" si="301"/>
        <v>2.3436029953897912</v>
      </c>
      <c r="AC241" s="102">
        <v>0</v>
      </c>
      <c r="AD241" s="102">
        <f t="shared" si="302"/>
        <v>5.4924750000000015E-2</v>
      </c>
      <c r="AE241" s="103">
        <f t="shared" si="303"/>
        <v>5.4924750000000015E-2</v>
      </c>
      <c r="AF241" s="101">
        <f t="shared" si="304"/>
        <v>1.7550000000000003</v>
      </c>
      <c r="AG241" s="97">
        <f t="shared" si="305"/>
        <v>2.0296197303928638</v>
      </c>
      <c r="AH241" s="102">
        <f t="shared" si="306"/>
        <v>0.21347749048500012</v>
      </c>
      <c r="AI241" s="97">
        <f t="shared" si="307"/>
        <v>2.4569999999999999</v>
      </c>
      <c r="AJ241" s="103">
        <f t="shared" si="308"/>
        <v>2.6704774904850002</v>
      </c>
      <c r="AK241" s="101">
        <f t="shared" si="309"/>
        <v>0.58500000000000008</v>
      </c>
      <c r="AL241" s="102">
        <f t="shared" si="310"/>
        <v>1.1718014976948956</v>
      </c>
      <c r="AM241" s="102">
        <f t="shared" si="311"/>
        <v>0.19656000000000001</v>
      </c>
      <c r="AN241" s="102">
        <f t="shared" si="312"/>
        <v>0.75525000000000009</v>
      </c>
      <c r="AO241" s="103">
        <f t="shared" si="313"/>
        <v>0.95181000000000004</v>
      </c>
      <c r="AP241" s="99">
        <f t="shared" si="314"/>
        <v>0</v>
      </c>
      <c r="AQ241" s="102">
        <f t="shared" si="290"/>
        <v>8.7499999999999994E-2</v>
      </c>
      <c r="AR241" s="103">
        <f t="shared" si="315"/>
        <v>1.155E-2</v>
      </c>
      <c r="AS241" s="99">
        <f t="shared" si="316"/>
        <v>2.7695274904850002</v>
      </c>
      <c r="AT241" s="215">
        <f t="shared" si="317"/>
        <v>191.1716494291</v>
      </c>
      <c r="AU241" s="216">
        <f t="shared" si="318"/>
        <v>9.3807556186238525E-2</v>
      </c>
      <c r="AV241" s="102">
        <f t="shared" si="319"/>
        <v>28.080000000000002</v>
      </c>
      <c r="AW241" s="103">
        <f t="shared" si="320"/>
        <v>91.02246382431882</v>
      </c>
      <c r="AX241" s="32"/>
      <c r="AY241" s="101">
        <f t="shared" si="291"/>
        <v>60</v>
      </c>
      <c r="AZ241" s="102">
        <f t="shared" si="321"/>
        <v>0.46800000000000003</v>
      </c>
      <c r="BA241" s="102">
        <f t="shared" si="292"/>
        <v>15</v>
      </c>
      <c r="BB241" s="103">
        <f t="shared" si="322"/>
        <v>2.3400000000000003</v>
      </c>
      <c r="BC241" s="101">
        <f t="shared" si="323"/>
        <v>2</v>
      </c>
      <c r="BD241" s="102">
        <f t="shared" si="324"/>
        <v>0.75</v>
      </c>
      <c r="BE241" s="100">
        <f t="shared" si="325"/>
        <v>0.25</v>
      </c>
      <c r="BF241" s="101">
        <f t="shared" si="326"/>
        <v>0.45000000000000007</v>
      </c>
      <c r="BG241" s="102">
        <f t="shared" si="327"/>
        <v>2.5650000000000004</v>
      </c>
      <c r="BH241" s="102">
        <f t="shared" si="328"/>
        <v>2.3436029953897912</v>
      </c>
      <c r="BI241" s="102">
        <v>0</v>
      </c>
      <c r="BJ241" s="102">
        <f t="shared" si="329"/>
        <v>5.4924750000000015E-2</v>
      </c>
      <c r="BK241" s="103">
        <f t="shared" si="330"/>
        <v>5.4924750000000015E-2</v>
      </c>
      <c r="BL241" s="101">
        <f t="shared" si="331"/>
        <v>1.7550000000000003</v>
      </c>
      <c r="BM241" s="97">
        <f t="shared" si="332"/>
        <v>2.0296197303928638</v>
      </c>
      <c r="BN241" s="97">
        <f t="shared" si="333"/>
        <v>0.38642674287300793</v>
      </c>
      <c r="BO241" s="97">
        <f t="shared" si="334"/>
        <v>2.4569999999999999</v>
      </c>
      <c r="BP241" s="103">
        <f t="shared" si="335"/>
        <v>2.8434267428730076</v>
      </c>
      <c r="BQ241" s="101">
        <f t="shared" si="336"/>
        <v>0.58500000000000008</v>
      </c>
      <c r="BR241" s="102">
        <f t="shared" si="337"/>
        <v>1.1718014976948956</v>
      </c>
      <c r="BS241" s="102">
        <f t="shared" si="338"/>
        <v>0.19656000000000001</v>
      </c>
      <c r="BT241" s="102">
        <f t="shared" si="339"/>
        <v>0.75525000000000009</v>
      </c>
      <c r="BU241" s="103">
        <f t="shared" si="340"/>
        <v>0.95181000000000004</v>
      </c>
      <c r="BV241" s="99">
        <f t="shared" si="341"/>
        <v>0</v>
      </c>
      <c r="BW241" s="102">
        <f t="shared" si="293"/>
        <v>8.7499999999999994E-2</v>
      </c>
      <c r="BX241" s="103">
        <f t="shared" si="342"/>
        <v>1.155E-2</v>
      </c>
      <c r="BY241" s="101">
        <f t="shared" si="343"/>
        <v>3.9492114928730078</v>
      </c>
      <c r="BZ241" s="102">
        <f t="shared" si="344"/>
        <v>28.080000000000002</v>
      </c>
      <c r="CA241" s="103">
        <f t="shared" si="345"/>
        <v>87.669969665810328</v>
      </c>
      <c r="CB241" s="51">
        <f t="shared" si="346"/>
        <v>2.9424767428730076</v>
      </c>
      <c r="CC241" s="32">
        <f t="shared" si="347"/>
        <v>127.98668600055527</v>
      </c>
    </row>
    <row r="242" spans="17:81" ht="15" thickBot="1" x14ac:dyDescent="0.35">
      <c r="Q242" s="32">
        <v>235</v>
      </c>
      <c r="S242" s="101">
        <f t="shared" si="288"/>
        <v>60</v>
      </c>
      <c r="T242" s="97">
        <f t="shared" si="294"/>
        <v>0.47000000000000003</v>
      </c>
      <c r="U242" s="102">
        <f t="shared" si="289"/>
        <v>15</v>
      </c>
      <c r="V242" s="103">
        <f t="shared" si="295"/>
        <v>2.35</v>
      </c>
      <c r="W242" s="101">
        <f t="shared" si="296"/>
        <v>2</v>
      </c>
      <c r="X242" s="102">
        <f t="shared" si="297"/>
        <v>0.75</v>
      </c>
      <c r="Y242" s="100">
        <f t="shared" si="298"/>
        <v>0.25</v>
      </c>
      <c r="Z242" s="101">
        <f t="shared" si="299"/>
        <v>0.45000000000000007</v>
      </c>
      <c r="AA242" s="102">
        <f t="shared" si="300"/>
        <v>2.5750000000000002</v>
      </c>
      <c r="AB242" s="102">
        <f t="shared" si="301"/>
        <v>2.3535876869154464</v>
      </c>
      <c r="AC242" s="102">
        <v>0</v>
      </c>
      <c r="AD242" s="102">
        <f t="shared" si="302"/>
        <v>5.5393750000000019E-2</v>
      </c>
      <c r="AE242" s="103">
        <f t="shared" si="303"/>
        <v>5.5393750000000019E-2</v>
      </c>
      <c r="AF242" s="101">
        <f t="shared" si="304"/>
        <v>1.7625000000000002</v>
      </c>
      <c r="AG242" s="97">
        <f t="shared" si="305"/>
        <v>2.0382667269030326</v>
      </c>
      <c r="AH242" s="102">
        <f t="shared" si="306"/>
        <v>0.2153003652916668</v>
      </c>
      <c r="AI242" s="97">
        <f t="shared" si="307"/>
        <v>2.4674999999999998</v>
      </c>
      <c r="AJ242" s="103">
        <f t="shared" si="308"/>
        <v>2.6828003652916665</v>
      </c>
      <c r="AK242" s="101">
        <f t="shared" si="309"/>
        <v>0.58750000000000002</v>
      </c>
      <c r="AL242" s="102">
        <f t="shared" si="310"/>
        <v>1.1767938434577232</v>
      </c>
      <c r="AM242" s="102">
        <f t="shared" si="311"/>
        <v>0.19739999999999999</v>
      </c>
      <c r="AN242" s="102">
        <f t="shared" si="312"/>
        <v>0.75525000000000009</v>
      </c>
      <c r="AO242" s="103">
        <f t="shared" si="313"/>
        <v>0.95265000000000011</v>
      </c>
      <c r="AP242" s="99">
        <f t="shared" si="314"/>
        <v>0</v>
      </c>
      <c r="AQ242" s="102">
        <f t="shared" si="290"/>
        <v>8.7499999999999994E-2</v>
      </c>
      <c r="AR242" s="103">
        <f t="shared" si="315"/>
        <v>1.155E-2</v>
      </c>
      <c r="AS242" s="99">
        <f t="shared" si="316"/>
        <v>2.7818503652916666</v>
      </c>
      <c r="AT242" s="215">
        <f t="shared" si="317"/>
        <v>191.91102191749999</v>
      </c>
      <c r="AU242" s="216">
        <f t="shared" si="318"/>
        <v>9.3988043254246867E-2</v>
      </c>
      <c r="AV242" s="102">
        <f t="shared" si="319"/>
        <v>28.200000000000003</v>
      </c>
      <c r="AW242" s="103">
        <f t="shared" si="320"/>
        <v>91.021032209205572</v>
      </c>
      <c r="AX242" s="32"/>
      <c r="AY242" s="101">
        <f t="shared" si="291"/>
        <v>60</v>
      </c>
      <c r="AZ242" s="102">
        <f t="shared" si="321"/>
        <v>0.47000000000000003</v>
      </c>
      <c r="BA242" s="102">
        <f t="shared" si="292"/>
        <v>15</v>
      </c>
      <c r="BB242" s="103">
        <f t="shared" si="322"/>
        <v>2.35</v>
      </c>
      <c r="BC242" s="101">
        <f t="shared" si="323"/>
        <v>2</v>
      </c>
      <c r="BD242" s="102">
        <f t="shared" si="324"/>
        <v>0.75</v>
      </c>
      <c r="BE242" s="100">
        <f t="shared" si="325"/>
        <v>0.25</v>
      </c>
      <c r="BF242" s="101">
        <f t="shared" si="326"/>
        <v>0.45000000000000007</v>
      </c>
      <c r="BG242" s="102">
        <f t="shared" si="327"/>
        <v>2.5750000000000002</v>
      </c>
      <c r="BH242" s="102">
        <f t="shared" si="328"/>
        <v>2.3535876869154464</v>
      </c>
      <c r="BI242" s="102">
        <v>0</v>
      </c>
      <c r="BJ242" s="102">
        <f t="shared" si="329"/>
        <v>5.5393750000000019E-2</v>
      </c>
      <c r="BK242" s="103">
        <f t="shared" si="330"/>
        <v>5.5393750000000019E-2</v>
      </c>
      <c r="BL242" s="101">
        <f t="shared" si="331"/>
        <v>1.7625000000000002</v>
      </c>
      <c r="BM242" s="97">
        <f t="shared" si="332"/>
        <v>2.0382667269030326</v>
      </c>
      <c r="BN242" s="97">
        <f t="shared" si="333"/>
        <v>0.39047626282612047</v>
      </c>
      <c r="BO242" s="97">
        <f t="shared" si="334"/>
        <v>2.4674999999999998</v>
      </c>
      <c r="BP242" s="103">
        <f t="shared" si="335"/>
        <v>2.8579762628261203</v>
      </c>
      <c r="BQ242" s="101">
        <f t="shared" si="336"/>
        <v>0.58750000000000002</v>
      </c>
      <c r="BR242" s="102">
        <f t="shared" si="337"/>
        <v>1.1767938434577232</v>
      </c>
      <c r="BS242" s="102">
        <f t="shared" si="338"/>
        <v>0.19739999999999999</v>
      </c>
      <c r="BT242" s="102">
        <f t="shared" si="339"/>
        <v>0.75525000000000009</v>
      </c>
      <c r="BU242" s="103">
        <f t="shared" si="340"/>
        <v>0.95265000000000011</v>
      </c>
      <c r="BV242" s="99">
        <f t="shared" si="341"/>
        <v>0</v>
      </c>
      <c r="BW242" s="102">
        <f t="shared" si="293"/>
        <v>8.7499999999999994E-2</v>
      </c>
      <c r="BX242" s="103">
        <f t="shared" si="342"/>
        <v>1.155E-2</v>
      </c>
      <c r="BY242" s="101">
        <f t="shared" si="343"/>
        <v>3.9650700128261205</v>
      </c>
      <c r="BZ242" s="102">
        <f t="shared" si="344"/>
        <v>28.200000000000003</v>
      </c>
      <c r="CA242" s="103">
        <f t="shared" si="345"/>
        <v>87.672745586299015</v>
      </c>
      <c r="CB242" s="51">
        <f t="shared" si="346"/>
        <v>2.9570262628261204</v>
      </c>
      <c r="CC242" s="32">
        <f t="shared" si="347"/>
        <v>128.49591919891421</v>
      </c>
    </row>
    <row r="243" spans="17:81" ht="15" thickBot="1" x14ac:dyDescent="0.35">
      <c r="Q243" s="32">
        <v>236</v>
      </c>
      <c r="S243" s="101">
        <f t="shared" si="288"/>
        <v>60</v>
      </c>
      <c r="T243" s="97">
        <f t="shared" si="294"/>
        <v>0.47200000000000003</v>
      </c>
      <c r="U243" s="102">
        <f t="shared" si="289"/>
        <v>15</v>
      </c>
      <c r="V243" s="103">
        <f t="shared" si="295"/>
        <v>2.36</v>
      </c>
      <c r="W243" s="101">
        <f t="shared" si="296"/>
        <v>2</v>
      </c>
      <c r="X243" s="102">
        <f t="shared" si="297"/>
        <v>0.75</v>
      </c>
      <c r="Y243" s="100">
        <f t="shared" si="298"/>
        <v>0.25</v>
      </c>
      <c r="Z243" s="101">
        <f t="shared" si="299"/>
        <v>0.45000000000000007</v>
      </c>
      <c r="AA243" s="102">
        <f t="shared" si="300"/>
        <v>2.585</v>
      </c>
      <c r="AB243" s="102">
        <f t="shared" si="301"/>
        <v>2.3635725078786982</v>
      </c>
      <c r="AC243" s="102">
        <v>0</v>
      </c>
      <c r="AD243" s="102">
        <f t="shared" si="302"/>
        <v>5.5864749999999991E-2</v>
      </c>
      <c r="AE243" s="103">
        <f t="shared" si="303"/>
        <v>5.5864749999999991E-2</v>
      </c>
      <c r="AF243" s="101">
        <f t="shared" si="304"/>
        <v>1.77</v>
      </c>
      <c r="AG243" s="97">
        <f t="shared" si="305"/>
        <v>2.0469138355094483</v>
      </c>
      <c r="AH243" s="102">
        <f t="shared" si="306"/>
        <v>0.21713101355166678</v>
      </c>
      <c r="AI243" s="97">
        <f t="shared" si="307"/>
        <v>2.4779999999999998</v>
      </c>
      <c r="AJ243" s="103">
        <f t="shared" si="308"/>
        <v>2.6951310135516664</v>
      </c>
      <c r="AK243" s="101">
        <f t="shared" si="309"/>
        <v>0.59</v>
      </c>
      <c r="AL243" s="102">
        <f t="shared" si="310"/>
        <v>1.1817862539393493</v>
      </c>
      <c r="AM243" s="102">
        <f t="shared" si="311"/>
        <v>0.19824</v>
      </c>
      <c r="AN243" s="102">
        <f t="shared" si="312"/>
        <v>0.75525000000000009</v>
      </c>
      <c r="AO243" s="103">
        <f t="shared" si="313"/>
        <v>0.95349000000000006</v>
      </c>
      <c r="AP243" s="99">
        <f t="shared" si="314"/>
        <v>0</v>
      </c>
      <c r="AQ243" s="102">
        <f t="shared" si="290"/>
        <v>8.7499999999999994E-2</v>
      </c>
      <c r="AR243" s="103">
        <f t="shared" si="315"/>
        <v>1.155E-2</v>
      </c>
      <c r="AS243" s="99">
        <f t="shared" si="316"/>
        <v>2.7941810135516665</v>
      </c>
      <c r="AT243" s="215">
        <f t="shared" si="317"/>
        <v>192.6508608131</v>
      </c>
      <c r="AU243" s="216">
        <f t="shared" si="318"/>
        <v>9.416864417619128E-2</v>
      </c>
      <c r="AV243" s="102">
        <f t="shared" si="319"/>
        <v>28.32</v>
      </c>
      <c r="AW243" s="103">
        <f t="shared" si="320"/>
        <v>91.019590030877978</v>
      </c>
      <c r="AX243" s="32"/>
      <c r="AY243" s="101">
        <f t="shared" si="291"/>
        <v>60</v>
      </c>
      <c r="AZ243" s="102">
        <f t="shared" si="321"/>
        <v>0.47200000000000003</v>
      </c>
      <c r="BA243" s="102">
        <f t="shared" si="292"/>
        <v>15</v>
      </c>
      <c r="BB243" s="103">
        <f t="shared" si="322"/>
        <v>2.36</v>
      </c>
      <c r="BC243" s="101">
        <f t="shared" si="323"/>
        <v>2</v>
      </c>
      <c r="BD243" s="102">
        <f t="shared" si="324"/>
        <v>0.75</v>
      </c>
      <c r="BE243" s="100">
        <f t="shared" si="325"/>
        <v>0.25</v>
      </c>
      <c r="BF243" s="101">
        <f t="shared" si="326"/>
        <v>0.45000000000000007</v>
      </c>
      <c r="BG243" s="102">
        <f t="shared" si="327"/>
        <v>2.585</v>
      </c>
      <c r="BH243" s="102">
        <f t="shared" si="328"/>
        <v>2.3635725078786982</v>
      </c>
      <c r="BI243" s="102">
        <v>0</v>
      </c>
      <c r="BJ243" s="102">
        <f t="shared" si="329"/>
        <v>5.5864749999999991E-2</v>
      </c>
      <c r="BK243" s="103">
        <f t="shared" si="330"/>
        <v>5.5864749999999991E-2</v>
      </c>
      <c r="BL243" s="101">
        <f t="shared" si="331"/>
        <v>1.77</v>
      </c>
      <c r="BM243" s="97">
        <f t="shared" si="332"/>
        <v>2.0469138355094483</v>
      </c>
      <c r="BN243" s="97">
        <f t="shared" si="333"/>
        <v>0.39455308235564124</v>
      </c>
      <c r="BO243" s="97">
        <f t="shared" si="334"/>
        <v>2.4779999999999998</v>
      </c>
      <c r="BP243" s="103">
        <f t="shared" si="335"/>
        <v>2.8725530823556409</v>
      </c>
      <c r="BQ243" s="101">
        <f t="shared" si="336"/>
        <v>0.59</v>
      </c>
      <c r="BR243" s="102">
        <f t="shared" si="337"/>
        <v>1.1817862539393493</v>
      </c>
      <c r="BS243" s="102">
        <f t="shared" si="338"/>
        <v>0.19824</v>
      </c>
      <c r="BT243" s="102">
        <f t="shared" si="339"/>
        <v>0.75525000000000009</v>
      </c>
      <c r="BU243" s="103">
        <f t="shared" si="340"/>
        <v>0.95349000000000006</v>
      </c>
      <c r="BV243" s="99">
        <f t="shared" si="341"/>
        <v>0</v>
      </c>
      <c r="BW243" s="102">
        <f t="shared" si="293"/>
        <v>8.7499999999999994E-2</v>
      </c>
      <c r="BX243" s="103">
        <f t="shared" si="342"/>
        <v>1.155E-2</v>
      </c>
      <c r="BY243" s="101">
        <f t="shared" si="343"/>
        <v>3.9809578323556409</v>
      </c>
      <c r="BZ243" s="102">
        <f t="shared" si="344"/>
        <v>28.32</v>
      </c>
      <c r="CA243" s="103">
        <f t="shared" si="345"/>
        <v>87.675418626849677</v>
      </c>
      <c r="CB243" s="51">
        <f t="shared" si="346"/>
        <v>2.971603082355641</v>
      </c>
      <c r="CC243" s="32">
        <f t="shared" si="347"/>
        <v>129.00610788244745</v>
      </c>
    </row>
    <row r="244" spans="17:81" ht="15" thickBot="1" x14ac:dyDescent="0.35">
      <c r="Q244" s="32">
        <v>237</v>
      </c>
      <c r="S244" s="101">
        <f t="shared" si="288"/>
        <v>60</v>
      </c>
      <c r="T244" s="97">
        <f t="shared" si="294"/>
        <v>0.47400000000000003</v>
      </c>
      <c r="U244" s="102">
        <f t="shared" si="289"/>
        <v>15</v>
      </c>
      <c r="V244" s="103">
        <f t="shared" si="295"/>
        <v>2.37</v>
      </c>
      <c r="W244" s="101">
        <f t="shared" si="296"/>
        <v>2</v>
      </c>
      <c r="X244" s="102">
        <f t="shared" si="297"/>
        <v>0.75</v>
      </c>
      <c r="Y244" s="100">
        <f t="shared" si="298"/>
        <v>0.25</v>
      </c>
      <c r="Z244" s="101">
        <f t="shared" si="299"/>
        <v>0.45000000000000007</v>
      </c>
      <c r="AA244" s="102">
        <f t="shared" si="300"/>
        <v>2.5950000000000002</v>
      </c>
      <c r="AB244" s="102">
        <f t="shared" si="301"/>
        <v>2.373557456646036</v>
      </c>
      <c r="AC244" s="102">
        <v>0</v>
      </c>
      <c r="AD244" s="102">
        <f t="shared" si="302"/>
        <v>5.6337749999999992E-2</v>
      </c>
      <c r="AE244" s="103">
        <f t="shared" si="303"/>
        <v>5.6337749999999992E-2</v>
      </c>
      <c r="AF244" s="101">
        <f t="shared" si="304"/>
        <v>1.7775000000000001</v>
      </c>
      <c r="AG244" s="97">
        <f t="shared" si="305"/>
        <v>2.0555610547974488</v>
      </c>
      <c r="AH244" s="102">
        <f t="shared" si="306"/>
        <v>0.21896943526500007</v>
      </c>
      <c r="AI244" s="97">
        <f t="shared" si="307"/>
        <v>2.4885000000000002</v>
      </c>
      <c r="AJ244" s="103">
        <f t="shared" si="308"/>
        <v>2.7074694352650002</v>
      </c>
      <c r="AK244" s="101">
        <f t="shared" si="309"/>
        <v>0.59250000000000003</v>
      </c>
      <c r="AL244" s="102">
        <f t="shared" si="310"/>
        <v>1.186778728323018</v>
      </c>
      <c r="AM244" s="102">
        <f t="shared" si="311"/>
        <v>0.19908000000000001</v>
      </c>
      <c r="AN244" s="102">
        <f t="shared" si="312"/>
        <v>0.75525000000000009</v>
      </c>
      <c r="AO244" s="103">
        <f t="shared" si="313"/>
        <v>0.95433000000000012</v>
      </c>
      <c r="AP244" s="99">
        <f t="shared" si="314"/>
        <v>0</v>
      </c>
      <c r="AQ244" s="102">
        <f t="shared" si="290"/>
        <v>8.7499999999999994E-2</v>
      </c>
      <c r="AR244" s="103">
        <f t="shared" si="315"/>
        <v>1.155E-2</v>
      </c>
      <c r="AS244" s="99">
        <f t="shared" si="316"/>
        <v>2.8065194352650003</v>
      </c>
      <c r="AT244" s="215">
        <f t="shared" si="317"/>
        <v>193.39116611590001</v>
      </c>
      <c r="AU244" s="216">
        <f t="shared" si="318"/>
        <v>9.4349358952071749E-2</v>
      </c>
      <c r="AV244" s="102">
        <f t="shared" si="319"/>
        <v>28.44</v>
      </c>
      <c r="AW244" s="103">
        <f t="shared" si="320"/>
        <v>91.018137424619709</v>
      </c>
      <c r="AX244" s="32"/>
      <c r="AY244" s="101">
        <f t="shared" si="291"/>
        <v>60</v>
      </c>
      <c r="AZ244" s="102">
        <f t="shared" si="321"/>
        <v>0.47400000000000003</v>
      </c>
      <c r="BA244" s="102">
        <f t="shared" si="292"/>
        <v>15</v>
      </c>
      <c r="BB244" s="103">
        <f t="shared" si="322"/>
        <v>2.37</v>
      </c>
      <c r="BC244" s="101">
        <f t="shared" si="323"/>
        <v>2</v>
      </c>
      <c r="BD244" s="102">
        <f t="shared" si="324"/>
        <v>0.75</v>
      </c>
      <c r="BE244" s="100">
        <f t="shared" si="325"/>
        <v>0.25</v>
      </c>
      <c r="BF244" s="101">
        <f t="shared" si="326"/>
        <v>0.45000000000000007</v>
      </c>
      <c r="BG244" s="102">
        <f t="shared" si="327"/>
        <v>2.5950000000000002</v>
      </c>
      <c r="BH244" s="102">
        <f t="shared" si="328"/>
        <v>2.373557456646036</v>
      </c>
      <c r="BI244" s="102">
        <v>0</v>
      </c>
      <c r="BJ244" s="102">
        <f t="shared" si="329"/>
        <v>5.6337749999999992E-2</v>
      </c>
      <c r="BK244" s="103">
        <f t="shared" si="330"/>
        <v>5.6337749999999992E-2</v>
      </c>
      <c r="BL244" s="101">
        <f t="shared" si="331"/>
        <v>1.7775000000000001</v>
      </c>
      <c r="BM244" s="97">
        <f t="shared" si="332"/>
        <v>2.0555610547974488</v>
      </c>
      <c r="BN244" s="97">
        <f t="shared" si="333"/>
        <v>0.39865729479765599</v>
      </c>
      <c r="BO244" s="97">
        <f t="shared" si="334"/>
        <v>2.4885000000000002</v>
      </c>
      <c r="BP244" s="103">
        <f t="shared" si="335"/>
        <v>2.8871572947976563</v>
      </c>
      <c r="BQ244" s="101">
        <f t="shared" si="336"/>
        <v>0.59250000000000003</v>
      </c>
      <c r="BR244" s="102">
        <f t="shared" si="337"/>
        <v>1.186778728323018</v>
      </c>
      <c r="BS244" s="102">
        <f t="shared" si="338"/>
        <v>0.19908000000000001</v>
      </c>
      <c r="BT244" s="102">
        <f t="shared" si="339"/>
        <v>0.75525000000000009</v>
      </c>
      <c r="BU244" s="103">
        <f t="shared" si="340"/>
        <v>0.95433000000000012</v>
      </c>
      <c r="BV244" s="99">
        <f t="shared" si="341"/>
        <v>0</v>
      </c>
      <c r="BW244" s="102">
        <f t="shared" si="293"/>
        <v>8.7499999999999994E-2</v>
      </c>
      <c r="BX244" s="103">
        <f t="shared" si="342"/>
        <v>1.155E-2</v>
      </c>
      <c r="BY244" s="101">
        <f t="shared" si="343"/>
        <v>3.9968750447976564</v>
      </c>
      <c r="BZ244" s="102">
        <f t="shared" si="344"/>
        <v>28.44</v>
      </c>
      <c r="CA244" s="103">
        <f t="shared" si="345"/>
        <v>87.677989820913126</v>
      </c>
      <c r="CB244" s="51">
        <f t="shared" si="346"/>
        <v>2.9862072947976563</v>
      </c>
      <c r="CC244" s="32">
        <f t="shared" si="347"/>
        <v>129.51725531791797</v>
      </c>
    </row>
    <row r="245" spans="17:81" ht="15" thickBot="1" x14ac:dyDescent="0.35">
      <c r="Q245" s="32">
        <v>238</v>
      </c>
      <c r="S245" s="101">
        <f t="shared" si="288"/>
        <v>60</v>
      </c>
      <c r="T245" s="97">
        <f t="shared" si="294"/>
        <v>0.47600000000000003</v>
      </c>
      <c r="U245" s="102">
        <f t="shared" si="289"/>
        <v>15</v>
      </c>
      <c r="V245" s="103">
        <f t="shared" si="295"/>
        <v>2.3800000000000003</v>
      </c>
      <c r="W245" s="101">
        <f t="shared" si="296"/>
        <v>2</v>
      </c>
      <c r="X245" s="102">
        <f t="shared" si="297"/>
        <v>0.75</v>
      </c>
      <c r="Y245" s="100">
        <f t="shared" si="298"/>
        <v>0.25</v>
      </c>
      <c r="Z245" s="101">
        <f t="shared" si="299"/>
        <v>0.45000000000000007</v>
      </c>
      <c r="AA245" s="102">
        <f t="shared" si="300"/>
        <v>2.6050000000000004</v>
      </c>
      <c r="AB245" s="102">
        <f t="shared" si="301"/>
        <v>2.3835425316112993</v>
      </c>
      <c r="AC245" s="102">
        <v>0</v>
      </c>
      <c r="AD245" s="102">
        <f t="shared" si="302"/>
        <v>5.6812750000000016E-2</v>
      </c>
      <c r="AE245" s="103">
        <f t="shared" si="303"/>
        <v>5.6812750000000016E-2</v>
      </c>
      <c r="AF245" s="101">
        <f t="shared" si="304"/>
        <v>1.7850000000000001</v>
      </c>
      <c r="AG245" s="97">
        <f t="shared" si="305"/>
        <v>2.0642083833760587</v>
      </c>
      <c r="AH245" s="102">
        <f t="shared" si="306"/>
        <v>0.22081563043166685</v>
      </c>
      <c r="AI245" s="97">
        <f t="shared" si="307"/>
        <v>2.4990000000000001</v>
      </c>
      <c r="AJ245" s="103">
        <f t="shared" si="308"/>
        <v>2.719815630431667</v>
      </c>
      <c r="AK245" s="101">
        <f t="shared" si="309"/>
        <v>0.59500000000000008</v>
      </c>
      <c r="AL245" s="102">
        <f t="shared" si="310"/>
        <v>1.1917712658056496</v>
      </c>
      <c r="AM245" s="102">
        <f t="shared" si="311"/>
        <v>0.19992000000000001</v>
      </c>
      <c r="AN245" s="102">
        <f t="shared" si="312"/>
        <v>0.75525000000000009</v>
      </c>
      <c r="AO245" s="103">
        <f t="shared" si="313"/>
        <v>0.95517000000000007</v>
      </c>
      <c r="AP245" s="99">
        <f t="shared" si="314"/>
        <v>0</v>
      </c>
      <c r="AQ245" s="102">
        <f t="shared" si="290"/>
        <v>8.7499999999999994E-2</v>
      </c>
      <c r="AR245" s="103">
        <f t="shared" si="315"/>
        <v>1.155E-2</v>
      </c>
      <c r="AS245" s="99">
        <f t="shared" si="316"/>
        <v>2.818865630431667</v>
      </c>
      <c r="AT245" s="215">
        <f t="shared" si="317"/>
        <v>194.13193782590002</v>
      </c>
      <c r="AU245" s="216">
        <f t="shared" si="318"/>
        <v>9.4530187581888317E-2</v>
      </c>
      <c r="AV245" s="102">
        <f t="shared" si="319"/>
        <v>28.560000000000002</v>
      </c>
      <c r="AW245" s="103">
        <f t="shared" si="320"/>
        <v>91.016674523447747</v>
      </c>
      <c r="AX245" s="32"/>
      <c r="AY245" s="101">
        <f t="shared" si="291"/>
        <v>60</v>
      </c>
      <c r="AZ245" s="102">
        <f t="shared" si="321"/>
        <v>0.47600000000000003</v>
      </c>
      <c r="BA245" s="102">
        <f t="shared" si="292"/>
        <v>15</v>
      </c>
      <c r="BB245" s="103">
        <f t="shared" si="322"/>
        <v>2.3800000000000003</v>
      </c>
      <c r="BC245" s="101">
        <f t="shared" si="323"/>
        <v>2</v>
      </c>
      <c r="BD245" s="102">
        <f t="shared" si="324"/>
        <v>0.75</v>
      </c>
      <c r="BE245" s="100">
        <f t="shared" si="325"/>
        <v>0.25</v>
      </c>
      <c r="BF245" s="101">
        <f t="shared" si="326"/>
        <v>0.45000000000000007</v>
      </c>
      <c r="BG245" s="102">
        <f t="shared" si="327"/>
        <v>2.6050000000000004</v>
      </c>
      <c r="BH245" s="102">
        <f t="shared" si="328"/>
        <v>2.3835425316112993</v>
      </c>
      <c r="BI245" s="102">
        <v>0</v>
      </c>
      <c r="BJ245" s="102">
        <f t="shared" si="329"/>
        <v>5.6812750000000016E-2</v>
      </c>
      <c r="BK245" s="103">
        <f t="shared" si="330"/>
        <v>5.6812750000000016E-2</v>
      </c>
      <c r="BL245" s="101">
        <f t="shared" si="331"/>
        <v>1.7850000000000001</v>
      </c>
      <c r="BM245" s="97">
        <f t="shared" si="332"/>
        <v>2.0642083833760587</v>
      </c>
      <c r="BN245" s="97">
        <f t="shared" si="333"/>
        <v>0.40278899359071962</v>
      </c>
      <c r="BO245" s="97">
        <f t="shared" si="334"/>
        <v>2.4990000000000001</v>
      </c>
      <c r="BP245" s="103">
        <f t="shared" si="335"/>
        <v>2.9017889935907197</v>
      </c>
      <c r="BQ245" s="101">
        <f t="shared" si="336"/>
        <v>0.59500000000000008</v>
      </c>
      <c r="BR245" s="102">
        <f t="shared" si="337"/>
        <v>1.1917712658056496</v>
      </c>
      <c r="BS245" s="102">
        <f t="shared" si="338"/>
        <v>0.19992000000000001</v>
      </c>
      <c r="BT245" s="102">
        <f t="shared" si="339"/>
        <v>0.75525000000000009</v>
      </c>
      <c r="BU245" s="103">
        <f t="shared" si="340"/>
        <v>0.95517000000000007</v>
      </c>
      <c r="BV245" s="99">
        <f t="shared" si="341"/>
        <v>0</v>
      </c>
      <c r="BW245" s="102">
        <f t="shared" si="293"/>
        <v>8.7499999999999994E-2</v>
      </c>
      <c r="BX245" s="103">
        <f t="shared" si="342"/>
        <v>1.155E-2</v>
      </c>
      <c r="BY245" s="101">
        <f t="shared" si="343"/>
        <v>4.0128217435907194</v>
      </c>
      <c r="BZ245" s="102">
        <f t="shared" si="344"/>
        <v>28.560000000000002</v>
      </c>
      <c r="CA245" s="103">
        <f t="shared" si="345"/>
        <v>87.68046018493834</v>
      </c>
      <c r="CB245" s="51">
        <f t="shared" si="346"/>
        <v>3.0008389935907198</v>
      </c>
      <c r="CC245" s="32">
        <f t="shared" si="347"/>
        <v>130.02936477567519</v>
      </c>
    </row>
    <row r="246" spans="17:81" ht="15" thickBot="1" x14ac:dyDescent="0.35">
      <c r="Q246" s="32">
        <v>239</v>
      </c>
      <c r="S246" s="101">
        <f t="shared" si="288"/>
        <v>60</v>
      </c>
      <c r="T246" s="97">
        <f t="shared" si="294"/>
        <v>0.47800000000000004</v>
      </c>
      <c r="U246" s="102">
        <f t="shared" si="289"/>
        <v>15</v>
      </c>
      <c r="V246" s="103">
        <f t="shared" si="295"/>
        <v>2.39</v>
      </c>
      <c r="W246" s="101">
        <f t="shared" si="296"/>
        <v>2</v>
      </c>
      <c r="X246" s="102">
        <f t="shared" si="297"/>
        <v>0.75</v>
      </c>
      <c r="Y246" s="100">
        <f t="shared" si="298"/>
        <v>0.25</v>
      </c>
      <c r="Z246" s="101">
        <f t="shared" si="299"/>
        <v>0.45000000000000007</v>
      </c>
      <c r="AA246" s="102">
        <f t="shared" si="300"/>
        <v>2.6150000000000002</v>
      </c>
      <c r="AB246" s="102">
        <f t="shared" si="301"/>
        <v>2.3935277311951078</v>
      </c>
      <c r="AC246" s="102">
        <v>0</v>
      </c>
      <c r="AD246" s="102">
        <f t="shared" si="302"/>
        <v>5.728975E-2</v>
      </c>
      <c r="AE246" s="103">
        <f t="shared" si="303"/>
        <v>5.728975E-2</v>
      </c>
      <c r="AF246" s="101">
        <f t="shared" si="304"/>
        <v>1.7925</v>
      </c>
      <c r="AG246" s="97">
        <f t="shared" si="305"/>
        <v>2.0728558198774945</v>
      </c>
      <c r="AH246" s="102">
        <f t="shared" si="306"/>
        <v>0.22266959905166672</v>
      </c>
      <c r="AI246" s="97">
        <f t="shared" si="307"/>
        <v>2.5095000000000001</v>
      </c>
      <c r="AJ246" s="103">
        <f t="shared" si="308"/>
        <v>2.7321695990516668</v>
      </c>
      <c r="AK246" s="101">
        <f t="shared" si="309"/>
        <v>0.59750000000000003</v>
      </c>
      <c r="AL246" s="102">
        <f t="shared" si="310"/>
        <v>1.1967638655975539</v>
      </c>
      <c r="AM246" s="102">
        <f t="shared" si="311"/>
        <v>0.20075999999999999</v>
      </c>
      <c r="AN246" s="102">
        <f t="shared" si="312"/>
        <v>0.75525000000000009</v>
      </c>
      <c r="AO246" s="103">
        <f t="shared" si="313"/>
        <v>0.95601000000000003</v>
      </c>
      <c r="AP246" s="99">
        <f t="shared" si="314"/>
        <v>0</v>
      </c>
      <c r="AQ246" s="102">
        <f t="shared" si="290"/>
        <v>8.7499999999999994E-2</v>
      </c>
      <c r="AR246" s="103">
        <f t="shared" si="315"/>
        <v>1.155E-2</v>
      </c>
      <c r="AS246" s="99">
        <f t="shared" si="316"/>
        <v>2.8312195990516669</v>
      </c>
      <c r="AT246" s="215">
        <f t="shared" si="317"/>
        <v>194.87317594310002</v>
      </c>
      <c r="AU246" s="216">
        <f t="shared" si="318"/>
        <v>9.4711130065640942E-2</v>
      </c>
      <c r="AV246" s="102">
        <f t="shared" si="319"/>
        <v>28.680000000000003</v>
      </c>
      <c r="AW246" s="103">
        <f t="shared" si="320"/>
        <v>91.015201458159765</v>
      </c>
      <c r="AX246" s="32"/>
      <c r="AY246" s="101">
        <f t="shared" si="291"/>
        <v>60</v>
      </c>
      <c r="AZ246" s="102">
        <f t="shared" si="321"/>
        <v>0.47800000000000004</v>
      </c>
      <c r="BA246" s="102">
        <f t="shared" si="292"/>
        <v>15</v>
      </c>
      <c r="BB246" s="103">
        <f t="shared" si="322"/>
        <v>2.39</v>
      </c>
      <c r="BC246" s="101">
        <f t="shared" si="323"/>
        <v>2</v>
      </c>
      <c r="BD246" s="102">
        <f t="shared" si="324"/>
        <v>0.75</v>
      </c>
      <c r="BE246" s="100">
        <f t="shared" si="325"/>
        <v>0.25</v>
      </c>
      <c r="BF246" s="101">
        <f t="shared" si="326"/>
        <v>0.45000000000000007</v>
      </c>
      <c r="BG246" s="102">
        <f t="shared" si="327"/>
        <v>2.6150000000000002</v>
      </c>
      <c r="BH246" s="102">
        <f t="shared" si="328"/>
        <v>2.3935277311951078</v>
      </c>
      <c r="BI246" s="102">
        <v>0</v>
      </c>
      <c r="BJ246" s="102">
        <f t="shared" si="329"/>
        <v>5.728975E-2</v>
      </c>
      <c r="BK246" s="103">
        <f t="shared" si="330"/>
        <v>5.728975E-2</v>
      </c>
      <c r="BL246" s="101">
        <f t="shared" si="331"/>
        <v>1.7925</v>
      </c>
      <c r="BM246" s="97">
        <f t="shared" si="332"/>
        <v>2.0728558198774945</v>
      </c>
      <c r="BN246" s="97">
        <f t="shared" si="333"/>
        <v>0.40694827227585395</v>
      </c>
      <c r="BO246" s="97">
        <f t="shared" si="334"/>
        <v>2.5095000000000001</v>
      </c>
      <c r="BP246" s="103">
        <f t="shared" si="335"/>
        <v>2.9164482722758542</v>
      </c>
      <c r="BQ246" s="101">
        <f t="shared" si="336"/>
        <v>0.59750000000000003</v>
      </c>
      <c r="BR246" s="102">
        <f t="shared" si="337"/>
        <v>1.1967638655975539</v>
      </c>
      <c r="BS246" s="102">
        <f t="shared" si="338"/>
        <v>0.20075999999999999</v>
      </c>
      <c r="BT246" s="102">
        <f t="shared" si="339"/>
        <v>0.75525000000000009</v>
      </c>
      <c r="BU246" s="103">
        <f t="shared" si="340"/>
        <v>0.95601000000000003</v>
      </c>
      <c r="BV246" s="99">
        <f t="shared" si="341"/>
        <v>0</v>
      </c>
      <c r="BW246" s="102">
        <f t="shared" si="293"/>
        <v>8.7499999999999994E-2</v>
      </c>
      <c r="BX246" s="103">
        <f t="shared" si="342"/>
        <v>1.155E-2</v>
      </c>
      <c r="BY246" s="101">
        <f t="shared" si="343"/>
        <v>4.0287980222758542</v>
      </c>
      <c r="BZ246" s="102">
        <f t="shared" si="344"/>
        <v>28.680000000000003</v>
      </c>
      <c r="CA246" s="103">
        <f t="shared" si="345"/>
        <v>87.682830718719472</v>
      </c>
      <c r="CB246" s="51">
        <f t="shared" si="346"/>
        <v>3.0154982722758543</v>
      </c>
      <c r="CC246" s="32">
        <f t="shared" si="347"/>
        <v>130.5424395296549</v>
      </c>
    </row>
    <row r="247" spans="17:81" ht="15" thickBot="1" x14ac:dyDescent="0.35">
      <c r="Q247" s="32">
        <v>240</v>
      </c>
      <c r="S247" s="101">
        <f t="shared" si="288"/>
        <v>60</v>
      </c>
      <c r="T247" s="97">
        <f t="shared" si="294"/>
        <v>0.48</v>
      </c>
      <c r="U247" s="102">
        <f t="shared" si="289"/>
        <v>15</v>
      </c>
      <c r="V247" s="103">
        <f t="shared" si="295"/>
        <v>2.4</v>
      </c>
      <c r="W247" s="101">
        <f t="shared" si="296"/>
        <v>2</v>
      </c>
      <c r="X247" s="102">
        <f t="shared" si="297"/>
        <v>0.75</v>
      </c>
      <c r="Y247" s="100">
        <f t="shared" si="298"/>
        <v>0.25</v>
      </c>
      <c r="Z247" s="101">
        <f t="shared" si="299"/>
        <v>0.45000000000000007</v>
      </c>
      <c r="AA247" s="102">
        <f t="shared" si="300"/>
        <v>2.625</v>
      </c>
      <c r="AB247" s="102">
        <f t="shared" si="301"/>
        <v>2.4035130538443097</v>
      </c>
      <c r="AC247" s="102">
        <v>0</v>
      </c>
      <c r="AD247" s="102">
        <f t="shared" si="302"/>
        <v>5.7768749999999994E-2</v>
      </c>
      <c r="AE247" s="103">
        <f t="shared" si="303"/>
        <v>5.7768749999999994E-2</v>
      </c>
      <c r="AF247" s="101">
        <f t="shared" si="304"/>
        <v>1.7999999999999998</v>
      </c>
      <c r="AG247" s="97">
        <f t="shared" si="305"/>
        <v>2.0815033629566875</v>
      </c>
      <c r="AH247" s="102">
        <f t="shared" si="306"/>
        <v>0.22453134112500003</v>
      </c>
      <c r="AI247" s="97">
        <f t="shared" si="307"/>
        <v>2.52</v>
      </c>
      <c r="AJ247" s="103">
        <f t="shared" si="308"/>
        <v>2.7445313411250001</v>
      </c>
      <c r="AK247" s="101">
        <f t="shared" si="309"/>
        <v>0.6</v>
      </c>
      <c r="AL247" s="102">
        <f t="shared" si="310"/>
        <v>1.2017565269221548</v>
      </c>
      <c r="AM247" s="102">
        <f t="shared" si="311"/>
        <v>0.20159999999999997</v>
      </c>
      <c r="AN247" s="102">
        <f t="shared" si="312"/>
        <v>0.75525000000000009</v>
      </c>
      <c r="AO247" s="103">
        <f t="shared" si="313"/>
        <v>0.95685000000000009</v>
      </c>
      <c r="AP247" s="99">
        <f t="shared" si="314"/>
        <v>0</v>
      </c>
      <c r="AQ247" s="102">
        <f t="shared" si="290"/>
        <v>8.7499999999999994E-2</v>
      </c>
      <c r="AR247" s="103">
        <f t="shared" si="315"/>
        <v>1.155E-2</v>
      </c>
      <c r="AS247" s="99">
        <f t="shared" si="316"/>
        <v>2.8435813411250002</v>
      </c>
      <c r="AT247" s="215">
        <f t="shared" si="317"/>
        <v>195.6148804675</v>
      </c>
      <c r="AU247" s="216">
        <f t="shared" si="318"/>
        <v>9.4892186403329623E-2</v>
      </c>
      <c r="AV247" s="102">
        <f t="shared" si="319"/>
        <v>28.799999999999997</v>
      </c>
      <c r="AW247" s="103">
        <f t="shared" si="320"/>
        <v>91.013718357380142</v>
      </c>
      <c r="AX247" s="32"/>
      <c r="AY247" s="101">
        <f t="shared" si="291"/>
        <v>60</v>
      </c>
      <c r="AZ247" s="102">
        <f t="shared" si="321"/>
        <v>0.48</v>
      </c>
      <c r="BA247" s="102">
        <f t="shared" si="292"/>
        <v>15</v>
      </c>
      <c r="BB247" s="103">
        <f t="shared" si="322"/>
        <v>2.4</v>
      </c>
      <c r="BC247" s="101">
        <f t="shared" si="323"/>
        <v>2</v>
      </c>
      <c r="BD247" s="102">
        <f t="shared" si="324"/>
        <v>0.75</v>
      </c>
      <c r="BE247" s="100">
        <f t="shared" si="325"/>
        <v>0.25</v>
      </c>
      <c r="BF247" s="101">
        <f t="shared" si="326"/>
        <v>0.45000000000000007</v>
      </c>
      <c r="BG247" s="102">
        <f t="shared" si="327"/>
        <v>2.625</v>
      </c>
      <c r="BH247" s="102">
        <f t="shared" si="328"/>
        <v>2.4035130538443097</v>
      </c>
      <c r="BI247" s="102">
        <v>0</v>
      </c>
      <c r="BJ247" s="102">
        <f t="shared" si="329"/>
        <v>5.7768749999999994E-2</v>
      </c>
      <c r="BK247" s="103">
        <f t="shared" si="330"/>
        <v>5.7768749999999994E-2</v>
      </c>
      <c r="BL247" s="101">
        <f t="shared" si="331"/>
        <v>1.7999999999999998</v>
      </c>
      <c r="BM247" s="97">
        <f t="shared" si="332"/>
        <v>2.0815033629566875</v>
      </c>
      <c r="BN247" s="97">
        <f t="shared" si="333"/>
        <v>0.41113522449655104</v>
      </c>
      <c r="BO247" s="97">
        <f t="shared" si="334"/>
        <v>2.52</v>
      </c>
      <c r="BP247" s="103">
        <f t="shared" si="335"/>
        <v>2.931135224496551</v>
      </c>
      <c r="BQ247" s="101">
        <f t="shared" si="336"/>
        <v>0.6</v>
      </c>
      <c r="BR247" s="102">
        <f t="shared" si="337"/>
        <v>1.2017565269221548</v>
      </c>
      <c r="BS247" s="102">
        <f t="shared" si="338"/>
        <v>0.20159999999999997</v>
      </c>
      <c r="BT247" s="102">
        <f t="shared" si="339"/>
        <v>0.75525000000000009</v>
      </c>
      <c r="BU247" s="103">
        <f t="shared" si="340"/>
        <v>0.95685000000000009</v>
      </c>
      <c r="BV247" s="99">
        <f t="shared" si="341"/>
        <v>0</v>
      </c>
      <c r="BW247" s="102">
        <f t="shared" si="293"/>
        <v>8.7499999999999994E-2</v>
      </c>
      <c r="BX247" s="103">
        <f t="shared" si="342"/>
        <v>1.155E-2</v>
      </c>
      <c r="BY247" s="101">
        <f t="shared" si="343"/>
        <v>4.0448039744965509</v>
      </c>
      <c r="BZ247" s="102">
        <f t="shared" si="344"/>
        <v>28.799999999999997</v>
      </c>
      <c r="CA247" s="103">
        <f t="shared" si="345"/>
        <v>87.685102405734327</v>
      </c>
      <c r="CB247" s="51">
        <f t="shared" si="346"/>
        <v>3.030185224496551</v>
      </c>
      <c r="CC247" s="32">
        <f t="shared" si="347"/>
        <v>131.05648285737928</v>
      </c>
    </row>
    <row r="248" spans="17:81" ht="15" thickBot="1" x14ac:dyDescent="0.35">
      <c r="Q248" s="32">
        <v>241</v>
      </c>
      <c r="S248" s="101">
        <f t="shared" si="288"/>
        <v>60</v>
      </c>
      <c r="T248" s="97">
        <f t="shared" si="294"/>
        <v>0.48199999999999998</v>
      </c>
      <c r="U248" s="102">
        <f t="shared" si="289"/>
        <v>15</v>
      </c>
      <c r="V248" s="103">
        <f t="shared" si="295"/>
        <v>2.4099999999999997</v>
      </c>
      <c r="W248" s="101">
        <f t="shared" si="296"/>
        <v>2</v>
      </c>
      <c r="X248" s="102">
        <f t="shared" si="297"/>
        <v>0.75</v>
      </c>
      <c r="Y248" s="100">
        <f t="shared" si="298"/>
        <v>0.25</v>
      </c>
      <c r="Z248" s="101">
        <f t="shared" si="299"/>
        <v>0.45000000000000007</v>
      </c>
      <c r="AA248" s="102">
        <f t="shared" si="300"/>
        <v>2.6349999999999998</v>
      </c>
      <c r="AB248" s="102">
        <f t="shared" si="301"/>
        <v>2.4134984980314362</v>
      </c>
      <c r="AC248" s="102">
        <v>0</v>
      </c>
      <c r="AD248" s="102">
        <f t="shared" si="302"/>
        <v>5.8249749999999989E-2</v>
      </c>
      <c r="AE248" s="103">
        <f t="shared" si="303"/>
        <v>5.8249749999999989E-2</v>
      </c>
      <c r="AF248" s="101">
        <f t="shared" si="304"/>
        <v>1.8074999999999997</v>
      </c>
      <c r="AG248" s="97">
        <f t="shared" si="305"/>
        <v>2.0901510112908106</v>
      </c>
      <c r="AH248" s="102">
        <f t="shared" si="306"/>
        <v>0.22640085665166662</v>
      </c>
      <c r="AI248" s="97">
        <f t="shared" si="307"/>
        <v>2.5305</v>
      </c>
      <c r="AJ248" s="103">
        <f t="shared" si="308"/>
        <v>2.7569008566516664</v>
      </c>
      <c r="AK248" s="101">
        <f t="shared" si="309"/>
        <v>0.60249999999999992</v>
      </c>
      <c r="AL248" s="102">
        <f t="shared" si="310"/>
        <v>1.2067492490157181</v>
      </c>
      <c r="AM248" s="102">
        <f t="shared" si="311"/>
        <v>0.20243999999999998</v>
      </c>
      <c r="AN248" s="102">
        <f t="shared" si="312"/>
        <v>0.75525000000000009</v>
      </c>
      <c r="AO248" s="103">
        <f t="shared" si="313"/>
        <v>0.95769000000000004</v>
      </c>
      <c r="AP248" s="99">
        <f t="shared" si="314"/>
        <v>0</v>
      </c>
      <c r="AQ248" s="102">
        <f t="shared" si="290"/>
        <v>8.7499999999999994E-2</v>
      </c>
      <c r="AR248" s="103">
        <f t="shared" si="315"/>
        <v>1.155E-2</v>
      </c>
      <c r="AS248" s="99">
        <f t="shared" si="316"/>
        <v>2.8559508566516665</v>
      </c>
      <c r="AT248" s="215">
        <f t="shared" si="317"/>
        <v>196.35705139909999</v>
      </c>
      <c r="AU248" s="216">
        <f t="shared" si="318"/>
        <v>9.5073356594954389E-2</v>
      </c>
      <c r="AV248" s="102">
        <f t="shared" si="319"/>
        <v>28.919999999999998</v>
      </c>
      <c r="AW248" s="103">
        <f t="shared" si="320"/>
        <v>91.012225347604883</v>
      </c>
      <c r="AX248" s="32"/>
      <c r="AY248" s="101">
        <f t="shared" si="291"/>
        <v>60</v>
      </c>
      <c r="AZ248" s="102">
        <f t="shared" si="321"/>
        <v>0.48199999999999998</v>
      </c>
      <c r="BA248" s="102">
        <f t="shared" si="292"/>
        <v>15</v>
      </c>
      <c r="BB248" s="103">
        <f t="shared" si="322"/>
        <v>2.4099999999999997</v>
      </c>
      <c r="BC248" s="101">
        <f t="shared" si="323"/>
        <v>2</v>
      </c>
      <c r="BD248" s="102">
        <f t="shared" si="324"/>
        <v>0.75</v>
      </c>
      <c r="BE248" s="100">
        <f t="shared" si="325"/>
        <v>0.25</v>
      </c>
      <c r="BF248" s="101">
        <f t="shared" si="326"/>
        <v>0.45000000000000007</v>
      </c>
      <c r="BG248" s="102">
        <f t="shared" si="327"/>
        <v>2.6349999999999998</v>
      </c>
      <c r="BH248" s="102">
        <f t="shared" si="328"/>
        <v>2.4134984980314362</v>
      </c>
      <c r="BI248" s="102">
        <v>0</v>
      </c>
      <c r="BJ248" s="102">
        <f t="shared" si="329"/>
        <v>5.8249749999999989E-2</v>
      </c>
      <c r="BK248" s="103">
        <f t="shared" si="330"/>
        <v>5.8249749999999989E-2</v>
      </c>
      <c r="BL248" s="101">
        <f t="shared" si="331"/>
        <v>1.8074999999999997</v>
      </c>
      <c r="BM248" s="97">
        <f t="shared" si="332"/>
        <v>2.0901510112908106</v>
      </c>
      <c r="BN248" s="97">
        <f t="shared" si="333"/>
        <v>0.41534994399877062</v>
      </c>
      <c r="BO248" s="97">
        <f t="shared" si="334"/>
        <v>2.5305</v>
      </c>
      <c r="BP248" s="103">
        <f t="shared" si="335"/>
        <v>2.9458499439987706</v>
      </c>
      <c r="BQ248" s="101">
        <f t="shared" si="336"/>
        <v>0.60249999999999992</v>
      </c>
      <c r="BR248" s="102">
        <f t="shared" si="337"/>
        <v>1.2067492490157181</v>
      </c>
      <c r="BS248" s="102">
        <f t="shared" si="338"/>
        <v>0.20243999999999998</v>
      </c>
      <c r="BT248" s="102">
        <f t="shared" si="339"/>
        <v>0.75525000000000009</v>
      </c>
      <c r="BU248" s="103">
        <f t="shared" si="340"/>
        <v>0.95769000000000004</v>
      </c>
      <c r="BV248" s="99">
        <f t="shared" si="341"/>
        <v>0</v>
      </c>
      <c r="BW248" s="102">
        <f t="shared" si="293"/>
        <v>8.7499999999999994E-2</v>
      </c>
      <c r="BX248" s="103">
        <f t="shared" si="342"/>
        <v>1.155E-2</v>
      </c>
      <c r="BY248" s="101">
        <f t="shared" si="343"/>
        <v>4.0608396939987701</v>
      </c>
      <c r="BZ248" s="102">
        <f t="shared" si="344"/>
        <v>28.919999999999998</v>
      </c>
      <c r="CA248" s="103">
        <f t="shared" si="345"/>
        <v>87.687276213474689</v>
      </c>
      <c r="CB248" s="51">
        <f t="shared" si="346"/>
        <v>3.0448999439987707</v>
      </c>
      <c r="CC248" s="32">
        <f t="shared" si="347"/>
        <v>131.57149803995696</v>
      </c>
    </row>
    <row r="249" spans="17:81" ht="15" thickBot="1" x14ac:dyDescent="0.35">
      <c r="Q249" s="32">
        <v>242</v>
      </c>
      <c r="S249" s="101">
        <f t="shared" si="288"/>
        <v>60</v>
      </c>
      <c r="T249" s="97">
        <f t="shared" si="294"/>
        <v>0.48399999999999999</v>
      </c>
      <c r="U249" s="102">
        <f t="shared" si="289"/>
        <v>15</v>
      </c>
      <c r="V249" s="103">
        <f t="shared" si="295"/>
        <v>2.42</v>
      </c>
      <c r="W249" s="101">
        <f t="shared" si="296"/>
        <v>2</v>
      </c>
      <c r="X249" s="102">
        <f t="shared" si="297"/>
        <v>0.75</v>
      </c>
      <c r="Y249" s="100">
        <f t="shared" si="298"/>
        <v>0.25</v>
      </c>
      <c r="Z249" s="101">
        <f t="shared" si="299"/>
        <v>0.45000000000000007</v>
      </c>
      <c r="AA249" s="102">
        <f t="shared" si="300"/>
        <v>2.645</v>
      </c>
      <c r="AB249" s="102">
        <f t="shared" si="301"/>
        <v>2.4234840622541753</v>
      </c>
      <c r="AC249" s="102">
        <v>0</v>
      </c>
      <c r="AD249" s="102">
        <f t="shared" si="302"/>
        <v>5.873275E-2</v>
      </c>
      <c r="AE249" s="103">
        <f t="shared" si="303"/>
        <v>5.873275E-2</v>
      </c>
      <c r="AF249" s="101">
        <f t="shared" si="304"/>
        <v>1.8149999999999999</v>
      </c>
      <c r="AG249" s="97">
        <f t="shared" si="305"/>
        <v>2.0987987635788237</v>
      </c>
      <c r="AH249" s="102">
        <f t="shared" si="306"/>
        <v>0.22827814563166668</v>
      </c>
      <c r="AI249" s="97">
        <f t="shared" si="307"/>
        <v>2.5409999999999999</v>
      </c>
      <c r="AJ249" s="103">
        <f t="shared" si="308"/>
        <v>2.7692781456316666</v>
      </c>
      <c r="AK249" s="101">
        <f t="shared" si="309"/>
        <v>0.60499999999999998</v>
      </c>
      <c r="AL249" s="102">
        <f t="shared" si="310"/>
        <v>1.2117420311270877</v>
      </c>
      <c r="AM249" s="102">
        <f t="shared" si="311"/>
        <v>0.20327999999999999</v>
      </c>
      <c r="AN249" s="102">
        <f t="shared" si="312"/>
        <v>0.75525000000000009</v>
      </c>
      <c r="AO249" s="103">
        <f t="shared" si="313"/>
        <v>0.9585300000000001</v>
      </c>
      <c r="AP249" s="99">
        <f t="shared" si="314"/>
        <v>0</v>
      </c>
      <c r="AQ249" s="102">
        <f t="shared" si="290"/>
        <v>8.7499999999999994E-2</v>
      </c>
      <c r="AR249" s="103">
        <f t="shared" si="315"/>
        <v>1.155E-2</v>
      </c>
      <c r="AS249" s="99">
        <f t="shared" si="316"/>
        <v>2.8683281456316667</v>
      </c>
      <c r="AT249" s="215">
        <f t="shared" si="317"/>
        <v>197.09968873790001</v>
      </c>
      <c r="AU249" s="216">
        <f t="shared" si="318"/>
        <v>9.5254640640515212E-2</v>
      </c>
      <c r="AV249" s="102">
        <f t="shared" si="319"/>
        <v>29.04</v>
      </c>
      <c r="AW249" s="103">
        <f t="shared" si="320"/>
        <v>91.010722553245557</v>
      </c>
      <c r="AX249" s="32"/>
      <c r="AY249" s="101">
        <f t="shared" si="291"/>
        <v>60</v>
      </c>
      <c r="AZ249" s="102">
        <f t="shared" si="321"/>
        <v>0.48399999999999999</v>
      </c>
      <c r="BA249" s="102">
        <f t="shared" si="292"/>
        <v>15</v>
      </c>
      <c r="BB249" s="103">
        <f t="shared" si="322"/>
        <v>2.42</v>
      </c>
      <c r="BC249" s="101">
        <f t="shared" si="323"/>
        <v>2</v>
      </c>
      <c r="BD249" s="102">
        <f t="shared" si="324"/>
        <v>0.75</v>
      </c>
      <c r="BE249" s="100">
        <f t="shared" si="325"/>
        <v>0.25</v>
      </c>
      <c r="BF249" s="101">
        <f t="shared" si="326"/>
        <v>0.45000000000000007</v>
      </c>
      <c r="BG249" s="102">
        <f t="shared" si="327"/>
        <v>2.645</v>
      </c>
      <c r="BH249" s="102">
        <f t="shared" si="328"/>
        <v>2.4234840622541753</v>
      </c>
      <c r="BI249" s="102">
        <v>0</v>
      </c>
      <c r="BJ249" s="102">
        <f t="shared" si="329"/>
        <v>5.873275E-2</v>
      </c>
      <c r="BK249" s="103">
        <f t="shared" si="330"/>
        <v>5.873275E-2</v>
      </c>
      <c r="BL249" s="101">
        <f t="shared" si="331"/>
        <v>1.8149999999999999</v>
      </c>
      <c r="BM249" s="97">
        <f t="shared" si="332"/>
        <v>2.0987987635788237</v>
      </c>
      <c r="BN249" s="97">
        <f t="shared" si="333"/>
        <v>0.41959252463094138</v>
      </c>
      <c r="BO249" s="97">
        <f t="shared" si="334"/>
        <v>2.5409999999999999</v>
      </c>
      <c r="BP249" s="103">
        <f t="shared" si="335"/>
        <v>2.9605925246309415</v>
      </c>
      <c r="BQ249" s="101">
        <f t="shared" si="336"/>
        <v>0.60499999999999998</v>
      </c>
      <c r="BR249" s="102">
        <f t="shared" si="337"/>
        <v>1.2117420311270877</v>
      </c>
      <c r="BS249" s="102">
        <f t="shared" si="338"/>
        <v>0.20327999999999999</v>
      </c>
      <c r="BT249" s="102">
        <f t="shared" si="339"/>
        <v>0.75525000000000009</v>
      </c>
      <c r="BU249" s="103">
        <f t="shared" si="340"/>
        <v>0.9585300000000001</v>
      </c>
      <c r="BV249" s="99">
        <f t="shared" si="341"/>
        <v>0</v>
      </c>
      <c r="BW249" s="102">
        <f t="shared" si="293"/>
        <v>8.7499999999999994E-2</v>
      </c>
      <c r="BX249" s="103">
        <f t="shared" si="342"/>
        <v>1.155E-2</v>
      </c>
      <c r="BY249" s="101">
        <f t="shared" si="343"/>
        <v>4.0769052746309411</v>
      </c>
      <c r="BZ249" s="102">
        <f t="shared" si="344"/>
        <v>29.04</v>
      </c>
      <c r="CA249" s="103">
        <f t="shared" si="345"/>
        <v>87.689353093768602</v>
      </c>
      <c r="CB249" s="51">
        <f t="shared" si="346"/>
        <v>3.0596425246309416</v>
      </c>
      <c r="CC249" s="32">
        <f t="shared" si="347"/>
        <v>132.08748836208295</v>
      </c>
    </row>
    <row r="250" spans="17:81" ht="15" thickBot="1" x14ac:dyDescent="0.35">
      <c r="Q250" s="32">
        <v>243</v>
      </c>
      <c r="S250" s="101">
        <f t="shared" si="288"/>
        <v>60</v>
      </c>
      <c r="T250" s="97">
        <f t="shared" si="294"/>
        <v>0.48599999999999999</v>
      </c>
      <c r="U250" s="102">
        <f t="shared" si="289"/>
        <v>15</v>
      </c>
      <c r="V250" s="103">
        <f t="shared" si="295"/>
        <v>2.4300000000000002</v>
      </c>
      <c r="W250" s="101">
        <f t="shared" si="296"/>
        <v>2</v>
      </c>
      <c r="X250" s="102">
        <f t="shared" si="297"/>
        <v>0.75</v>
      </c>
      <c r="Y250" s="100">
        <f t="shared" si="298"/>
        <v>0.25</v>
      </c>
      <c r="Z250" s="101">
        <f t="shared" si="299"/>
        <v>0.45000000000000007</v>
      </c>
      <c r="AA250" s="102">
        <f t="shared" si="300"/>
        <v>2.6550000000000002</v>
      </c>
      <c r="AB250" s="102">
        <f t="shared" si="301"/>
        <v>2.4334697450348548</v>
      </c>
      <c r="AC250" s="102">
        <v>0</v>
      </c>
      <c r="AD250" s="102">
        <f t="shared" si="302"/>
        <v>5.9217750000000013E-2</v>
      </c>
      <c r="AE250" s="103">
        <f t="shared" si="303"/>
        <v>5.9217750000000013E-2</v>
      </c>
      <c r="AF250" s="101">
        <f t="shared" si="304"/>
        <v>1.8225000000000002</v>
      </c>
      <c r="AG250" s="97">
        <f t="shared" si="305"/>
        <v>2.107446618541025</v>
      </c>
      <c r="AH250" s="102">
        <f t="shared" si="306"/>
        <v>0.23016320806500007</v>
      </c>
      <c r="AI250" s="97">
        <f t="shared" si="307"/>
        <v>2.5514999999999999</v>
      </c>
      <c r="AJ250" s="103">
        <f t="shared" si="308"/>
        <v>2.7816632080649999</v>
      </c>
      <c r="AK250" s="101">
        <f t="shared" si="309"/>
        <v>0.60750000000000004</v>
      </c>
      <c r="AL250" s="102">
        <f t="shared" si="310"/>
        <v>1.2167348725174274</v>
      </c>
      <c r="AM250" s="102">
        <f t="shared" si="311"/>
        <v>0.20412</v>
      </c>
      <c r="AN250" s="102">
        <f t="shared" si="312"/>
        <v>0.75525000000000009</v>
      </c>
      <c r="AO250" s="103">
        <f t="shared" si="313"/>
        <v>0.95937000000000006</v>
      </c>
      <c r="AP250" s="99">
        <f t="shared" si="314"/>
        <v>0</v>
      </c>
      <c r="AQ250" s="102">
        <f t="shared" si="290"/>
        <v>8.7499999999999994E-2</v>
      </c>
      <c r="AR250" s="103">
        <f t="shared" si="315"/>
        <v>1.155E-2</v>
      </c>
      <c r="AS250" s="99">
        <f t="shared" si="316"/>
        <v>2.880713208065</v>
      </c>
      <c r="AT250" s="215">
        <f t="shared" si="317"/>
        <v>197.84279248389998</v>
      </c>
      <c r="AU250" s="216">
        <f t="shared" si="318"/>
        <v>9.5436038540012105E-2</v>
      </c>
      <c r="AV250" s="102">
        <f t="shared" si="319"/>
        <v>29.16</v>
      </c>
      <c r="AW250" s="103">
        <f t="shared" si="320"/>
        <v>91.009210096671964</v>
      </c>
      <c r="AX250" s="32"/>
      <c r="AY250" s="101">
        <f t="shared" si="291"/>
        <v>60</v>
      </c>
      <c r="AZ250" s="102">
        <f t="shared" si="321"/>
        <v>0.48599999999999999</v>
      </c>
      <c r="BA250" s="102">
        <f t="shared" si="292"/>
        <v>15</v>
      </c>
      <c r="BB250" s="103">
        <f t="shared" si="322"/>
        <v>2.4300000000000002</v>
      </c>
      <c r="BC250" s="101">
        <f t="shared" si="323"/>
        <v>2</v>
      </c>
      <c r="BD250" s="102">
        <f t="shared" si="324"/>
        <v>0.75</v>
      </c>
      <c r="BE250" s="100">
        <f t="shared" si="325"/>
        <v>0.25</v>
      </c>
      <c r="BF250" s="101">
        <f t="shared" si="326"/>
        <v>0.45000000000000007</v>
      </c>
      <c r="BG250" s="102">
        <f t="shared" si="327"/>
        <v>2.6550000000000002</v>
      </c>
      <c r="BH250" s="102">
        <f t="shared" si="328"/>
        <v>2.4334697450348548</v>
      </c>
      <c r="BI250" s="102">
        <v>0</v>
      </c>
      <c r="BJ250" s="102">
        <f t="shared" si="329"/>
        <v>5.9217750000000013E-2</v>
      </c>
      <c r="BK250" s="103">
        <f t="shared" si="330"/>
        <v>5.9217750000000013E-2</v>
      </c>
      <c r="BL250" s="101">
        <f t="shared" si="331"/>
        <v>1.8225000000000002</v>
      </c>
      <c r="BM250" s="97">
        <f t="shared" si="332"/>
        <v>2.107446618541025</v>
      </c>
      <c r="BN250" s="97">
        <f t="shared" si="333"/>
        <v>0.42386306034396015</v>
      </c>
      <c r="BO250" s="97">
        <f t="shared" si="334"/>
        <v>2.5514999999999999</v>
      </c>
      <c r="BP250" s="103">
        <f t="shared" si="335"/>
        <v>2.9753630603439598</v>
      </c>
      <c r="BQ250" s="101">
        <f t="shared" si="336"/>
        <v>0.60750000000000004</v>
      </c>
      <c r="BR250" s="102">
        <f t="shared" si="337"/>
        <v>1.2167348725174274</v>
      </c>
      <c r="BS250" s="102">
        <f t="shared" si="338"/>
        <v>0.20412</v>
      </c>
      <c r="BT250" s="102">
        <f t="shared" si="339"/>
        <v>0.75525000000000009</v>
      </c>
      <c r="BU250" s="103">
        <f t="shared" si="340"/>
        <v>0.95937000000000006</v>
      </c>
      <c r="BV250" s="99">
        <f t="shared" si="341"/>
        <v>0</v>
      </c>
      <c r="BW250" s="102">
        <f t="shared" si="293"/>
        <v>8.7499999999999994E-2</v>
      </c>
      <c r="BX250" s="103">
        <f t="shared" si="342"/>
        <v>1.155E-2</v>
      </c>
      <c r="BY250" s="101">
        <f t="shared" si="343"/>
        <v>4.0930008103439599</v>
      </c>
      <c r="BZ250" s="102">
        <f t="shared" si="344"/>
        <v>29.16</v>
      </c>
      <c r="CA250" s="103">
        <f t="shared" si="345"/>
        <v>87.691333983094964</v>
      </c>
      <c r="CB250" s="51">
        <f t="shared" si="346"/>
        <v>3.0744130603439599</v>
      </c>
      <c r="CC250" s="32">
        <f t="shared" si="347"/>
        <v>132.6044571120386</v>
      </c>
    </row>
    <row r="251" spans="17:81" ht="15" thickBot="1" x14ac:dyDescent="0.35">
      <c r="Q251" s="32">
        <v>244</v>
      </c>
      <c r="S251" s="101">
        <f t="shared" si="288"/>
        <v>60</v>
      </c>
      <c r="T251" s="97">
        <f t="shared" si="294"/>
        <v>0.48799999999999999</v>
      </c>
      <c r="U251" s="102">
        <f t="shared" si="289"/>
        <v>15</v>
      </c>
      <c r="V251" s="103">
        <f t="shared" si="295"/>
        <v>2.44</v>
      </c>
      <c r="W251" s="101">
        <f t="shared" si="296"/>
        <v>2</v>
      </c>
      <c r="X251" s="102">
        <f t="shared" si="297"/>
        <v>0.75</v>
      </c>
      <c r="Y251" s="100">
        <f t="shared" si="298"/>
        <v>0.25</v>
      </c>
      <c r="Z251" s="101">
        <f t="shared" si="299"/>
        <v>0.45000000000000007</v>
      </c>
      <c r="AA251" s="102">
        <f t="shared" si="300"/>
        <v>2.665</v>
      </c>
      <c r="AB251" s="102">
        <f t="shared" si="301"/>
        <v>2.4434555449199395</v>
      </c>
      <c r="AC251" s="102">
        <v>0</v>
      </c>
      <c r="AD251" s="102">
        <f t="shared" si="302"/>
        <v>5.9704749999999987E-2</v>
      </c>
      <c r="AE251" s="103">
        <f t="shared" si="303"/>
        <v>5.9704749999999987E-2</v>
      </c>
      <c r="AF251" s="101">
        <f t="shared" si="304"/>
        <v>1.83</v>
      </c>
      <c r="AG251" s="97">
        <f t="shared" si="305"/>
        <v>2.1160945749186162</v>
      </c>
      <c r="AH251" s="102">
        <f t="shared" si="306"/>
        <v>0.23205604395166665</v>
      </c>
      <c r="AI251" s="97">
        <f t="shared" si="307"/>
        <v>2.5619999999999998</v>
      </c>
      <c r="AJ251" s="103">
        <f t="shared" si="308"/>
        <v>2.7940560439516666</v>
      </c>
      <c r="AK251" s="101">
        <f t="shared" si="309"/>
        <v>0.61</v>
      </c>
      <c r="AL251" s="102">
        <f t="shared" si="310"/>
        <v>1.2217277724599698</v>
      </c>
      <c r="AM251" s="102">
        <f t="shared" si="311"/>
        <v>0.20495999999999998</v>
      </c>
      <c r="AN251" s="102">
        <f t="shared" si="312"/>
        <v>0.75525000000000009</v>
      </c>
      <c r="AO251" s="103">
        <f t="shared" si="313"/>
        <v>0.96021000000000001</v>
      </c>
      <c r="AP251" s="99">
        <f t="shared" si="314"/>
        <v>0</v>
      </c>
      <c r="AQ251" s="102">
        <f t="shared" si="290"/>
        <v>8.7499999999999994E-2</v>
      </c>
      <c r="AR251" s="103">
        <f t="shared" si="315"/>
        <v>1.155E-2</v>
      </c>
      <c r="AS251" s="99">
        <f t="shared" si="316"/>
        <v>2.8931060439516667</v>
      </c>
      <c r="AT251" s="215">
        <f t="shared" si="317"/>
        <v>198.5863626371</v>
      </c>
      <c r="AU251" s="216">
        <f t="shared" si="318"/>
        <v>9.5617550293445083E-2</v>
      </c>
      <c r="AV251" s="102">
        <f t="shared" si="319"/>
        <v>29.28</v>
      </c>
      <c r="AW251" s="103">
        <f t="shared" si="320"/>
        <v>91.007688098253865</v>
      </c>
      <c r="AX251" s="32"/>
      <c r="AY251" s="101">
        <f t="shared" si="291"/>
        <v>60</v>
      </c>
      <c r="AZ251" s="102">
        <f t="shared" si="321"/>
        <v>0.48799999999999999</v>
      </c>
      <c r="BA251" s="102">
        <f t="shared" si="292"/>
        <v>15</v>
      </c>
      <c r="BB251" s="103">
        <f t="shared" si="322"/>
        <v>2.44</v>
      </c>
      <c r="BC251" s="101">
        <f t="shared" si="323"/>
        <v>2</v>
      </c>
      <c r="BD251" s="102">
        <f t="shared" si="324"/>
        <v>0.75</v>
      </c>
      <c r="BE251" s="100">
        <f t="shared" si="325"/>
        <v>0.25</v>
      </c>
      <c r="BF251" s="101">
        <f t="shared" si="326"/>
        <v>0.45000000000000007</v>
      </c>
      <c r="BG251" s="102">
        <f t="shared" si="327"/>
        <v>2.665</v>
      </c>
      <c r="BH251" s="102">
        <f t="shared" si="328"/>
        <v>2.4434555449199395</v>
      </c>
      <c r="BI251" s="102">
        <v>0</v>
      </c>
      <c r="BJ251" s="102">
        <f t="shared" si="329"/>
        <v>5.9704749999999987E-2</v>
      </c>
      <c r="BK251" s="103">
        <f t="shared" si="330"/>
        <v>5.9704749999999987E-2</v>
      </c>
      <c r="BL251" s="101">
        <f t="shared" si="331"/>
        <v>1.83</v>
      </c>
      <c r="BM251" s="97">
        <f t="shared" si="332"/>
        <v>2.1160945749186162</v>
      </c>
      <c r="BN251" s="97">
        <f t="shared" si="333"/>
        <v>0.42816164519119226</v>
      </c>
      <c r="BO251" s="97">
        <f t="shared" si="334"/>
        <v>2.5619999999999998</v>
      </c>
      <c r="BP251" s="103">
        <f t="shared" si="335"/>
        <v>2.9901616451911921</v>
      </c>
      <c r="BQ251" s="101">
        <f t="shared" si="336"/>
        <v>0.61</v>
      </c>
      <c r="BR251" s="102">
        <f t="shared" si="337"/>
        <v>1.2217277724599698</v>
      </c>
      <c r="BS251" s="102">
        <f t="shared" si="338"/>
        <v>0.20495999999999998</v>
      </c>
      <c r="BT251" s="102">
        <f t="shared" si="339"/>
        <v>0.75525000000000009</v>
      </c>
      <c r="BU251" s="103">
        <f t="shared" si="340"/>
        <v>0.96021000000000001</v>
      </c>
      <c r="BV251" s="99">
        <f t="shared" si="341"/>
        <v>0</v>
      </c>
      <c r="BW251" s="102">
        <f t="shared" si="293"/>
        <v>8.7499999999999994E-2</v>
      </c>
      <c r="BX251" s="103">
        <f t="shared" si="342"/>
        <v>1.155E-2</v>
      </c>
      <c r="BY251" s="101">
        <f t="shared" si="343"/>
        <v>4.1091263951911925</v>
      </c>
      <c r="BZ251" s="102">
        <f t="shared" si="344"/>
        <v>29.28</v>
      </c>
      <c r="CA251" s="103">
        <f t="shared" si="345"/>
        <v>87.693219802890681</v>
      </c>
      <c r="CB251" s="51">
        <f t="shared" si="346"/>
        <v>3.0892116451911922</v>
      </c>
      <c r="CC251" s="32">
        <f t="shared" si="347"/>
        <v>133.12240758169173</v>
      </c>
    </row>
    <row r="252" spans="17:81" ht="15" thickBot="1" x14ac:dyDescent="0.35">
      <c r="Q252" s="32">
        <v>245</v>
      </c>
      <c r="S252" s="101">
        <f t="shared" si="288"/>
        <v>60</v>
      </c>
      <c r="T252" s="97">
        <f t="shared" si="294"/>
        <v>0.49</v>
      </c>
      <c r="U252" s="102">
        <f t="shared" si="289"/>
        <v>15</v>
      </c>
      <c r="V252" s="103">
        <f t="shared" si="295"/>
        <v>2.4499999999999997</v>
      </c>
      <c r="W252" s="101">
        <f t="shared" si="296"/>
        <v>2</v>
      </c>
      <c r="X252" s="102">
        <f t="shared" si="297"/>
        <v>0.75</v>
      </c>
      <c r="Y252" s="100">
        <f t="shared" si="298"/>
        <v>0.25</v>
      </c>
      <c r="Z252" s="101">
        <f t="shared" si="299"/>
        <v>0.45000000000000007</v>
      </c>
      <c r="AA252" s="102">
        <f t="shared" si="300"/>
        <v>2.6749999999999998</v>
      </c>
      <c r="AB252" s="102">
        <f t="shared" si="301"/>
        <v>2.453441460479544</v>
      </c>
      <c r="AC252" s="102">
        <v>0</v>
      </c>
      <c r="AD252" s="102">
        <f t="shared" si="302"/>
        <v>6.0193749999999983E-2</v>
      </c>
      <c r="AE252" s="103">
        <f t="shared" si="303"/>
        <v>6.0193749999999983E-2</v>
      </c>
      <c r="AF252" s="101">
        <f t="shared" si="304"/>
        <v>1.8374999999999999</v>
      </c>
      <c r="AG252" s="97">
        <f t="shared" si="305"/>
        <v>2.1247426314732802</v>
      </c>
      <c r="AH252" s="102">
        <f t="shared" si="306"/>
        <v>0.23395665329166671</v>
      </c>
      <c r="AI252" s="97">
        <f t="shared" si="307"/>
        <v>2.5724999999999993</v>
      </c>
      <c r="AJ252" s="103">
        <f t="shared" si="308"/>
        <v>2.8064566532916659</v>
      </c>
      <c r="AK252" s="101">
        <f t="shared" si="309"/>
        <v>0.61249999999999993</v>
      </c>
      <c r="AL252" s="102">
        <f t="shared" si="310"/>
        <v>1.226720730239772</v>
      </c>
      <c r="AM252" s="102">
        <f t="shared" si="311"/>
        <v>0.20579999999999998</v>
      </c>
      <c r="AN252" s="102">
        <f t="shared" si="312"/>
        <v>0.75525000000000009</v>
      </c>
      <c r="AO252" s="103">
        <f t="shared" si="313"/>
        <v>0.96105000000000007</v>
      </c>
      <c r="AP252" s="99">
        <f t="shared" si="314"/>
        <v>0</v>
      </c>
      <c r="AQ252" s="102">
        <f t="shared" si="290"/>
        <v>8.7499999999999994E-2</v>
      </c>
      <c r="AR252" s="103">
        <f t="shared" si="315"/>
        <v>1.155E-2</v>
      </c>
      <c r="AS252" s="99">
        <f t="shared" si="316"/>
        <v>2.905506653291666</v>
      </c>
      <c r="AT252" s="215">
        <f t="shared" si="317"/>
        <v>199.33039919749996</v>
      </c>
      <c r="AU252" s="216">
        <f t="shared" si="318"/>
        <v>9.5799175900814118E-2</v>
      </c>
      <c r="AV252" s="102">
        <f t="shared" si="319"/>
        <v>29.4</v>
      </c>
      <c r="AW252" s="103">
        <f t="shared" si="320"/>
        <v>91.00615667640173</v>
      </c>
      <c r="AX252" s="32"/>
      <c r="AY252" s="101">
        <f t="shared" si="291"/>
        <v>60</v>
      </c>
      <c r="AZ252" s="102">
        <f t="shared" si="321"/>
        <v>0.49</v>
      </c>
      <c r="BA252" s="102">
        <f t="shared" si="292"/>
        <v>15</v>
      </c>
      <c r="BB252" s="103">
        <f t="shared" si="322"/>
        <v>2.4499999999999997</v>
      </c>
      <c r="BC252" s="101">
        <f t="shared" si="323"/>
        <v>2</v>
      </c>
      <c r="BD252" s="102">
        <f t="shared" si="324"/>
        <v>0.75</v>
      </c>
      <c r="BE252" s="100">
        <f t="shared" si="325"/>
        <v>0.25</v>
      </c>
      <c r="BF252" s="101">
        <f t="shared" si="326"/>
        <v>0.45000000000000007</v>
      </c>
      <c r="BG252" s="102">
        <f t="shared" si="327"/>
        <v>2.6749999999999998</v>
      </c>
      <c r="BH252" s="102">
        <f t="shared" si="328"/>
        <v>2.453441460479544</v>
      </c>
      <c r="BI252" s="102">
        <v>0</v>
      </c>
      <c r="BJ252" s="102">
        <f t="shared" si="329"/>
        <v>6.0193749999999983E-2</v>
      </c>
      <c r="BK252" s="103">
        <f t="shared" si="330"/>
        <v>6.0193749999999983E-2</v>
      </c>
      <c r="BL252" s="101">
        <f t="shared" si="331"/>
        <v>1.8374999999999999</v>
      </c>
      <c r="BM252" s="97">
        <f t="shared" si="332"/>
        <v>2.1247426314732802</v>
      </c>
      <c r="BN252" s="97">
        <f t="shared" si="333"/>
        <v>0.43248837332847218</v>
      </c>
      <c r="BO252" s="97">
        <f t="shared" si="334"/>
        <v>2.5724999999999993</v>
      </c>
      <c r="BP252" s="103">
        <f t="shared" si="335"/>
        <v>3.0049883733284717</v>
      </c>
      <c r="BQ252" s="101">
        <f t="shared" si="336"/>
        <v>0.61249999999999993</v>
      </c>
      <c r="BR252" s="102">
        <f t="shared" si="337"/>
        <v>1.226720730239772</v>
      </c>
      <c r="BS252" s="102">
        <f t="shared" si="338"/>
        <v>0.20579999999999998</v>
      </c>
      <c r="BT252" s="102">
        <f t="shared" si="339"/>
        <v>0.75525000000000009</v>
      </c>
      <c r="BU252" s="103">
        <f t="shared" si="340"/>
        <v>0.96105000000000007</v>
      </c>
      <c r="BV252" s="99">
        <f t="shared" si="341"/>
        <v>0</v>
      </c>
      <c r="BW252" s="102">
        <f t="shared" si="293"/>
        <v>8.7499999999999994E-2</v>
      </c>
      <c r="BX252" s="103">
        <f t="shared" si="342"/>
        <v>1.155E-2</v>
      </c>
      <c r="BY252" s="101">
        <f t="shared" si="343"/>
        <v>4.1252821233284722</v>
      </c>
      <c r="BZ252" s="102">
        <f t="shared" si="344"/>
        <v>29.4</v>
      </c>
      <c r="CA252" s="103">
        <f t="shared" si="345"/>
        <v>87.69501145985015</v>
      </c>
      <c r="CB252" s="51">
        <f t="shared" si="346"/>
        <v>3.1040383733284718</v>
      </c>
      <c r="CC252" s="32">
        <f t="shared" si="347"/>
        <v>133.64134306649652</v>
      </c>
    </row>
    <row r="253" spans="17:81" ht="15" thickBot="1" x14ac:dyDescent="0.35">
      <c r="Q253" s="32">
        <v>246</v>
      </c>
      <c r="S253" s="101">
        <f t="shared" si="288"/>
        <v>60</v>
      </c>
      <c r="T253" s="97">
        <f t="shared" si="294"/>
        <v>0.49199999999999999</v>
      </c>
      <c r="U253" s="102">
        <f t="shared" si="289"/>
        <v>15</v>
      </c>
      <c r="V253" s="103">
        <f t="shared" si="295"/>
        <v>2.46</v>
      </c>
      <c r="W253" s="101">
        <f t="shared" si="296"/>
        <v>2</v>
      </c>
      <c r="X253" s="102">
        <f t="shared" si="297"/>
        <v>0.75</v>
      </c>
      <c r="Y253" s="100">
        <f t="shared" si="298"/>
        <v>0.25</v>
      </c>
      <c r="Z253" s="101">
        <f t="shared" si="299"/>
        <v>0.45000000000000007</v>
      </c>
      <c r="AA253" s="102">
        <f t="shared" si="300"/>
        <v>2.6850000000000001</v>
      </c>
      <c r="AB253" s="102">
        <f t="shared" si="301"/>
        <v>2.4634274903069504</v>
      </c>
      <c r="AC253" s="102">
        <v>0</v>
      </c>
      <c r="AD253" s="102">
        <f t="shared" si="302"/>
        <v>6.0684750000000003E-2</v>
      </c>
      <c r="AE253" s="103">
        <f t="shared" si="303"/>
        <v>6.0684750000000003E-2</v>
      </c>
      <c r="AF253" s="101">
        <f t="shared" si="304"/>
        <v>1.845</v>
      </c>
      <c r="AG253" s="97">
        <f t="shared" si="305"/>
        <v>2.1333907869867628</v>
      </c>
      <c r="AH253" s="102">
        <f t="shared" si="306"/>
        <v>0.23586503608500001</v>
      </c>
      <c r="AI253" s="97">
        <f t="shared" si="307"/>
        <v>2.5829999999999997</v>
      </c>
      <c r="AJ253" s="103">
        <f t="shared" si="308"/>
        <v>2.8188650360849996</v>
      </c>
      <c r="AK253" s="101">
        <f t="shared" si="309"/>
        <v>0.61499999999999999</v>
      </c>
      <c r="AL253" s="102">
        <f t="shared" si="310"/>
        <v>1.2317137451534752</v>
      </c>
      <c r="AM253" s="102">
        <f t="shared" si="311"/>
        <v>0.20663999999999999</v>
      </c>
      <c r="AN253" s="102">
        <f t="shared" si="312"/>
        <v>0.75525000000000009</v>
      </c>
      <c r="AO253" s="103">
        <f t="shared" si="313"/>
        <v>0.96189000000000013</v>
      </c>
      <c r="AP253" s="99">
        <f t="shared" si="314"/>
        <v>0</v>
      </c>
      <c r="AQ253" s="102">
        <f t="shared" si="290"/>
        <v>8.7499999999999994E-2</v>
      </c>
      <c r="AR253" s="103">
        <f t="shared" si="315"/>
        <v>1.155E-2</v>
      </c>
      <c r="AS253" s="99">
        <f t="shared" si="316"/>
        <v>2.9179150360849997</v>
      </c>
      <c r="AT253" s="215">
        <f t="shared" si="317"/>
        <v>200.07490216509999</v>
      </c>
      <c r="AU253" s="216">
        <f t="shared" si="318"/>
        <v>9.5980915362119237E-2</v>
      </c>
      <c r="AV253" s="102">
        <f t="shared" si="319"/>
        <v>29.52</v>
      </c>
      <c r="AW253" s="103">
        <f t="shared" si="320"/>
        <v>91.004615947606311</v>
      </c>
      <c r="AX253" s="32"/>
      <c r="AY253" s="101">
        <f t="shared" si="291"/>
        <v>60</v>
      </c>
      <c r="AZ253" s="102">
        <f t="shared" si="321"/>
        <v>0.49199999999999999</v>
      </c>
      <c r="BA253" s="102">
        <f t="shared" si="292"/>
        <v>15</v>
      </c>
      <c r="BB253" s="103">
        <f t="shared" si="322"/>
        <v>2.46</v>
      </c>
      <c r="BC253" s="101">
        <f t="shared" si="323"/>
        <v>2</v>
      </c>
      <c r="BD253" s="102">
        <f t="shared" si="324"/>
        <v>0.75</v>
      </c>
      <c r="BE253" s="100">
        <f t="shared" si="325"/>
        <v>0.25</v>
      </c>
      <c r="BF253" s="101">
        <f t="shared" si="326"/>
        <v>0.45000000000000007</v>
      </c>
      <c r="BG253" s="102">
        <f t="shared" si="327"/>
        <v>2.6850000000000001</v>
      </c>
      <c r="BH253" s="102">
        <f t="shared" si="328"/>
        <v>2.4634274903069504</v>
      </c>
      <c r="BI253" s="102">
        <v>0</v>
      </c>
      <c r="BJ253" s="102">
        <f t="shared" si="329"/>
        <v>6.0684750000000003E-2</v>
      </c>
      <c r="BK253" s="103">
        <f t="shared" si="330"/>
        <v>6.0684750000000003E-2</v>
      </c>
      <c r="BL253" s="101">
        <f t="shared" si="331"/>
        <v>1.845</v>
      </c>
      <c r="BM253" s="97">
        <f t="shared" si="332"/>
        <v>2.1333907869867628</v>
      </c>
      <c r="BN253" s="97">
        <f t="shared" si="333"/>
        <v>0.43684333901410227</v>
      </c>
      <c r="BO253" s="97">
        <f t="shared" si="334"/>
        <v>2.5829999999999997</v>
      </c>
      <c r="BP253" s="103">
        <f t="shared" si="335"/>
        <v>3.019843339014102</v>
      </c>
      <c r="BQ253" s="101">
        <f t="shared" si="336"/>
        <v>0.61499999999999999</v>
      </c>
      <c r="BR253" s="102">
        <f t="shared" si="337"/>
        <v>1.2317137451534752</v>
      </c>
      <c r="BS253" s="102">
        <f t="shared" si="338"/>
        <v>0.20663999999999999</v>
      </c>
      <c r="BT253" s="102">
        <f t="shared" si="339"/>
        <v>0.75525000000000009</v>
      </c>
      <c r="BU253" s="103">
        <f t="shared" si="340"/>
        <v>0.96189000000000013</v>
      </c>
      <c r="BV253" s="99">
        <f t="shared" si="341"/>
        <v>0</v>
      </c>
      <c r="BW253" s="102">
        <f t="shared" si="293"/>
        <v>8.7499999999999994E-2</v>
      </c>
      <c r="BX253" s="103">
        <f t="shared" si="342"/>
        <v>1.155E-2</v>
      </c>
      <c r="BY253" s="101">
        <f t="shared" si="343"/>
        <v>4.1414680890141025</v>
      </c>
      <c r="BZ253" s="102">
        <f t="shared" si="344"/>
        <v>29.52</v>
      </c>
      <c r="CA253" s="103">
        <f t="shared" si="345"/>
        <v>87.696709846218127</v>
      </c>
      <c r="CB253" s="51">
        <f t="shared" si="346"/>
        <v>3.118893339014102</v>
      </c>
      <c r="CC253" s="32">
        <f t="shared" si="347"/>
        <v>134.16126686549359</v>
      </c>
    </row>
    <row r="254" spans="17:81" ht="15" thickBot="1" x14ac:dyDescent="0.35">
      <c r="Q254" s="32">
        <v>247</v>
      </c>
      <c r="S254" s="101">
        <f t="shared" si="288"/>
        <v>60</v>
      </c>
      <c r="T254" s="97">
        <f t="shared" si="294"/>
        <v>0.49399999999999999</v>
      </c>
      <c r="U254" s="102">
        <f t="shared" si="289"/>
        <v>15</v>
      </c>
      <c r="V254" s="103">
        <f t="shared" si="295"/>
        <v>2.4700000000000002</v>
      </c>
      <c r="W254" s="101">
        <f t="shared" si="296"/>
        <v>2</v>
      </c>
      <c r="X254" s="102">
        <f t="shared" si="297"/>
        <v>0.75</v>
      </c>
      <c r="Y254" s="100">
        <f t="shared" si="298"/>
        <v>0.25</v>
      </c>
      <c r="Z254" s="101">
        <f t="shared" si="299"/>
        <v>0.45000000000000007</v>
      </c>
      <c r="AA254" s="102">
        <f t="shared" si="300"/>
        <v>2.6950000000000003</v>
      </c>
      <c r="AB254" s="102">
        <f t="shared" si="301"/>
        <v>2.4734136330181413</v>
      </c>
      <c r="AC254" s="102">
        <v>0</v>
      </c>
      <c r="AD254" s="102">
        <f t="shared" si="302"/>
        <v>6.117775000000001E-2</v>
      </c>
      <c r="AE254" s="103">
        <f t="shared" si="303"/>
        <v>6.117775000000001E-2</v>
      </c>
      <c r="AF254" s="101">
        <f t="shared" si="304"/>
        <v>1.8525</v>
      </c>
      <c r="AG254" s="97">
        <f t="shared" si="305"/>
        <v>2.1420390402604714</v>
      </c>
      <c r="AH254" s="102">
        <f t="shared" si="306"/>
        <v>0.23778119233166681</v>
      </c>
      <c r="AI254" s="97">
        <f t="shared" si="307"/>
        <v>2.5935000000000001</v>
      </c>
      <c r="AJ254" s="103">
        <f t="shared" si="308"/>
        <v>2.8312811923316668</v>
      </c>
      <c r="AK254" s="101">
        <f t="shared" si="309"/>
        <v>0.61750000000000005</v>
      </c>
      <c r="AL254" s="102">
        <f t="shared" si="310"/>
        <v>1.2367068165090707</v>
      </c>
      <c r="AM254" s="102">
        <f t="shared" si="311"/>
        <v>0.20748</v>
      </c>
      <c r="AN254" s="102">
        <f t="shared" si="312"/>
        <v>0.75525000000000009</v>
      </c>
      <c r="AO254" s="103">
        <f t="shared" si="313"/>
        <v>0.96273000000000009</v>
      </c>
      <c r="AP254" s="99">
        <f t="shared" si="314"/>
        <v>0</v>
      </c>
      <c r="AQ254" s="102">
        <f t="shared" si="290"/>
        <v>8.7499999999999994E-2</v>
      </c>
      <c r="AR254" s="103">
        <f t="shared" si="315"/>
        <v>1.155E-2</v>
      </c>
      <c r="AS254" s="99">
        <f t="shared" si="316"/>
        <v>2.9303311923316668</v>
      </c>
      <c r="AT254" s="215">
        <f t="shared" si="317"/>
        <v>200.81987153990002</v>
      </c>
      <c r="AU254" s="216">
        <f t="shared" si="318"/>
        <v>9.6162768677360413E-2</v>
      </c>
      <c r="AV254" s="102">
        <f t="shared" si="319"/>
        <v>29.64</v>
      </c>
      <c r="AW254" s="103">
        <f t="shared" si="320"/>
        <v>91.003066026477569</v>
      </c>
      <c r="AX254" s="32"/>
      <c r="AY254" s="101">
        <f t="shared" si="291"/>
        <v>60</v>
      </c>
      <c r="AZ254" s="102">
        <f t="shared" si="321"/>
        <v>0.49399999999999999</v>
      </c>
      <c r="BA254" s="102">
        <f t="shared" si="292"/>
        <v>15</v>
      </c>
      <c r="BB254" s="103">
        <f t="shared" si="322"/>
        <v>2.4700000000000002</v>
      </c>
      <c r="BC254" s="101">
        <f t="shared" si="323"/>
        <v>2</v>
      </c>
      <c r="BD254" s="102">
        <f t="shared" si="324"/>
        <v>0.75</v>
      </c>
      <c r="BE254" s="100">
        <f t="shared" si="325"/>
        <v>0.25</v>
      </c>
      <c r="BF254" s="101">
        <f t="shared" si="326"/>
        <v>0.45000000000000007</v>
      </c>
      <c r="BG254" s="102">
        <f t="shared" si="327"/>
        <v>2.6950000000000003</v>
      </c>
      <c r="BH254" s="102">
        <f t="shared" si="328"/>
        <v>2.4734136330181413</v>
      </c>
      <c r="BI254" s="102">
        <v>0</v>
      </c>
      <c r="BJ254" s="102">
        <f t="shared" si="329"/>
        <v>6.117775000000001E-2</v>
      </c>
      <c r="BK254" s="103">
        <f t="shared" si="330"/>
        <v>6.117775000000001E-2</v>
      </c>
      <c r="BL254" s="101">
        <f t="shared" si="331"/>
        <v>1.8525</v>
      </c>
      <c r="BM254" s="97">
        <f t="shared" si="332"/>
        <v>2.1420390402604714</v>
      </c>
      <c r="BN254" s="97">
        <f t="shared" si="333"/>
        <v>0.44122663660885408</v>
      </c>
      <c r="BO254" s="97">
        <f t="shared" si="334"/>
        <v>2.5935000000000001</v>
      </c>
      <c r="BP254" s="103">
        <f t="shared" si="335"/>
        <v>3.0347266366088541</v>
      </c>
      <c r="BQ254" s="101">
        <f t="shared" si="336"/>
        <v>0.61750000000000005</v>
      </c>
      <c r="BR254" s="102">
        <f t="shared" si="337"/>
        <v>1.2367068165090707</v>
      </c>
      <c r="BS254" s="102">
        <f t="shared" si="338"/>
        <v>0.20748</v>
      </c>
      <c r="BT254" s="102">
        <f t="shared" si="339"/>
        <v>0.75525000000000009</v>
      </c>
      <c r="BU254" s="103">
        <f t="shared" si="340"/>
        <v>0.96273000000000009</v>
      </c>
      <c r="BV254" s="99">
        <f t="shared" si="341"/>
        <v>0</v>
      </c>
      <c r="BW254" s="102">
        <f t="shared" si="293"/>
        <v>8.7499999999999994E-2</v>
      </c>
      <c r="BX254" s="103">
        <f t="shared" si="342"/>
        <v>1.155E-2</v>
      </c>
      <c r="BY254" s="101">
        <f t="shared" si="343"/>
        <v>4.157684386608854</v>
      </c>
      <c r="BZ254" s="102">
        <f t="shared" si="344"/>
        <v>29.64</v>
      </c>
      <c r="CA254" s="103">
        <f t="shared" si="345"/>
        <v>87.698315840075153</v>
      </c>
      <c r="CB254" s="51">
        <f t="shared" si="346"/>
        <v>3.1337766366088542</v>
      </c>
      <c r="CC254" s="32">
        <f t="shared" si="347"/>
        <v>134.68218228130991</v>
      </c>
    </row>
    <row r="255" spans="17:81" ht="15" thickBot="1" x14ac:dyDescent="0.35">
      <c r="Q255" s="32">
        <v>248</v>
      </c>
      <c r="S255" s="101">
        <f t="shared" si="288"/>
        <v>60</v>
      </c>
      <c r="T255" s="97">
        <f t="shared" si="294"/>
        <v>0.496</v>
      </c>
      <c r="U255" s="102">
        <f t="shared" si="289"/>
        <v>15</v>
      </c>
      <c r="V255" s="103">
        <f t="shared" si="295"/>
        <v>2.48</v>
      </c>
      <c r="W255" s="101">
        <f t="shared" si="296"/>
        <v>2</v>
      </c>
      <c r="X255" s="102">
        <f t="shared" si="297"/>
        <v>0.75</v>
      </c>
      <c r="Y255" s="100">
        <f t="shared" si="298"/>
        <v>0.25</v>
      </c>
      <c r="Z255" s="101">
        <f t="shared" si="299"/>
        <v>0.45000000000000007</v>
      </c>
      <c r="AA255" s="102">
        <f t="shared" si="300"/>
        <v>2.7050000000000001</v>
      </c>
      <c r="AB255" s="102">
        <f t="shared" si="301"/>
        <v>2.4833998872513465</v>
      </c>
      <c r="AC255" s="102">
        <v>0</v>
      </c>
      <c r="AD255" s="102">
        <f t="shared" si="302"/>
        <v>6.1672750000000012E-2</v>
      </c>
      <c r="AE255" s="103">
        <f t="shared" si="303"/>
        <v>6.1672750000000012E-2</v>
      </c>
      <c r="AF255" s="101">
        <f t="shared" si="304"/>
        <v>1.8599999999999999</v>
      </c>
      <c r="AG255" s="97">
        <f t="shared" si="305"/>
        <v>2.1506873901150767</v>
      </c>
      <c r="AH255" s="102">
        <f t="shared" si="306"/>
        <v>0.23970512203166675</v>
      </c>
      <c r="AI255" s="97">
        <f t="shared" si="307"/>
        <v>2.6040000000000001</v>
      </c>
      <c r="AJ255" s="103">
        <f t="shared" si="308"/>
        <v>2.8437051220316669</v>
      </c>
      <c r="AK255" s="101">
        <f t="shared" si="309"/>
        <v>0.62</v>
      </c>
      <c r="AL255" s="102">
        <f t="shared" si="310"/>
        <v>1.2416999436256733</v>
      </c>
      <c r="AM255" s="102">
        <f t="shared" si="311"/>
        <v>0.20831999999999998</v>
      </c>
      <c r="AN255" s="102">
        <f t="shared" si="312"/>
        <v>0.75525000000000009</v>
      </c>
      <c r="AO255" s="103">
        <f t="shared" si="313"/>
        <v>0.96357000000000004</v>
      </c>
      <c r="AP255" s="99">
        <f t="shared" si="314"/>
        <v>0</v>
      </c>
      <c r="AQ255" s="102">
        <f t="shared" si="290"/>
        <v>8.7499999999999994E-2</v>
      </c>
      <c r="AR255" s="103">
        <f t="shared" si="315"/>
        <v>1.155E-2</v>
      </c>
      <c r="AS255" s="99">
        <f t="shared" si="316"/>
        <v>2.942755122031667</v>
      </c>
      <c r="AT255" s="215">
        <f t="shared" si="317"/>
        <v>201.56530732190001</v>
      </c>
      <c r="AU255" s="216">
        <f t="shared" si="318"/>
        <v>9.634473584653766E-2</v>
      </c>
      <c r="AV255" s="102">
        <f t="shared" si="319"/>
        <v>29.759999999999998</v>
      </c>
      <c r="AW255" s="103">
        <f t="shared" si="320"/>
        <v>91.001507025782203</v>
      </c>
      <c r="AX255" s="32"/>
      <c r="AY255" s="101">
        <f t="shared" si="291"/>
        <v>60</v>
      </c>
      <c r="AZ255" s="102">
        <f t="shared" si="321"/>
        <v>0.496</v>
      </c>
      <c r="BA255" s="102">
        <f t="shared" si="292"/>
        <v>15</v>
      </c>
      <c r="BB255" s="103">
        <f t="shared" si="322"/>
        <v>2.48</v>
      </c>
      <c r="BC255" s="101">
        <f t="shared" si="323"/>
        <v>2</v>
      </c>
      <c r="BD255" s="102">
        <f t="shared" si="324"/>
        <v>0.75</v>
      </c>
      <c r="BE255" s="100">
        <f t="shared" si="325"/>
        <v>0.25</v>
      </c>
      <c r="BF255" s="101">
        <f t="shared" si="326"/>
        <v>0.45000000000000007</v>
      </c>
      <c r="BG255" s="102">
        <f t="shared" si="327"/>
        <v>2.7050000000000001</v>
      </c>
      <c r="BH255" s="102">
        <f t="shared" si="328"/>
        <v>2.4833998872513465</v>
      </c>
      <c r="BI255" s="102">
        <v>0</v>
      </c>
      <c r="BJ255" s="102">
        <f t="shared" si="329"/>
        <v>6.1672750000000012E-2</v>
      </c>
      <c r="BK255" s="103">
        <f t="shared" si="330"/>
        <v>6.1672750000000012E-2</v>
      </c>
      <c r="BL255" s="101">
        <f t="shared" si="331"/>
        <v>1.8599999999999999</v>
      </c>
      <c r="BM255" s="97">
        <f t="shared" si="332"/>
        <v>2.1506873901150767</v>
      </c>
      <c r="BN255" s="97">
        <f t="shared" si="333"/>
        <v>0.44563836057596667</v>
      </c>
      <c r="BO255" s="97">
        <f t="shared" si="334"/>
        <v>2.6040000000000001</v>
      </c>
      <c r="BP255" s="103">
        <f t="shared" si="335"/>
        <v>3.0496383605759667</v>
      </c>
      <c r="BQ255" s="101">
        <f t="shared" si="336"/>
        <v>0.62</v>
      </c>
      <c r="BR255" s="102">
        <f t="shared" si="337"/>
        <v>1.2416999436256733</v>
      </c>
      <c r="BS255" s="102">
        <f t="shared" si="338"/>
        <v>0.20831999999999998</v>
      </c>
      <c r="BT255" s="102">
        <f t="shared" si="339"/>
        <v>0.75525000000000009</v>
      </c>
      <c r="BU255" s="103">
        <f t="shared" si="340"/>
        <v>0.96357000000000004</v>
      </c>
      <c r="BV255" s="99">
        <f t="shared" si="341"/>
        <v>0</v>
      </c>
      <c r="BW255" s="102">
        <f t="shared" si="293"/>
        <v>8.7499999999999994E-2</v>
      </c>
      <c r="BX255" s="103">
        <f t="shared" si="342"/>
        <v>1.155E-2</v>
      </c>
      <c r="BY255" s="101">
        <f t="shared" si="343"/>
        <v>4.1739311105759667</v>
      </c>
      <c r="BZ255" s="102">
        <f t="shared" si="344"/>
        <v>29.759999999999998</v>
      </c>
      <c r="CA255" s="103">
        <f t="shared" si="345"/>
        <v>87.699830305616729</v>
      </c>
      <c r="CB255" s="51">
        <f t="shared" si="346"/>
        <v>3.1486883605759668</v>
      </c>
      <c r="CC255" s="32">
        <f t="shared" si="347"/>
        <v>135.20409262015883</v>
      </c>
    </row>
    <row r="256" spans="17:81" ht="15" thickBot="1" x14ac:dyDescent="0.35">
      <c r="Q256" s="32">
        <v>249</v>
      </c>
      <c r="S256" s="101">
        <f t="shared" si="288"/>
        <v>60</v>
      </c>
      <c r="T256" s="97">
        <f t="shared" si="294"/>
        <v>0.498</v>
      </c>
      <c r="U256" s="102">
        <f t="shared" si="289"/>
        <v>15</v>
      </c>
      <c r="V256" s="103">
        <f t="shared" si="295"/>
        <v>2.4899999999999998</v>
      </c>
      <c r="W256" s="101">
        <f t="shared" si="296"/>
        <v>2</v>
      </c>
      <c r="X256" s="102">
        <f t="shared" si="297"/>
        <v>0.75</v>
      </c>
      <c r="Y256" s="100">
        <f t="shared" si="298"/>
        <v>0.25</v>
      </c>
      <c r="Z256" s="101">
        <f t="shared" si="299"/>
        <v>0.45000000000000007</v>
      </c>
      <c r="AA256" s="102">
        <f t="shared" si="300"/>
        <v>2.7149999999999999</v>
      </c>
      <c r="AB256" s="102">
        <f t="shared" si="301"/>
        <v>2.4933862516665961</v>
      </c>
      <c r="AC256" s="102">
        <v>0</v>
      </c>
      <c r="AD256" s="102">
        <f t="shared" si="302"/>
        <v>6.2169749999999982E-2</v>
      </c>
      <c r="AE256" s="103">
        <f t="shared" si="303"/>
        <v>6.2169749999999982E-2</v>
      </c>
      <c r="AF256" s="101">
        <f t="shared" si="304"/>
        <v>1.8674999999999997</v>
      </c>
      <c r="AG256" s="97">
        <f t="shared" si="305"/>
        <v>2.1593358353901322</v>
      </c>
      <c r="AH256" s="102">
        <f t="shared" si="306"/>
        <v>0.24163682518500007</v>
      </c>
      <c r="AI256" s="97">
        <f t="shared" si="307"/>
        <v>2.6144999999999996</v>
      </c>
      <c r="AJ256" s="103">
        <f t="shared" si="308"/>
        <v>2.8561368251849997</v>
      </c>
      <c r="AK256" s="101">
        <f t="shared" si="309"/>
        <v>0.62249999999999994</v>
      </c>
      <c r="AL256" s="102">
        <f t="shared" si="310"/>
        <v>1.2466931258332981</v>
      </c>
      <c r="AM256" s="102">
        <f t="shared" si="311"/>
        <v>0.20915999999999998</v>
      </c>
      <c r="AN256" s="102">
        <f t="shared" si="312"/>
        <v>0.75525000000000009</v>
      </c>
      <c r="AO256" s="103">
        <f t="shared" si="313"/>
        <v>0.9644100000000001</v>
      </c>
      <c r="AP256" s="99">
        <f t="shared" si="314"/>
        <v>0</v>
      </c>
      <c r="AQ256" s="102">
        <f t="shared" si="290"/>
        <v>8.7499999999999994E-2</v>
      </c>
      <c r="AR256" s="103">
        <f t="shared" si="315"/>
        <v>1.155E-2</v>
      </c>
      <c r="AS256" s="99">
        <f t="shared" si="316"/>
        <v>2.9551868251849998</v>
      </c>
      <c r="AT256" s="215">
        <f t="shared" si="317"/>
        <v>202.31120951109997</v>
      </c>
      <c r="AU256" s="216">
        <f t="shared" si="318"/>
        <v>9.6526816869650978E-2</v>
      </c>
      <c r="AV256" s="102">
        <f t="shared" si="319"/>
        <v>29.88</v>
      </c>
      <c r="AW256" s="103">
        <f t="shared" si="320"/>
        <v>90.999939056480912</v>
      </c>
      <c r="AX256" s="32"/>
      <c r="AY256" s="101">
        <f t="shared" si="291"/>
        <v>60</v>
      </c>
      <c r="AZ256" s="102">
        <f t="shared" si="321"/>
        <v>0.498</v>
      </c>
      <c r="BA256" s="102">
        <f t="shared" si="292"/>
        <v>15</v>
      </c>
      <c r="BB256" s="103">
        <f t="shared" si="322"/>
        <v>2.4899999999999998</v>
      </c>
      <c r="BC256" s="101">
        <f t="shared" si="323"/>
        <v>2</v>
      </c>
      <c r="BD256" s="102">
        <f t="shared" si="324"/>
        <v>0.75</v>
      </c>
      <c r="BE256" s="100">
        <f t="shared" si="325"/>
        <v>0.25</v>
      </c>
      <c r="BF256" s="101">
        <f t="shared" si="326"/>
        <v>0.45000000000000007</v>
      </c>
      <c r="BG256" s="102">
        <f t="shared" si="327"/>
        <v>2.7149999999999999</v>
      </c>
      <c r="BH256" s="102">
        <f t="shared" si="328"/>
        <v>2.4933862516665961</v>
      </c>
      <c r="BI256" s="102">
        <v>0</v>
      </c>
      <c r="BJ256" s="102">
        <f t="shared" si="329"/>
        <v>6.2169749999999982E-2</v>
      </c>
      <c r="BK256" s="103">
        <f t="shared" si="330"/>
        <v>6.2169749999999982E-2</v>
      </c>
      <c r="BL256" s="101">
        <f t="shared" si="331"/>
        <v>1.8674999999999997</v>
      </c>
      <c r="BM256" s="97">
        <f t="shared" si="332"/>
        <v>2.1593358353901322</v>
      </c>
      <c r="BN256" s="97">
        <f t="shared" si="333"/>
        <v>0.45007860548114881</v>
      </c>
      <c r="BO256" s="97">
        <f t="shared" si="334"/>
        <v>2.6144999999999996</v>
      </c>
      <c r="BP256" s="103">
        <f t="shared" si="335"/>
        <v>3.0645786054811484</v>
      </c>
      <c r="BQ256" s="101">
        <f t="shared" si="336"/>
        <v>0.62249999999999994</v>
      </c>
      <c r="BR256" s="102">
        <f t="shared" si="337"/>
        <v>1.2466931258332981</v>
      </c>
      <c r="BS256" s="102">
        <f t="shared" si="338"/>
        <v>0.20915999999999998</v>
      </c>
      <c r="BT256" s="102">
        <f t="shared" si="339"/>
        <v>0.75525000000000009</v>
      </c>
      <c r="BU256" s="103">
        <f t="shared" si="340"/>
        <v>0.9644100000000001</v>
      </c>
      <c r="BV256" s="99">
        <f t="shared" si="341"/>
        <v>0</v>
      </c>
      <c r="BW256" s="102">
        <f t="shared" si="293"/>
        <v>8.7499999999999994E-2</v>
      </c>
      <c r="BX256" s="103">
        <f t="shared" si="342"/>
        <v>1.155E-2</v>
      </c>
      <c r="BY256" s="101">
        <f t="shared" si="343"/>
        <v>4.1902083554811487</v>
      </c>
      <c r="BZ256" s="102">
        <f t="shared" si="344"/>
        <v>29.88</v>
      </c>
      <c r="CA256" s="103">
        <f t="shared" si="345"/>
        <v>87.701254093425476</v>
      </c>
      <c r="CB256" s="51">
        <f t="shared" si="346"/>
        <v>3.1636286054811484</v>
      </c>
      <c r="CC256" s="32">
        <f t="shared" si="347"/>
        <v>135.7270011918402</v>
      </c>
    </row>
    <row r="257" spans="17:81" ht="15" thickBot="1" x14ac:dyDescent="0.35">
      <c r="Q257" s="32">
        <v>250</v>
      </c>
      <c r="S257" s="101">
        <f t="shared" si="288"/>
        <v>60</v>
      </c>
      <c r="T257" s="97">
        <f t="shared" si="294"/>
        <v>0.5</v>
      </c>
      <c r="U257" s="102">
        <f t="shared" si="289"/>
        <v>15</v>
      </c>
      <c r="V257" s="103">
        <f t="shared" si="295"/>
        <v>2.5</v>
      </c>
      <c r="W257" s="101">
        <f t="shared" si="296"/>
        <v>2</v>
      </c>
      <c r="X257" s="102">
        <f t="shared" si="297"/>
        <v>0.75</v>
      </c>
      <c r="Y257" s="100">
        <f t="shared" si="298"/>
        <v>0.25</v>
      </c>
      <c r="Z257" s="101">
        <f t="shared" si="299"/>
        <v>0.45000000000000007</v>
      </c>
      <c r="AA257" s="102">
        <f t="shared" si="300"/>
        <v>2.7250000000000001</v>
      </c>
      <c r="AB257" s="102">
        <f t="shared" si="301"/>
        <v>2.5033727249452888</v>
      </c>
      <c r="AC257" s="102">
        <v>0</v>
      </c>
      <c r="AD257" s="102">
        <f t="shared" si="302"/>
        <v>6.2668750000000009E-2</v>
      </c>
      <c r="AE257" s="103">
        <f t="shared" si="303"/>
        <v>6.2668750000000009E-2</v>
      </c>
      <c r="AF257" s="101">
        <f t="shared" si="304"/>
        <v>1.875</v>
      </c>
      <c r="AG257" s="97">
        <f t="shared" si="305"/>
        <v>2.167984374943694</v>
      </c>
      <c r="AH257" s="102">
        <f t="shared" si="306"/>
        <v>0.2435763017916667</v>
      </c>
      <c r="AI257" s="97">
        <f t="shared" si="307"/>
        <v>2.625</v>
      </c>
      <c r="AJ257" s="103">
        <f t="shared" si="308"/>
        <v>2.8685763017916668</v>
      </c>
      <c r="AK257" s="101">
        <f t="shared" si="309"/>
        <v>0.625</v>
      </c>
      <c r="AL257" s="102">
        <f t="shared" si="310"/>
        <v>1.2516863624726444</v>
      </c>
      <c r="AM257" s="102">
        <f t="shared" si="311"/>
        <v>0.21</v>
      </c>
      <c r="AN257" s="102">
        <f t="shared" si="312"/>
        <v>0.75525000000000009</v>
      </c>
      <c r="AO257" s="103">
        <f t="shared" si="313"/>
        <v>0.96525000000000005</v>
      </c>
      <c r="AP257" s="99">
        <f t="shared" si="314"/>
        <v>0</v>
      </c>
      <c r="AQ257" s="102">
        <f t="shared" si="290"/>
        <v>8.7499999999999994E-2</v>
      </c>
      <c r="AR257" s="103">
        <f t="shared" si="315"/>
        <v>1.155E-2</v>
      </c>
      <c r="AS257" s="99">
        <f t="shared" si="316"/>
        <v>2.9676263017916669</v>
      </c>
      <c r="AT257" s="215">
        <f t="shared" si="317"/>
        <v>203.05757810750001</v>
      </c>
      <c r="AU257" s="216">
        <f t="shared" si="318"/>
        <v>9.6709011746700366E-2</v>
      </c>
      <c r="AV257" s="102">
        <f t="shared" si="319"/>
        <v>30</v>
      </c>
      <c r="AW257" s="103">
        <f t="shared" si="320"/>
        <v>90.998362227764062</v>
      </c>
      <c r="AX257" s="32"/>
      <c r="AY257" s="101">
        <f t="shared" si="291"/>
        <v>60</v>
      </c>
      <c r="AZ257" s="102">
        <f t="shared" si="321"/>
        <v>0.5</v>
      </c>
      <c r="BA257" s="102">
        <f t="shared" si="292"/>
        <v>15</v>
      </c>
      <c r="BB257" s="103">
        <f t="shared" si="322"/>
        <v>2.5</v>
      </c>
      <c r="BC257" s="101">
        <f t="shared" si="323"/>
        <v>2</v>
      </c>
      <c r="BD257" s="102">
        <f t="shared" si="324"/>
        <v>0.75</v>
      </c>
      <c r="BE257" s="100">
        <f t="shared" si="325"/>
        <v>0.25</v>
      </c>
      <c r="BF257" s="101">
        <f t="shared" si="326"/>
        <v>0.45000000000000007</v>
      </c>
      <c r="BG257" s="102">
        <f t="shared" si="327"/>
        <v>2.7250000000000001</v>
      </c>
      <c r="BH257" s="102">
        <f t="shared" si="328"/>
        <v>2.5033727249452888</v>
      </c>
      <c r="BI257" s="102">
        <v>0</v>
      </c>
      <c r="BJ257" s="102">
        <f t="shared" si="329"/>
        <v>6.2668750000000009E-2</v>
      </c>
      <c r="BK257" s="103">
        <f t="shared" si="330"/>
        <v>6.2668750000000009E-2</v>
      </c>
      <c r="BL257" s="101">
        <f t="shared" si="331"/>
        <v>1.875</v>
      </c>
      <c r="BM257" s="97">
        <f t="shared" si="332"/>
        <v>2.167984374943694</v>
      </c>
      <c r="BN257" s="97">
        <f t="shared" si="333"/>
        <v>0.45454746599257706</v>
      </c>
      <c r="BO257" s="97">
        <f t="shared" si="334"/>
        <v>2.625</v>
      </c>
      <c r="BP257" s="103">
        <f t="shared" si="335"/>
        <v>3.0795474659925772</v>
      </c>
      <c r="BQ257" s="101">
        <f t="shared" si="336"/>
        <v>0.625</v>
      </c>
      <c r="BR257" s="102">
        <f t="shared" si="337"/>
        <v>1.2516863624726444</v>
      </c>
      <c r="BS257" s="102">
        <f t="shared" si="338"/>
        <v>0.21</v>
      </c>
      <c r="BT257" s="102">
        <f t="shared" si="339"/>
        <v>0.75525000000000009</v>
      </c>
      <c r="BU257" s="103">
        <f t="shared" si="340"/>
        <v>0.96525000000000005</v>
      </c>
      <c r="BV257" s="99">
        <f t="shared" si="341"/>
        <v>0</v>
      </c>
      <c r="BW257" s="102">
        <f t="shared" si="293"/>
        <v>8.7499999999999994E-2</v>
      </c>
      <c r="BX257" s="103">
        <f t="shared" si="342"/>
        <v>1.155E-2</v>
      </c>
      <c r="BY257" s="101">
        <f t="shared" si="343"/>
        <v>4.2065162159925773</v>
      </c>
      <c r="BZ257" s="102">
        <f t="shared" si="344"/>
        <v>30</v>
      </c>
      <c r="CA257" s="103">
        <f t="shared" si="345"/>
        <v>87.702588040737382</v>
      </c>
      <c r="CB257" s="51">
        <f t="shared" si="346"/>
        <v>3.1785974659925773</v>
      </c>
      <c r="CC257" s="32">
        <f t="shared" si="347"/>
        <v>136.25091130974022</v>
      </c>
    </row>
    <row r="258" spans="17:81" ht="15" thickBot="1" x14ac:dyDescent="0.35">
      <c r="Q258" s="32">
        <v>251</v>
      </c>
      <c r="S258" s="101">
        <f t="shared" si="288"/>
        <v>60</v>
      </c>
      <c r="T258" s="97">
        <f t="shared" si="294"/>
        <v>0.502</v>
      </c>
      <c r="U258" s="102">
        <f t="shared" si="289"/>
        <v>15</v>
      </c>
      <c r="V258" s="103">
        <f t="shared" si="295"/>
        <v>2.5100000000000002</v>
      </c>
      <c r="W258" s="101">
        <f t="shared" si="296"/>
        <v>2</v>
      </c>
      <c r="X258" s="102">
        <f t="shared" si="297"/>
        <v>0.75</v>
      </c>
      <c r="Y258" s="100">
        <f t="shared" si="298"/>
        <v>0.25</v>
      </c>
      <c r="Z258" s="101">
        <f t="shared" si="299"/>
        <v>0.45000000000000007</v>
      </c>
      <c r="AA258" s="102">
        <f t="shared" si="300"/>
        <v>2.7350000000000003</v>
      </c>
      <c r="AB258" s="102">
        <f t="shared" si="301"/>
        <v>2.5133593057897632</v>
      </c>
      <c r="AC258" s="102">
        <v>0</v>
      </c>
      <c r="AD258" s="102">
        <f t="shared" si="302"/>
        <v>6.3169749999999997E-2</v>
      </c>
      <c r="AE258" s="103">
        <f t="shared" si="303"/>
        <v>6.3169749999999997E-2</v>
      </c>
      <c r="AF258" s="101">
        <f t="shared" si="304"/>
        <v>1.8825000000000003</v>
      </c>
      <c r="AG258" s="97">
        <f t="shared" si="305"/>
        <v>2.1766330076519562</v>
      </c>
      <c r="AH258" s="102">
        <f t="shared" si="306"/>
        <v>0.2455235518516668</v>
      </c>
      <c r="AI258" s="97">
        <f t="shared" si="307"/>
        <v>2.6355000000000004</v>
      </c>
      <c r="AJ258" s="103">
        <f t="shared" si="308"/>
        <v>2.8810235518516674</v>
      </c>
      <c r="AK258" s="101">
        <f t="shared" si="309"/>
        <v>0.62750000000000006</v>
      </c>
      <c r="AL258" s="102">
        <f t="shared" si="310"/>
        <v>1.2566796528948816</v>
      </c>
      <c r="AM258" s="102">
        <f t="shared" si="311"/>
        <v>0.21084</v>
      </c>
      <c r="AN258" s="102">
        <f t="shared" si="312"/>
        <v>0.75525000000000009</v>
      </c>
      <c r="AO258" s="103">
        <f t="shared" si="313"/>
        <v>0.96609000000000012</v>
      </c>
      <c r="AP258" s="99">
        <f t="shared" si="314"/>
        <v>0</v>
      </c>
      <c r="AQ258" s="102">
        <f t="shared" si="290"/>
        <v>8.7499999999999994E-2</v>
      </c>
      <c r="AR258" s="103">
        <f t="shared" si="315"/>
        <v>1.155E-2</v>
      </c>
      <c r="AS258" s="99">
        <f t="shared" si="316"/>
        <v>2.9800735518516674</v>
      </c>
      <c r="AT258" s="215">
        <f t="shared" si="317"/>
        <v>203.80441311110005</v>
      </c>
      <c r="AU258" s="216">
        <f t="shared" si="318"/>
        <v>9.6891320477685824E-2</v>
      </c>
      <c r="AV258" s="102">
        <f t="shared" si="319"/>
        <v>30.12</v>
      </c>
      <c r="AW258" s="103">
        <f t="shared" si="320"/>
        <v>90.996776647087074</v>
      </c>
      <c r="AX258" s="32"/>
      <c r="AY258" s="101">
        <f t="shared" si="291"/>
        <v>60</v>
      </c>
      <c r="AZ258" s="102">
        <f t="shared" si="321"/>
        <v>0.502</v>
      </c>
      <c r="BA258" s="102">
        <f t="shared" si="292"/>
        <v>15</v>
      </c>
      <c r="BB258" s="103">
        <f t="shared" si="322"/>
        <v>2.5100000000000002</v>
      </c>
      <c r="BC258" s="101">
        <f t="shared" si="323"/>
        <v>2</v>
      </c>
      <c r="BD258" s="102">
        <f t="shared" si="324"/>
        <v>0.75</v>
      </c>
      <c r="BE258" s="100">
        <f t="shared" si="325"/>
        <v>0.25</v>
      </c>
      <c r="BF258" s="101">
        <f t="shared" si="326"/>
        <v>0.45000000000000007</v>
      </c>
      <c r="BG258" s="102">
        <f t="shared" si="327"/>
        <v>2.7350000000000003</v>
      </c>
      <c r="BH258" s="102">
        <f t="shared" si="328"/>
        <v>2.5133593057897632</v>
      </c>
      <c r="BI258" s="102">
        <v>0</v>
      </c>
      <c r="BJ258" s="102">
        <f t="shared" si="329"/>
        <v>6.3169749999999997E-2</v>
      </c>
      <c r="BK258" s="103">
        <f t="shared" si="330"/>
        <v>6.3169749999999997E-2</v>
      </c>
      <c r="BL258" s="101">
        <f t="shared" si="331"/>
        <v>1.8825000000000003</v>
      </c>
      <c r="BM258" s="97">
        <f t="shared" si="332"/>
        <v>2.1766330076519562</v>
      </c>
      <c r="BN258" s="97">
        <f t="shared" si="333"/>
        <v>0.45904503688089721</v>
      </c>
      <c r="BO258" s="97">
        <f t="shared" si="334"/>
        <v>2.6355000000000004</v>
      </c>
      <c r="BP258" s="103">
        <f t="shared" si="335"/>
        <v>3.0945450368808975</v>
      </c>
      <c r="BQ258" s="101">
        <f t="shared" si="336"/>
        <v>0.62750000000000006</v>
      </c>
      <c r="BR258" s="102">
        <f t="shared" si="337"/>
        <v>1.2566796528948816</v>
      </c>
      <c r="BS258" s="102">
        <f t="shared" si="338"/>
        <v>0.21084</v>
      </c>
      <c r="BT258" s="102">
        <f t="shared" si="339"/>
        <v>0.75525000000000009</v>
      </c>
      <c r="BU258" s="103">
        <f t="shared" si="340"/>
        <v>0.96609000000000012</v>
      </c>
      <c r="BV258" s="99">
        <f t="shared" si="341"/>
        <v>0</v>
      </c>
      <c r="BW258" s="102">
        <f t="shared" si="293"/>
        <v>8.7499999999999994E-2</v>
      </c>
      <c r="BX258" s="103">
        <f t="shared" si="342"/>
        <v>1.155E-2</v>
      </c>
      <c r="BY258" s="101">
        <f t="shared" si="343"/>
        <v>4.2228547868808981</v>
      </c>
      <c r="BZ258" s="102">
        <f t="shared" si="344"/>
        <v>30.12</v>
      </c>
      <c r="CA258" s="103">
        <f t="shared" si="345"/>
        <v>87.703832971701459</v>
      </c>
      <c r="CB258" s="51">
        <f t="shared" si="346"/>
        <v>3.1935950368808976</v>
      </c>
      <c r="CC258" s="32">
        <f t="shared" si="347"/>
        <v>136.77582629083142</v>
      </c>
    </row>
    <row r="259" spans="17:81" ht="15" thickBot="1" x14ac:dyDescent="0.35">
      <c r="Q259" s="32">
        <v>252</v>
      </c>
      <c r="S259" s="101">
        <f t="shared" si="288"/>
        <v>60</v>
      </c>
      <c r="T259" s="97">
        <f t="shared" si="294"/>
        <v>0.504</v>
      </c>
      <c r="U259" s="102">
        <f t="shared" si="289"/>
        <v>15</v>
      </c>
      <c r="V259" s="103">
        <f t="shared" si="295"/>
        <v>2.52</v>
      </c>
      <c r="W259" s="101">
        <f t="shared" si="296"/>
        <v>2</v>
      </c>
      <c r="X259" s="102">
        <f t="shared" si="297"/>
        <v>0.75</v>
      </c>
      <c r="Y259" s="100">
        <f t="shared" si="298"/>
        <v>0.25</v>
      </c>
      <c r="Z259" s="101">
        <f t="shared" si="299"/>
        <v>0.45000000000000007</v>
      </c>
      <c r="AA259" s="102">
        <f t="shared" si="300"/>
        <v>2.7450000000000001</v>
      </c>
      <c r="AB259" s="102">
        <f t="shared" si="301"/>
        <v>2.5233459929228887</v>
      </c>
      <c r="AC259" s="102">
        <v>0</v>
      </c>
      <c r="AD259" s="102">
        <f t="shared" si="302"/>
        <v>6.367275E-2</v>
      </c>
      <c r="AE259" s="103">
        <f t="shared" si="303"/>
        <v>6.367275E-2</v>
      </c>
      <c r="AF259" s="101">
        <f t="shared" si="304"/>
        <v>1.8900000000000001</v>
      </c>
      <c r="AG259" s="97">
        <f t="shared" si="305"/>
        <v>2.1852817324088902</v>
      </c>
      <c r="AH259" s="102">
        <f t="shared" si="306"/>
        <v>0.24747857536500009</v>
      </c>
      <c r="AI259" s="97">
        <f t="shared" si="307"/>
        <v>2.6459999999999999</v>
      </c>
      <c r="AJ259" s="103">
        <f t="shared" si="308"/>
        <v>2.8934785753650001</v>
      </c>
      <c r="AK259" s="101">
        <f t="shared" si="309"/>
        <v>0.63</v>
      </c>
      <c r="AL259" s="102">
        <f t="shared" si="310"/>
        <v>1.2616729964614446</v>
      </c>
      <c r="AM259" s="102">
        <f t="shared" si="311"/>
        <v>0.21168000000000001</v>
      </c>
      <c r="AN259" s="102">
        <f t="shared" si="312"/>
        <v>0.75525000000000009</v>
      </c>
      <c r="AO259" s="103">
        <f t="shared" si="313"/>
        <v>0.96693000000000007</v>
      </c>
      <c r="AP259" s="99">
        <f t="shared" si="314"/>
        <v>0</v>
      </c>
      <c r="AQ259" s="102">
        <f t="shared" si="290"/>
        <v>8.7499999999999994E-2</v>
      </c>
      <c r="AR259" s="103">
        <f t="shared" si="315"/>
        <v>1.155E-2</v>
      </c>
      <c r="AS259" s="99">
        <f t="shared" si="316"/>
        <v>2.9925285753650002</v>
      </c>
      <c r="AT259" s="215">
        <f t="shared" si="317"/>
        <v>204.55171452190001</v>
      </c>
      <c r="AU259" s="216">
        <f t="shared" si="318"/>
        <v>9.7073743062607354E-2</v>
      </c>
      <c r="AV259" s="102">
        <f t="shared" si="319"/>
        <v>30.240000000000002</v>
      </c>
      <c r="AW259" s="103">
        <f t="shared" si="320"/>
        <v>90.995182420204586</v>
      </c>
      <c r="AX259" s="32"/>
      <c r="AY259" s="101">
        <f t="shared" si="291"/>
        <v>60</v>
      </c>
      <c r="AZ259" s="102">
        <f t="shared" si="321"/>
        <v>0.504</v>
      </c>
      <c r="BA259" s="102">
        <f t="shared" si="292"/>
        <v>15</v>
      </c>
      <c r="BB259" s="103">
        <f t="shared" si="322"/>
        <v>2.52</v>
      </c>
      <c r="BC259" s="101">
        <f t="shared" si="323"/>
        <v>2</v>
      </c>
      <c r="BD259" s="102">
        <f t="shared" si="324"/>
        <v>0.75</v>
      </c>
      <c r="BE259" s="100">
        <f t="shared" si="325"/>
        <v>0.25</v>
      </c>
      <c r="BF259" s="101">
        <f t="shared" si="326"/>
        <v>0.45000000000000007</v>
      </c>
      <c r="BG259" s="102">
        <f t="shared" si="327"/>
        <v>2.7450000000000001</v>
      </c>
      <c r="BH259" s="102">
        <f t="shared" si="328"/>
        <v>2.5233459929228887</v>
      </c>
      <c r="BI259" s="102">
        <v>0</v>
      </c>
      <c r="BJ259" s="102">
        <f t="shared" si="329"/>
        <v>6.367275E-2</v>
      </c>
      <c r="BK259" s="103">
        <f t="shared" si="330"/>
        <v>6.367275E-2</v>
      </c>
      <c r="BL259" s="101">
        <f t="shared" si="331"/>
        <v>1.8900000000000001</v>
      </c>
      <c r="BM259" s="97">
        <f t="shared" si="332"/>
        <v>2.1852817324088902</v>
      </c>
      <c r="BN259" s="97">
        <f t="shared" si="333"/>
        <v>0.46357141301922244</v>
      </c>
      <c r="BO259" s="97">
        <f t="shared" si="334"/>
        <v>2.6459999999999999</v>
      </c>
      <c r="BP259" s="103">
        <f t="shared" si="335"/>
        <v>3.1095714130192222</v>
      </c>
      <c r="BQ259" s="101">
        <f t="shared" si="336"/>
        <v>0.63</v>
      </c>
      <c r="BR259" s="102">
        <f t="shared" si="337"/>
        <v>1.2616729964614446</v>
      </c>
      <c r="BS259" s="102">
        <f t="shared" si="338"/>
        <v>0.21168000000000001</v>
      </c>
      <c r="BT259" s="102">
        <f t="shared" si="339"/>
        <v>0.75525000000000009</v>
      </c>
      <c r="BU259" s="103">
        <f t="shared" si="340"/>
        <v>0.96693000000000007</v>
      </c>
      <c r="BV259" s="99">
        <f t="shared" si="341"/>
        <v>0</v>
      </c>
      <c r="BW259" s="102">
        <f t="shared" si="293"/>
        <v>8.7499999999999994E-2</v>
      </c>
      <c r="BX259" s="103">
        <f t="shared" si="342"/>
        <v>1.155E-2</v>
      </c>
      <c r="BY259" s="101">
        <f t="shared" si="343"/>
        <v>4.2392241630192231</v>
      </c>
      <c r="BZ259" s="102">
        <f t="shared" si="344"/>
        <v>30.240000000000002</v>
      </c>
      <c r="CA259" s="103">
        <f t="shared" si="345"/>
        <v>87.704989697633579</v>
      </c>
      <c r="CB259" s="51">
        <f t="shared" si="346"/>
        <v>3.2086214130192223</v>
      </c>
      <c r="CC259" s="32">
        <f t="shared" si="347"/>
        <v>137.30174945567279</v>
      </c>
    </row>
    <row r="260" spans="17:81" ht="15" thickBot="1" x14ac:dyDescent="0.35">
      <c r="Q260" s="32">
        <v>253</v>
      </c>
      <c r="S260" s="101">
        <f t="shared" si="288"/>
        <v>60</v>
      </c>
      <c r="T260" s="97">
        <f t="shared" si="294"/>
        <v>0.50600000000000001</v>
      </c>
      <c r="U260" s="102">
        <f t="shared" si="289"/>
        <v>15</v>
      </c>
      <c r="V260" s="103">
        <f t="shared" si="295"/>
        <v>2.5299999999999998</v>
      </c>
      <c r="W260" s="101">
        <f t="shared" si="296"/>
        <v>2</v>
      </c>
      <c r="X260" s="102">
        <f t="shared" si="297"/>
        <v>0.75</v>
      </c>
      <c r="Y260" s="100">
        <f t="shared" si="298"/>
        <v>0.25</v>
      </c>
      <c r="Z260" s="101">
        <f t="shared" si="299"/>
        <v>0.45000000000000007</v>
      </c>
      <c r="AA260" s="102">
        <f t="shared" si="300"/>
        <v>2.7549999999999999</v>
      </c>
      <c r="AB260" s="102">
        <f t="shared" si="301"/>
        <v>2.5333327850876599</v>
      </c>
      <c r="AC260" s="102">
        <v>0</v>
      </c>
      <c r="AD260" s="102">
        <f t="shared" si="302"/>
        <v>6.4177750000000006E-2</v>
      </c>
      <c r="AE260" s="103">
        <f t="shared" si="303"/>
        <v>6.4177750000000006E-2</v>
      </c>
      <c r="AF260" s="101">
        <f t="shared" si="304"/>
        <v>1.8975</v>
      </c>
      <c r="AG260" s="97">
        <f t="shared" si="305"/>
        <v>2.1939305481258975</v>
      </c>
      <c r="AH260" s="102">
        <f t="shared" si="306"/>
        <v>0.2494413723316668</v>
      </c>
      <c r="AI260" s="97">
        <f t="shared" si="307"/>
        <v>2.6564999999999994</v>
      </c>
      <c r="AJ260" s="103">
        <f t="shared" si="308"/>
        <v>2.9059413723316663</v>
      </c>
      <c r="AK260" s="101">
        <f t="shared" si="309"/>
        <v>0.63249999999999995</v>
      </c>
      <c r="AL260" s="102">
        <f t="shared" si="310"/>
        <v>1.26666639254383</v>
      </c>
      <c r="AM260" s="102">
        <f t="shared" si="311"/>
        <v>0.21251999999999999</v>
      </c>
      <c r="AN260" s="102">
        <f t="shared" si="312"/>
        <v>0.75525000000000009</v>
      </c>
      <c r="AO260" s="103">
        <f t="shared" si="313"/>
        <v>0.96777000000000002</v>
      </c>
      <c r="AP260" s="99">
        <f t="shared" si="314"/>
        <v>0</v>
      </c>
      <c r="AQ260" s="102">
        <f t="shared" si="290"/>
        <v>8.7499999999999994E-2</v>
      </c>
      <c r="AR260" s="103">
        <f t="shared" si="315"/>
        <v>1.155E-2</v>
      </c>
      <c r="AS260" s="99">
        <f t="shared" si="316"/>
        <v>3.0049913723316664</v>
      </c>
      <c r="AT260" s="215">
        <f t="shared" si="317"/>
        <v>205.29948233989998</v>
      </c>
      <c r="AU260" s="216">
        <f t="shared" si="318"/>
        <v>9.725627950146494E-2</v>
      </c>
      <c r="AV260" s="102">
        <f t="shared" si="319"/>
        <v>30.36</v>
      </c>
      <c r="AW260" s="103">
        <f t="shared" si="320"/>
        <v>90.993579651204129</v>
      </c>
      <c r="AX260" s="32"/>
      <c r="AY260" s="101">
        <f t="shared" si="291"/>
        <v>60</v>
      </c>
      <c r="AZ260" s="102">
        <f t="shared" si="321"/>
        <v>0.50600000000000001</v>
      </c>
      <c r="BA260" s="102">
        <f t="shared" si="292"/>
        <v>15</v>
      </c>
      <c r="BB260" s="103">
        <f t="shared" si="322"/>
        <v>2.5299999999999998</v>
      </c>
      <c r="BC260" s="101">
        <f t="shared" si="323"/>
        <v>2</v>
      </c>
      <c r="BD260" s="102">
        <f t="shared" si="324"/>
        <v>0.75</v>
      </c>
      <c r="BE260" s="100">
        <f t="shared" si="325"/>
        <v>0.25</v>
      </c>
      <c r="BF260" s="101">
        <f t="shared" si="326"/>
        <v>0.45000000000000007</v>
      </c>
      <c r="BG260" s="102">
        <f t="shared" si="327"/>
        <v>2.7549999999999999</v>
      </c>
      <c r="BH260" s="102">
        <f t="shared" si="328"/>
        <v>2.5333327850876599</v>
      </c>
      <c r="BI260" s="102">
        <v>0</v>
      </c>
      <c r="BJ260" s="102">
        <f t="shared" si="329"/>
        <v>6.4177750000000006E-2</v>
      </c>
      <c r="BK260" s="103">
        <f t="shared" si="330"/>
        <v>6.4177750000000006E-2</v>
      </c>
      <c r="BL260" s="101">
        <f t="shared" si="331"/>
        <v>1.8975</v>
      </c>
      <c r="BM260" s="97">
        <f t="shared" si="332"/>
        <v>2.1939305481258975</v>
      </c>
      <c r="BN260" s="97">
        <f t="shared" si="333"/>
        <v>0.46812668938313573</v>
      </c>
      <c r="BO260" s="97">
        <f t="shared" si="334"/>
        <v>2.6564999999999994</v>
      </c>
      <c r="BP260" s="103">
        <f t="shared" si="335"/>
        <v>3.1246266893831351</v>
      </c>
      <c r="BQ260" s="101">
        <f t="shared" si="336"/>
        <v>0.63249999999999995</v>
      </c>
      <c r="BR260" s="102">
        <f t="shared" si="337"/>
        <v>1.26666639254383</v>
      </c>
      <c r="BS260" s="102">
        <f t="shared" si="338"/>
        <v>0.21251999999999999</v>
      </c>
      <c r="BT260" s="102">
        <f t="shared" si="339"/>
        <v>0.75525000000000009</v>
      </c>
      <c r="BU260" s="103">
        <f t="shared" si="340"/>
        <v>0.96777000000000002</v>
      </c>
      <c r="BV260" s="99">
        <f t="shared" si="341"/>
        <v>0</v>
      </c>
      <c r="BW260" s="102">
        <f t="shared" si="293"/>
        <v>8.7499999999999994E-2</v>
      </c>
      <c r="BX260" s="103">
        <f t="shared" si="342"/>
        <v>1.155E-2</v>
      </c>
      <c r="BY260" s="101">
        <f t="shared" si="343"/>
        <v>4.2556244393831353</v>
      </c>
      <c r="BZ260" s="102">
        <f t="shared" si="344"/>
        <v>30.36</v>
      </c>
      <c r="CA260" s="103">
        <f t="shared" si="345"/>
        <v>87.706059017264479</v>
      </c>
      <c r="CB260" s="51">
        <f t="shared" si="346"/>
        <v>3.2236766893831352</v>
      </c>
      <c r="CC260" s="32">
        <f t="shared" si="347"/>
        <v>137.82868412840975</v>
      </c>
    </row>
    <row r="261" spans="17:81" ht="15" thickBot="1" x14ac:dyDescent="0.35">
      <c r="Q261" s="32">
        <v>254</v>
      </c>
      <c r="S261" s="101">
        <f t="shared" si="288"/>
        <v>60</v>
      </c>
      <c r="T261" s="97">
        <f t="shared" si="294"/>
        <v>0.50800000000000001</v>
      </c>
      <c r="U261" s="102">
        <f t="shared" si="289"/>
        <v>15</v>
      </c>
      <c r="V261" s="103">
        <f t="shared" si="295"/>
        <v>2.54</v>
      </c>
      <c r="W261" s="101">
        <f t="shared" si="296"/>
        <v>2</v>
      </c>
      <c r="X261" s="102">
        <f t="shared" si="297"/>
        <v>0.75</v>
      </c>
      <c r="Y261" s="100">
        <f t="shared" si="298"/>
        <v>0.25</v>
      </c>
      <c r="Z261" s="101">
        <f t="shared" si="299"/>
        <v>0.45000000000000007</v>
      </c>
      <c r="AA261" s="102">
        <f t="shared" si="300"/>
        <v>2.7650000000000001</v>
      </c>
      <c r="AB261" s="102">
        <f t="shared" si="301"/>
        <v>2.5433196810468006</v>
      </c>
      <c r="AC261" s="102">
        <v>0</v>
      </c>
      <c r="AD261" s="102">
        <f t="shared" si="302"/>
        <v>6.4684749999999999E-2</v>
      </c>
      <c r="AE261" s="103">
        <f t="shared" si="303"/>
        <v>6.4684749999999999E-2</v>
      </c>
      <c r="AF261" s="101">
        <f t="shared" si="304"/>
        <v>1.905</v>
      </c>
      <c r="AG261" s="97">
        <f t="shared" si="305"/>
        <v>2.2025794537314654</v>
      </c>
      <c r="AH261" s="102">
        <f t="shared" si="306"/>
        <v>0.25141194275166673</v>
      </c>
      <c r="AI261" s="97">
        <f t="shared" si="307"/>
        <v>2.6669999999999998</v>
      </c>
      <c r="AJ261" s="103">
        <f t="shared" si="308"/>
        <v>2.9184119427516664</v>
      </c>
      <c r="AK261" s="101">
        <f t="shared" si="309"/>
        <v>0.63500000000000001</v>
      </c>
      <c r="AL261" s="102">
        <f t="shared" si="310"/>
        <v>1.2716598405234003</v>
      </c>
      <c r="AM261" s="102">
        <f t="shared" si="311"/>
        <v>0.21335999999999999</v>
      </c>
      <c r="AN261" s="102">
        <f t="shared" si="312"/>
        <v>0.75525000000000009</v>
      </c>
      <c r="AO261" s="103">
        <f t="shared" si="313"/>
        <v>0.96861000000000008</v>
      </c>
      <c r="AP261" s="99">
        <f t="shared" si="314"/>
        <v>0</v>
      </c>
      <c r="AQ261" s="102">
        <f t="shared" si="290"/>
        <v>8.7499999999999994E-2</v>
      </c>
      <c r="AR261" s="103">
        <f t="shared" si="315"/>
        <v>1.155E-2</v>
      </c>
      <c r="AS261" s="99">
        <f t="shared" si="316"/>
        <v>3.0174619427516665</v>
      </c>
      <c r="AT261" s="215">
        <f t="shared" si="317"/>
        <v>206.04771656509999</v>
      </c>
      <c r="AU261" s="216">
        <f t="shared" si="318"/>
        <v>9.7438929794258611E-2</v>
      </c>
      <c r="AV261" s="102">
        <f t="shared" si="319"/>
        <v>30.48</v>
      </c>
      <c r="AW261" s="103">
        <f t="shared" si="320"/>
        <v>90.991968442538678</v>
      </c>
      <c r="AX261" s="32"/>
      <c r="AY261" s="101">
        <f t="shared" si="291"/>
        <v>60</v>
      </c>
      <c r="AZ261" s="102">
        <f t="shared" si="321"/>
        <v>0.50800000000000001</v>
      </c>
      <c r="BA261" s="102">
        <f t="shared" si="292"/>
        <v>15</v>
      </c>
      <c r="BB261" s="103">
        <f t="shared" si="322"/>
        <v>2.54</v>
      </c>
      <c r="BC261" s="101">
        <f t="shared" si="323"/>
        <v>2</v>
      </c>
      <c r="BD261" s="102">
        <f t="shared" si="324"/>
        <v>0.75</v>
      </c>
      <c r="BE261" s="100">
        <f t="shared" si="325"/>
        <v>0.25</v>
      </c>
      <c r="BF261" s="101">
        <f t="shared" si="326"/>
        <v>0.45000000000000007</v>
      </c>
      <c r="BG261" s="102">
        <f t="shared" si="327"/>
        <v>2.7650000000000001</v>
      </c>
      <c r="BH261" s="102">
        <f t="shared" si="328"/>
        <v>2.5433196810468006</v>
      </c>
      <c r="BI261" s="102">
        <v>0</v>
      </c>
      <c r="BJ261" s="102">
        <f t="shared" si="329"/>
        <v>6.4684749999999999E-2</v>
      </c>
      <c r="BK261" s="103">
        <f t="shared" si="330"/>
        <v>6.4684749999999999E-2</v>
      </c>
      <c r="BL261" s="101">
        <f t="shared" si="331"/>
        <v>1.905</v>
      </c>
      <c r="BM261" s="97">
        <f t="shared" si="332"/>
        <v>2.2025794537314654</v>
      </c>
      <c r="BN261" s="97">
        <f t="shared" si="333"/>
        <v>0.47271096105068777</v>
      </c>
      <c r="BO261" s="97">
        <f t="shared" si="334"/>
        <v>2.6669999999999998</v>
      </c>
      <c r="BP261" s="103">
        <f t="shared" si="335"/>
        <v>3.1397109610506875</v>
      </c>
      <c r="BQ261" s="101">
        <f t="shared" si="336"/>
        <v>0.63500000000000001</v>
      </c>
      <c r="BR261" s="102">
        <f t="shared" si="337"/>
        <v>1.2716598405234003</v>
      </c>
      <c r="BS261" s="102">
        <f t="shared" si="338"/>
        <v>0.21335999999999999</v>
      </c>
      <c r="BT261" s="102">
        <f t="shared" si="339"/>
        <v>0.75525000000000009</v>
      </c>
      <c r="BU261" s="103">
        <f t="shared" si="340"/>
        <v>0.96861000000000008</v>
      </c>
      <c r="BV261" s="99">
        <f t="shared" si="341"/>
        <v>0</v>
      </c>
      <c r="BW261" s="102">
        <f t="shared" si="293"/>
        <v>8.7499999999999994E-2</v>
      </c>
      <c r="BX261" s="103">
        <f t="shared" si="342"/>
        <v>1.155E-2</v>
      </c>
      <c r="BY261" s="101">
        <f t="shared" si="343"/>
        <v>4.2720557110506876</v>
      </c>
      <c r="BZ261" s="102">
        <f t="shared" si="344"/>
        <v>30.48</v>
      </c>
      <c r="CA261" s="103">
        <f t="shared" si="345"/>
        <v>87.707041716981848</v>
      </c>
      <c r="CB261" s="51">
        <f t="shared" si="346"/>
        <v>3.2387609610506876</v>
      </c>
      <c r="CC261" s="32">
        <f t="shared" si="347"/>
        <v>138.35663363677406</v>
      </c>
    </row>
    <row r="262" spans="17:81" ht="15" thickBot="1" x14ac:dyDescent="0.35">
      <c r="Q262" s="32">
        <v>255</v>
      </c>
      <c r="S262" s="101">
        <f t="shared" si="288"/>
        <v>60</v>
      </c>
      <c r="T262" s="97">
        <f t="shared" si="294"/>
        <v>0.51</v>
      </c>
      <c r="U262" s="102">
        <f t="shared" si="289"/>
        <v>15</v>
      </c>
      <c r="V262" s="103">
        <f t="shared" si="295"/>
        <v>2.5500000000000003</v>
      </c>
      <c r="W262" s="101">
        <f t="shared" si="296"/>
        <v>2</v>
      </c>
      <c r="X262" s="102">
        <f t="shared" si="297"/>
        <v>0.75</v>
      </c>
      <c r="Y262" s="100">
        <f t="shared" si="298"/>
        <v>0.25</v>
      </c>
      <c r="Z262" s="101">
        <f t="shared" si="299"/>
        <v>0.45000000000000007</v>
      </c>
      <c r="AA262" s="102">
        <f t="shared" si="300"/>
        <v>2.7750000000000004</v>
      </c>
      <c r="AB262" s="102">
        <f t="shared" si="301"/>
        <v>2.5533066795823807</v>
      </c>
      <c r="AC262" s="102">
        <v>0</v>
      </c>
      <c r="AD262" s="102">
        <f t="shared" si="302"/>
        <v>6.5193750000000023E-2</v>
      </c>
      <c r="AE262" s="103">
        <f t="shared" si="303"/>
        <v>6.5193750000000023E-2</v>
      </c>
      <c r="AF262" s="101">
        <f t="shared" si="304"/>
        <v>1.9125000000000001</v>
      </c>
      <c r="AG262" s="97">
        <f t="shared" si="305"/>
        <v>2.2112284481708353</v>
      </c>
      <c r="AH262" s="102">
        <f t="shared" si="306"/>
        <v>0.25339028662500007</v>
      </c>
      <c r="AI262" s="97">
        <f t="shared" si="307"/>
        <v>2.6775000000000002</v>
      </c>
      <c r="AJ262" s="103">
        <f t="shared" si="308"/>
        <v>2.9308902866250004</v>
      </c>
      <c r="AK262" s="101">
        <f t="shared" si="309"/>
        <v>0.63750000000000007</v>
      </c>
      <c r="AL262" s="102">
        <f t="shared" si="310"/>
        <v>1.2766533397911903</v>
      </c>
      <c r="AM262" s="102">
        <f t="shared" si="311"/>
        <v>0.2142</v>
      </c>
      <c r="AN262" s="102">
        <f t="shared" si="312"/>
        <v>0.75525000000000009</v>
      </c>
      <c r="AO262" s="103">
        <f t="shared" si="313"/>
        <v>0.96945000000000014</v>
      </c>
      <c r="AP262" s="99">
        <f t="shared" si="314"/>
        <v>0</v>
      </c>
      <c r="AQ262" s="102">
        <f t="shared" si="290"/>
        <v>8.7499999999999994E-2</v>
      </c>
      <c r="AR262" s="103">
        <f t="shared" si="315"/>
        <v>1.155E-2</v>
      </c>
      <c r="AS262" s="99">
        <f t="shared" si="316"/>
        <v>3.0299402866250005</v>
      </c>
      <c r="AT262" s="215">
        <f t="shared" si="317"/>
        <v>206.79641719750003</v>
      </c>
      <c r="AU262" s="216">
        <f t="shared" si="318"/>
        <v>9.7621693940988352E-2</v>
      </c>
      <c r="AV262" s="102">
        <f t="shared" si="319"/>
        <v>30.6</v>
      </c>
      <c r="AW262" s="103">
        <f t="shared" si="320"/>
        <v>90.99034889505873</v>
      </c>
      <c r="AX262" s="32"/>
      <c r="AY262" s="101">
        <f t="shared" si="291"/>
        <v>60</v>
      </c>
      <c r="AZ262" s="102">
        <f t="shared" si="321"/>
        <v>0.51</v>
      </c>
      <c r="BA262" s="102">
        <f t="shared" si="292"/>
        <v>15</v>
      </c>
      <c r="BB262" s="103">
        <f t="shared" si="322"/>
        <v>2.5500000000000003</v>
      </c>
      <c r="BC262" s="101">
        <f t="shared" si="323"/>
        <v>2</v>
      </c>
      <c r="BD262" s="102">
        <f t="shared" si="324"/>
        <v>0.75</v>
      </c>
      <c r="BE262" s="100">
        <f t="shared" si="325"/>
        <v>0.25</v>
      </c>
      <c r="BF262" s="101">
        <f t="shared" si="326"/>
        <v>0.45000000000000007</v>
      </c>
      <c r="BG262" s="102">
        <f t="shared" si="327"/>
        <v>2.7750000000000004</v>
      </c>
      <c r="BH262" s="102">
        <f t="shared" si="328"/>
        <v>2.5533066795823807</v>
      </c>
      <c r="BI262" s="102">
        <v>0</v>
      </c>
      <c r="BJ262" s="102">
        <f t="shared" si="329"/>
        <v>6.5193750000000023E-2</v>
      </c>
      <c r="BK262" s="103">
        <f t="shared" si="330"/>
        <v>6.5193750000000023E-2</v>
      </c>
      <c r="BL262" s="101">
        <f t="shared" si="331"/>
        <v>1.9125000000000001</v>
      </c>
      <c r="BM262" s="97">
        <f t="shared" si="332"/>
        <v>2.2112284481708353</v>
      </c>
      <c r="BN262" s="97">
        <f t="shared" si="333"/>
        <v>0.4773243232023982</v>
      </c>
      <c r="BO262" s="97">
        <f t="shared" si="334"/>
        <v>2.6775000000000002</v>
      </c>
      <c r="BP262" s="103">
        <f t="shared" si="335"/>
        <v>3.1548243232023983</v>
      </c>
      <c r="BQ262" s="101">
        <f t="shared" si="336"/>
        <v>0.63750000000000007</v>
      </c>
      <c r="BR262" s="102">
        <f t="shared" si="337"/>
        <v>1.2766533397911903</v>
      </c>
      <c r="BS262" s="102">
        <f t="shared" si="338"/>
        <v>0.2142</v>
      </c>
      <c r="BT262" s="102">
        <f t="shared" si="339"/>
        <v>0.75525000000000009</v>
      </c>
      <c r="BU262" s="103">
        <f t="shared" si="340"/>
        <v>0.96945000000000014</v>
      </c>
      <c r="BV262" s="99">
        <f t="shared" si="341"/>
        <v>0</v>
      </c>
      <c r="BW262" s="102">
        <f t="shared" si="293"/>
        <v>8.7499999999999994E-2</v>
      </c>
      <c r="BX262" s="103">
        <f t="shared" si="342"/>
        <v>1.155E-2</v>
      </c>
      <c r="BY262" s="101">
        <f t="shared" si="343"/>
        <v>4.2885180732023978</v>
      </c>
      <c r="BZ262" s="102">
        <f t="shared" si="344"/>
        <v>30.6</v>
      </c>
      <c r="CA262" s="103">
        <f t="shared" si="345"/>
        <v>87.707938571067103</v>
      </c>
      <c r="CB262" s="51">
        <f t="shared" si="346"/>
        <v>3.2538743232023983</v>
      </c>
      <c r="CC262" s="32">
        <f t="shared" si="347"/>
        <v>138.88560131208393</v>
      </c>
    </row>
    <row r="263" spans="17:81" ht="15" thickBot="1" x14ac:dyDescent="0.35">
      <c r="Q263" s="32">
        <v>256</v>
      </c>
      <c r="S263" s="101">
        <f t="shared" ref="S263:S325" si="348">VOUT</f>
        <v>60</v>
      </c>
      <c r="T263" s="97">
        <f t="shared" si="294"/>
        <v>0.51200000000000001</v>
      </c>
      <c r="U263" s="102">
        <f t="shared" ref="U263:U325" si="349">VIN_var</f>
        <v>15</v>
      </c>
      <c r="V263" s="103">
        <f t="shared" si="295"/>
        <v>2.56</v>
      </c>
      <c r="W263" s="101">
        <f t="shared" si="296"/>
        <v>2</v>
      </c>
      <c r="X263" s="102">
        <f t="shared" si="297"/>
        <v>0.75</v>
      </c>
      <c r="Y263" s="100">
        <f t="shared" si="298"/>
        <v>0.25</v>
      </c>
      <c r="Z263" s="101">
        <f t="shared" si="299"/>
        <v>0.45000000000000007</v>
      </c>
      <c r="AA263" s="102">
        <f t="shared" si="300"/>
        <v>2.7850000000000001</v>
      </c>
      <c r="AB263" s="102">
        <f t="shared" si="301"/>
        <v>2.5632937794954365</v>
      </c>
      <c r="AC263" s="102">
        <v>0</v>
      </c>
      <c r="AD263" s="102">
        <f t="shared" si="302"/>
        <v>6.5704749999999992E-2</v>
      </c>
      <c r="AE263" s="103">
        <f t="shared" si="303"/>
        <v>6.5704749999999992E-2</v>
      </c>
      <c r="AF263" s="101">
        <f t="shared" si="304"/>
        <v>1.92</v>
      </c>
      <c r="AG263" s="97">
        <f t="shared" si="305"/>
        <v>2.2198775304056753</v>
      </c>
      <c r="AH263" s="102">
        <f t="shared" si="306"/>
        <v>0.25537640395166672</v>
      </c>
      <c r="AI263" s="97">
        <f t="shared" si="307"/>
        <v>2.6879999999999997</v>
      </c>
      <c r="AJ263" s="103">
        <f t="shared" si="308"/>
        <v>2.9433764039516666</v>
      </c>
      <c r="AK263" s="101">
        <f t="shared" si="309"/>
        <v>0.64</v>
      </c>
      <c r="AL263" s="102">
        <f t="shared" si="310"/>
        <v>1.2816468897477182</v>
      </c>
      <c r="AM263" s="102">
        <f t="shared" si="311"/>
        <v>0.21504000000000001</v>
      </c>
      <c r="AN263" s="102">
        <f t="shared" si="312"/>
        <v>0.75525000000000009</v>
      </c>
      <c r="AO263" s="103">
        <f t="shared" si="313"/>
        <v>0.9702900000000001</v>
      </c>
      <c r="AP263" s="99">
        <f t="shared" si="314"/>
        <v>0</v>
      </c>
      <c r="AQ263" s="102">
        <f t="shared" ref="AQ263:AQ325" si="350">Qg_tot*Vcc*Fsw</f>
        <v>8.7499999999999994E-2</v>
      </c>
      <c r="AR263" s="103">
        <f t="shared" si="315"/>
        <v>1.155E-2</v>
      </c>
      <c r="AS263" s="99">
        <f t="shared" si="316"/>
        <v>3.0424264039516666</v>
      </c>
      <c r="AT263" s="215">
        <f t="shared" si="317"/>
        <v>207.5455842371</v>
      </c>
      <c r="AU263" s="216">
        <f t="shared" si="318"/>
        <v>9.780457194165415E-2</v>
      </c>
      <c r="AV263" s="102">
        <f t="shared" si="319"/>
        <v>30.72</v>
      </c>
      <c r="AW263" s="103">
        <f t="shared" si="320"/>
        <v>90.988721108043435</v>
      </c>
      <c r="AX263" s="32"/>
      <c r="AY263" s="101">
        <f t="shared" ref="AY263:AY325" si="351">VOUT</f>
        <v>60</v>
      </c>
      <c r="AZ263" s="102">
        <f t="shared" si="321"/>
        <v>0.51200000000000001</v>
      </c>
      <c r="BA263" s="102">
        <f t="shared" ref="BA263:BA325" si="352">VIN_var</f>
        <v>15</v>
      </c>
      <c r="BB263" s="103">
        <f t="shared" si="322"/>
        <v>2.56</v>
      </c>
      <c r="BC263" s="101">
        <f t="shared" si="323"/>
        <v>2</v>
      </c>
      <c r="BD263" s="102">
        <f t="shared" si="324"/>
        <v>0.75</v>
      </c>
      <c r="BE263" s="100">
        <f t="shared" si="325"/>
        <v>0.25</v>
      </c>
      <c r="BF263" s="101">
        <f t="shared" si="326"/>
        <v>0.45000000000000007</v>
      </c>
      <c r="BG263" s="102">
        <f t="shared" si="327"/>
        <v>2.7850000000000001</v>
      </c>
      <c r="BH263" s="102">
        <f t="shared" si="328"/>
        <v>2.5632937794954365</v>
      </c>
      <c r="BI263" s="102">
        <v>0</v>
      </c>
      <c r="BJ263" s="102">
        <f t="shared" si="329"/>
        <v>6.5704749999999992E-2</v>
      </c>
      <c r="BK263" s="103">
        <f t="shared" si="330"/>
        <v>6.5704749999999992E-2</v>
      </c>
      <c r="BL263" s="101">
        <f t="shared" si="331"/>
        <v>1.92</v>
      </c>
      <c r="BM263" s="97">
        <f t="shared" si="332"/>
        <v>2.2198775304056753</v>
      </c>
      <c r="BN263" s="97">
        <f t="shared" si="333"/>
        <v>0.48196687112125502</v>
      </c>
      <c r="BO263" s="97">
        <f t="shared" si="334"/>
        <v>2.6879999999999997</v>
      </c>
      <c r="BP263" s="103">
        <f t="shared" si="335"/>
        <v>3.1699668711212547</v>
      </c>
      <c r="BQ263" s="101">
        <f t="shared" si="336"/>
        <v>0.64</v>
      </c>
      <c r="BR263" s="102">
        <f t="shared" si="337"/>
        <v>1.2816468897477182</v>
      </c>
      <c r="BS263" s="102">
        <f t="shared" si="338"/>
        <v>0.21504000000000001</v>
      </c>
      <c r="BT263" s="102">
        <f t="shared" si="339"/>
        <v>0.75525000000000009</v>
      </c>
      <c r="BU263" s="103">
        <f t="shared" si="340"/>
        <v>0.9702900000000001</v>
      </c>
      <c r="BV263" s="99">
        <f t="shared" si="341"/>
        <v>0</v>
      </c>
      <c r="BW263" s="102">
        <f t="shared" ref="BW263:BW325" si="353">Qg_tot*Vcc*Fsw</f>
        <v>8.7499999999999994E-2</v>
      </c>
      <c r="BX263" s="103">
        <f t="shared" si="342"/>
        <v>1.155E-2</v>
      </c>
      <c r="BY263" s="101">
        <f t="shared" si="343"/>
        <v>4.3050116211212552</v>
      </c>
      <c r="BZ263" s="102">
        <f t="shared" si="344"/>
        <v>30.72</v>
      </c>
      <c r="CA263" s="103">
        <f t="shared" si="345"/>
        <v>87.708750341926546</v>
      </c>
      <c r="CB263" s="51">
        <f t="shared" si="346"/>
        <v>3.2690168711212548</v>
      </c>
      <c r="CC263" s="32">
        <f t="shared" si="347"/>
        <v>139.41559048924393</v>
      </c>
    </row>
    <row r="264" spans="17:81" ht="15" thickBot="1" x14ac:dyDescent="0.35">
      <c r="Q264" s="32">
        <v>257</v>
      </c>
      <c r="S264" s="101">
        <f t="shared" si="348"/>
        <v>60</v>
      </c>
      <c r="T264" s="97">
        <f t="shared" si="294"/>
        <v>0.51400000000000001</v>
      </c>
      <c r="U264" s="102">
        <f t="shared" si="349"/>
        <v>15</v>
      </c>
      <c r="V264" s="103">
        <f t="shared" si="295"/>
        <v>2.57</v>
      </c>
      <c r="W264" s="101">
        <f t="shared" si="296"/>
        <v>2</v>
      </c>
      <c r="X264" s="102">
        <f t="shared" si="297"/>
        <v>0.75</v>
      </c>
      <c r="Y264" s="100">
        <f t="shared" si="298"/>
        <v>0.25</v>
      </c>
      <c r="Z264" s="101">
        <f t="shared" si="299"/>
        <v>0.45000000000000007</v>
      </c>
      <c r="AA264" s="102">
        <f t="shared" si="300"/>
        <v>2.7949999999999999</v>
      </c>
      <c r="AB264" s="102">
        <f t="shared" si="301"/>
        <v>2.5732809796056082</v>
      </c>
      <c r="AC264" s="102">
        <v>0</v>
      </c>
      <c r="AD264" s="102">
        <f t="shared" si="302"/>
        <v>6.6217749999999992E-2</v>
      </c>
      <c r="AE264" s="103">
        <f t="shared" si="303"/>
        <v>6.6217749999999992E-2</v>
      </c>
      <c r="AF264" s="101">
        <f t="shared" si="304"/>
        <v>1.9274999999999998</v>
      </c>
      <c r="AG264" s="97">
        <f t="shared" si="305"/>
        <v>2.2285266994137629</v>
      </c>
      <c r="AH264" s="102">
        <f t="shared" si="306"/>
        <v>0.25737029473166673</v>
      </c>
      <c r="AI264" s="97">
        <f t="shared" si="307"/>
        <v>2.6985000000000001</v>
      </c>
      <c r="AJ264" s="103">
        <f t="shared" si="308"/>
        <v>2.9558702947316666</v>
      </c>
      <c r="AK264" s="101">
        <f t="shared" si="309"/>
        <v>0.64249999999999996</v>
      </c>
      <c r="AL264" s="102">
        <f t="shared" si="310"/>
        <v>1.2866404898028041</v>
      </c>
      <c r="AM264" s="102">
        <f t="shared" si="311"/>
        <v>0.21587999999999999</v>
      </c>
      <c r="AN264" s="102">
        <f t="shared" si="312"/>
        <v>0.75525000000000009</v>
      </c>
      <c r="AO264" s="103">
        <f t="shared" si="313"/>
        <v>0.97113000000000005</v>
      </c>
      <c r="AP264" s="99">
        <f t="shared" si="314"/>
        <v>0</v>
      </c>
      <c r="AQ264" s="102">
        <f t="shared" si="350"/>
        <v>8.7499999999999994E-2</v>
      </c>
      <c r="AR264" s="103">
        <f t="shared" si="315"/>
        <v>1.155E-2</v>
      </c>
      <c r="AS264" s="99">
        <f t="shared" si="316"/>
        <v>3.0549202947316667</v>
      </c>
      <c r="AT264" s="215">
        <f t="shared" si="317"/>
        <v>208.29521768390001</v>
      </c>
      <c r="AU264" s="216">
        <f t="shared" si="318"/>
        <v>9.7987563796256033E-2</v>
      </c>
      <c r="AV264" s="102">
        <f t="shared" si="319"/>
        <v>30.84</v>
      </c>
      <c r="AW264" s="103">
        <f t="shared" si="320"/>
        <v>90.987085179231116</v>
      </c>
      <c r="AX264" s="32"/>
      <c r="AY264" s="101">
        <f t="shared" si="351"/>
        <v>60</v>
      </c>
      <c r="AZ264" s="102">
        <f t="shared" si="321"/>
        <v>0.51400000000000001</v>
      </c>
      <c r="BA264" s="102">
        <f t="shared" si="352"/>
        <v>15</v>
      </c>
      <c r="BB264" s="103">
        <f t="shared" si="322"/>
        <v>2.57</v>
      </c>
      <c r="BC264" s="101">
        <f t="shared" si="323"/>
        <v>2</v>
      </c>
      <c r="BD264" s="102">
        <f t="shared" si="324"/>
        <v>0.75</v>
      </c>
      <c r="BE264" s="100">
        <f t="shared" si="325"/>
        <v>0.25</v>
      </c>
      <c r="BF264" s="101">
        <f t="shared" si="326"/>
        <v>0.45000000000000007</v>
      </c>
      <c r="BG264" s="102">
        <f t="shared" si="327"/>
        <v>2.7949999999999999</v>
      </c>
      <c r="BH264" s="102">
        <f t="shared" si="328"/>
        <v>2.5732809796056082</v>
      </c>
      <c r="BI264" s="102">
        <v>0</v>
      </c>
      <c r="BJ264" s="102">
        <f t="shared" si="329"/>
        <v>6.6217749999999992E-2</v>
      </c>
      <c r="BK264" s="103">
        <f t="shared" si="330"/>
        <v>6.6217749999999992E-2</v>
      </c>
      <c r="BL264" s="101">
        <f t="shared" si="331"/>
        <v>1.9274999999999998</v>
      </c>
      <c r="BM264" s="97">
        <f t="shared" si="332"/>
        <v>2.2285266994137629</v>
      </c>
      <c r="BN264" s="97">
        <f t="shared" si="333"/>
        <v>0.48663870019271493</v>
      </c>
      <c r="BO264" s="97">
        <f t="shared" si="334"/>
        <v>2.6985000000000001</v>
      </c>
      <c r="BP264" s="103">
        <f t="shared" si="335"/>
        <v>3.1851387001927152</v>
      </c>
      <c r="BQ264" s="101">
        <f t="shared" si="336"/>
        <v>0.64249999999999996</v>
      </c>
      <c r="BR264" s="102">
        <f t="shared" si="337"/>
        <v>1.2866404898028041</v>
      </c>
      <c r="BS264" s="102">
        <f t="shared" si="338"/>
        <v>0.21587999999999999</v>
      </c>
      <c r="BT264" s="102">
        <f t="shared" si="339"/>
        <v>0.75525000000000009</v>
      </c>
      <c r="BU264" s="103">
        <f t="shared" si="340"/>
        <v>0.97113000000000005</v>
      </c>
      <c r="BV264" s="99">
        <f t="shared" si="341"/>
        <v>0</v>
      </c>
      <c r="BW264" s="102">
        <f t="shared" si="353"/>
        <v>8.7499999999999994E-2</v>
      </c>
      <c r="BX264" s="103">
        <f t="shared" si="342"/>
        <v>1.155E-2</v>
      </c>
      <c r="BY264" s="101">
        <f t="shared" si="343"/>
        <v>4.3215364501927152</v>
      </c>
      <c r="BZ264" s="102">
        <f t="shared" si="344"/>
        <v>30.84</v>
      </c>
      <c r="CA264" s="103">
        <f t="shared" si="345"/>
        <v>87.709477780317457</v>
      </c>
      <c r="CB264" s="51">
        <f t="shared" si="346"/>
        <v>3.2841887001927152</v>
      </c>
      <c r="CC264" s="32">
        <f t="shared" si="347"/>
        <v>139.94660450674502</v>
      </c>
    </row>
    <row r="265" spans="17:81" ht="15" thickBot="1" x14ac:dyDescent="0.35">
      <c r="Q265" s="32">
        <v>258</v>
      </c>
      <c r="S265" s="101">
        <f t="shared" si="348"/>
        <v>60</v>
      </c>
      <c r="T265" s="97">
        <f t="shared" si="294"/>
        <v>0.51600000000000001</v>
      </c>
      <c r="U265" s="102">
        <f t="shared" si="349"/>
        <v>15</v>
      </c>
      <c r="V265" s="103">
        <f t="shared" si="295"/>
        <v>2.58</v>
      </c>
      <c r="W265" s="101">
        <f t="shared" si="296"/>
        <v>2</v>
      </c>
      <c r="X265" s="102">
        <f t="shared" si="297"/>
        <v>0.75</v>
      </c>
      <c r="Y265" s="100">
        <f t="shared" si="298"/>
        <v>0.25</v>
      </c>
      <c r="Z265" s="101">
        <f t="shared" si="299"/>
        <v>0.45000000000000007</v>
      </c>
      <c r="AA265" s="102">
        <f t="shared" si="300"/>
        <v>2.8050000000000002</v>
      </c>
      <c r="AB265" s="102">
        <f t="shared" si="301"/>
        <v>2.5832682787507766</v>
      </c>
      <c r="AC265" s="102">
        <v>0</v>
      </c>
      <c r="AD265" s="102">
        <f t="shared" si="302"/>
        <v>6.6732750000000007E-2</v>
      </c>
      <c r="AE265" s="103">
        <f t="shared" si="303"/>
        <v>6.6732750000000007E-2</v>
      </c>
      <c r="AF265" s="101">
        <f t="shared" si="304"/>
        <v>1.9350000000000001</v>
      </c>
      <c r="AG265" s="97">
        <f t="shared" si="305"/>
        <v>2.2371759541886731</v>
      </c>
      <c r="AH265" s="102">
        <f t="shared" si="306"/>
        <v>0.25937195896500009</v>
      </c>
      <c r="AI265" s="97">
        <f t="shared" si="307"/>
        <v>2.7090000000000001</v>
      </c>
      <c r="AJ265" s="103">
        <f t="shared" si="308"/>
        <v>2.9683719589650002</v>
      </c>
      <c r="AK265" s="101">
        <f t="shared" si="309"/>
        <v>0.64500000000000002</v>
      </c>
      <c r="AL265" s="102">
        <f t="shared" si="310"/>
        <v>1.2916341393753883</v>
      </c>
      <c r="AM265" s="102">
        <f t="shared" si="311"/>
        <v>0.21672</v>
      </c>
      <c r="AN265" s="102">
        <f t="shared" si="312"/>
        <v>0.75525000000000009</v>
      </c>
      <c r="AO265" s="103">
        <f t="shared" si="313"/>
        <v>0.97197000000000011</v>
      </c>
      <c r="AP265" s="99">
        <f t="shared" si="314"/>
        <v>0</v>
      </c>
      <c r="AQ265" s="102">
        <f t="shared" si="350"/>
        <v>8.7499999999999994E-2</v>
      </c>
      <c r="AR265" s="103">
        <f t="shared" si="315"/>
        <v>1.155E-2</v>
      </c>
      <c r="AS265" s="99">
        <f t="shared" si="316"/>
        <v>3.0674219589650003</v>
      </c>
      <c r="AT265" s="215">
        <f t="shared" si="317"/>
        <v>209.04531753790002</v>
      </c>
      <c r="AU265" s="216">
        <f t="shared" si="318"/>
        <v>9.8170669504793986E-2</v>
      </c>
      <c r="AV265" s="102">
        <f t="shared" si="319"/>
        <v>30.96</v>
      </c>
      <c r="AW265" s="103">
        <f t="shared" si="320"/>
        <v>90.985441204849067</v>
      </c>
      <c r="AX265" s="32"/>
      <c r="AY265" s="101">
        <f t="shared" si="351"/>
        <v>60</v>
      </c>
      <c r="AZ265" s="102">
        <f t="shared" si="321"/>
        <v>0.51600000000000001</v>
      </c>
      <c r="BA265" s="102">
        <f t="shared" si="352"/>
        <v>15</v>
      </c>
      <c r="BB265" s="103">
        <f t="shared" si="322"/>
        <v>2.58</v>
      </c>
      <c r="BC265" s="101">
        <f t="shared" si="323"/>
        <v>2</v>
      </c>
      <c r="BD265" s="102">
        <f t="shared" si="324"/>
        <v>0.75</v>
      </c>
      <c r="BE265" s="100">
        <f t="shared" si="325"/>
        <v>0.25</v>
      </c>
      <c r="BF265" s="101">
        <f t="shared" si="326"/>
        <v>0.45000000000000007</v>
      </c>
      <c r="BG265" s="102">
        <f t="shared" si="327"/>
        <v>2.8050000000000002</v>
      </c>
      <c r="BH265" s="102">
        <f t="shared" si="328"/>
        <v>2.5832682787507766</v>
      </c>
      <c r="BI265" s="102">
        <v>0</v>
      </c>
      <c r="BJ265" s="102">
        <f t="shared" si="329"/>
        <v>6.6732750000000007E-2</v>
      </c>
      <c r="BK265" s="103">
        <f t="shared" si="330"/>
        <v>6.6732750000000007E-2</v>
      </c>
      <c r="BL265" s="101">
        <f t="shared" si="331"/>
        <v>1.9350000000000001</v>
      </c>
      <c r="BM265" s="97">
        <f t="shared" si="332"/>
        <v>2.2371759541886731</v>
      </c>
      <c r="BN265" s="97">
        <f t="shared" si="333"/>
        <v>0.49133990590470311</v>
      </c>
      <c r="BO265" s="97">
        <f t="shared" si="334"/>
        <v>2.7090000000000001</v>
      </c>
      <c r="BP265" s="103">
        <f t="shared" si="335"/>
        <v>3.2003399059047033</v>
      </c>
      <c r="BQ265" s="101">
        <f t="shared" si="336"/>
        <v>0.64500000000000002</v>
      </c>
      <c r="BR265" s="102">
        <f t="shared" si="337"/>
        <v>1.2916341393753883</v>
      </c>
      <c r="BS265" s="102">
        <f t="shared" si="338"/>
        <v>0.21672</v>
      </c>
      <c r="BT265" s="102">
        <f t="shared" si="339"/>
        <v>0.75525000000000009</v>
      </c>
      <c r="BU265" s="103">
        <f t="shared" si="340"/>
        <v>0.97197000000000011</v>
      </c>
      <c r="BV265" s="99">
        <f t="shared" si="341"/>
        <v>0</v>
      </c>
      <c r="BW265" s="102">
        <f t="shared" si="353"/>
        <v>8.7499999999999994E-2</v>
      </c>
      <c r="BX265" s="103">
        <f t="shared" si="342"/>
        <v>1.155E-2</v>
      </c>
      <c r="BY265" s="101">
        <f t="shared" si="343"/>
        <v>4.3380926559047035</v>
      </c>
      <c r="BZ265" s="102">
        <f t="shared" si="344"/>
        <v>30.96</v>
      </c>
      <c r="CA265" s="103">
        <f t="shared" si="345"/>
        <v>87.710121625568846</v>
      </c>
      <c r="CB265" s="51">
        <f t="shared" si="346"/>
        <v>3.2993899059047034</v>
      </c>
      <c r="CC265" s="32">
        <f t="shared" si="347"/>
        <v>140.47864670666462</v>
      </c>
    </row>
    <row r="266" spans="17:81" ht="15" thickBot="1" x14ac:dyDescent="0.35">
      <c r="Q266" s="32">
        <v>259</v>
      </c>
      <c r="S266" s="101">
        <f t="shared" si="348"/>
        <v>60</v>
      </c>
      <c r="T266" s="97">
        <f t="shared" si="294"/>
        <v>0.51800000000000002</v>
      </c>
      <c r="U266" s="102">
        <f t="shared" si="349"/>
        <v>15</v>
      </c>
      <c r="V266" s="103">
        <f t="shared" si="295"/>
        <v>2.5900000000000003</v>
      </c>
      <c r="W266" s="101">
        <f t="shared" si="296"/>
        <v>2</v>
      </c>
      <c r="X266" s="102">
        <f t="shared" si="297"/>
        <v>0.75</v>
      </c>
      <c r="Y266" s="100">
        <f t="shared" si="298"/>
        <v>0.25</v>
      </c>
      <c r="Z266" s="101">
        <f t="shared" si="299"/>
        <v>0.45000000000000007</v>
      </c>
      <c r="AA266" s="102">
        <f t="shared" si="300"/>
        <v>2.8150000000000004</v>
      </c>
      <c r="AB266" s="102">
        <f t="shared" si="301"/>
        <v>2.5932556757867129</v>
      </c>
      <c r="AC266" s="102">
        <v>0</v>
      </c>
      <c r="AD266" s="102">
        <f t="shared" si="302"/>
        <v>6.7249750000000011E-2</v>
      </c>
      <c r="AE266" s="103">
        <f t="shared" si="303"/>
        <v>6.7249750000000011E-2</v>
      </c>
      <c r="AF266" s="101">
        <f t="shared" si="304"/>
        <v>1.9425000000000003</v>
      </c>
      <c r="AG266" s="97">
        <f t="shared" si="305"/>
        <v>2.2458252937394758</v>
      </c>
      <c r="AH266" s="102">
        <f t="shared" si="306"/>
        <v>0.26138139665166688</v>
      </c>
      <c r="AI266" s="97">
        <f t="shared" si="307"/>
        <v>2.7195</v>
      </c>
      <c r="AJ266" s="103">
        <f t="shared" si="308"/>
        <v>2.9808813966516667</v>
      </c>
      <c r="AK266" s="101">
        <f t="shared" si="309"/>
        <v>0.64750000000000008</v>
      </c>
      <c r="AL266" s="102">
        <f t="shared" si="310"/>
        <v>1.2966278378933567</v>
      </c>
      <c r="AM266" s="102">
        <f t="shared" si="311"/>
        <v>0.21756</v>
      </c>
      <c r="AN266" s="102">
        <f t="shared" si="312"/>
        <v>0.75525000000000009</v>
      </c>
      <c r="AO266" s="103">
        <f t="shared" si="313"/>
        <v>0.97281000000000006</v>
      </c>
      <c r="AP266" s="99">
        <f t="shared" si="314"/>
        <v>0</v>
      </c>
      <c r="AQ266" s="102">
        <f t="shared" si="350"/>
        <v>8.7499999999999994E-2</v>
      </c>
      <c r="AR266" s="103">
        <f t="shared" si="315"/>
        <v>1.155E-2</v>
      </c>
      <c r="AS266" s="99">
        <f t="shared" si="316"/>
        <v>3.0799313966516668</v>
      </c>
      <c r="AT266" s="215">
        <f t="shared" si="317"/>
        <v>209.79588379910001</v>
      </c>
      <c r="AU266" s="216">
        <f t="shared" si="318"/>
        <v>9.8353889067267983E-2</v>
      </c>
      <c r="AV266" s="102">
        <f t="shared" si="319"/>
        <v>31.080000000000002</v>
      </c>
      <c r="AW266" s="103">
        <f t="shared" si="320"/>
        <v>90.983789279642508</v>
      </c>
      <c r="AX266" s="32"/>
      <c r="AY266" s="101">
        <f t="shared" si="351"/>
        <v>60</v>
      </c>
      <c r="AZ266" s="102">
        <f t="shared" si="321"/>
        <v>0.51800000000000002</v>
      </c>
      <c r="BA266" s="102">
        <f t="shared" si="352"/>
        <v>15</v>
      </c>
      <c r="BB266" s="103">
        <f t="shared" si="322"/>
        <v>2.5900000000000003</v>
      </c>
      <c r="BC266" s="101">
        <f t="shared" si="323"/>
        <v>2</v>
      </c>
      <c r="BD266" s="102">
        <f t="shared" si="324"/>
        <v>0.75</v>
      </c>
      <c r="BE266" s="100">
        <f t="shared" si="325"/>
        <v>0.25</v>
      </c>
      <c r="BF266" s="101">
        <f t="shared" si="326"/>
        <v>0.45000000000000007</v>
      </c>
      <c r="BG266" s="102">
        <f t="shared" si="327"/>
        <v>2.8150000000000004</v>
      </c>
      <c r="BH266" s="102">
        <f t="shared" si="328"/>
        <v>2.5932556757867129</v>
      </c>
      <c r="BI266" s="102">
        <v>0</v>
      </c>
      <c r="BJ266" s="102">
        <f t="shared" si="329"/>
        <v>6.7249750000000011E-2</v>
      </c>
      <c r="BK266" s="103">
        <f t="shared" si="330"/>
        <v>6.7249750000000011E-2</v>
      </c>
      <c r="BL266" s="101">
        <f t="shared" si="331"/>
        <v>1.9425000000000003</v>
      </c>
      <c r="BM266" s="97">
        <f t="shared" si="332"/>
        <v>2.2458252937394758</v>
      </c>
      <c r="BN266" s="97">
        <f t="shared" si="333"/>
        <v>0.49607058384761316</v>
      </c>
      <c r="BO266" s="97">
        <f t="shared" si="334"/>
        <v>2.7195</v>
      </c>
      <c r="BP266" s="103">
        <f t="shared" si="335"/>
        <v>3.2155705838476134</v>
      </c>
      <c r="BQ266" s="101">
        <f t="shared" si="336"/>
        <v>0.64750000000000008</v>
      </c>
      <c r="BR266" s="102">
        <f t="shared" si="337"/>
        <v>1.2966278378933567</v>
      </c>
      <c r="BS266" s="102">
        <f t="shared" si="338"/>
        <v>0.21756</v>
      </c>
      <c r="BT266" s="102">
        <f t="shared" si="339"/>
        <v>0.75525000000000009</v>
      </c>
      <c r="BU266" s="103">
        <f t="shared" si="340"/>
        <v>0.97281000000000006</v>
      </c>
      <c r="BV266" s="99">
        <f t="shared" si="341"/>
        <v>0</v>
      </c>
      <c r="BW266" s="102">
        <f t="shared" si="353"/>
        <v>8.7499999999999994E-2</v>
      </c>
      <c r="BX266" s="103">
        <f t="shared" si="342"/>
        <v>1.155E-2</v>
      </c>
      <c r="BY266" s="101">
        <f t="shared" si="343"/>
        <v>4.3546803338476137</v>
      </c>
      <c r="BZ266" s="102">
        <f t="shared" si="344"/>
        <v>31.080000000000002</v>
      </c>
      <c r="CA266" s="103">
        <f t="shared" si="345"/>
        <v>87.710682605797416</v>
      </c>
      <c r="CB266" s="51">
        <f t="shared" si="346"/>
        <v>3.3146205838476135</v>
      </c>
      <c r="CC266" s="32">
        <f t="shared" si="347"/>
        <v>141.01172043466647</v>
      </c>
    </row>
    <row r="267" spans="17:81" ht="15" thickBot="1" x14ac:dyDescent="0.35">
      <c r="Q267" s="32">
        <v>260</v>
      </c>
      <c r="S267" s="101">
        <f t="shared" si="348"/>
        <v>60</v>
      </c>
      <c r="T267" s="97">
        <f t="shared" si="294"/>
        <v>0.52</v>
      </c>
      <c r="U267" s="102">
        <f t="shared" si="349"/>
        <v>15</v>
      </c>
      <c r="V267" s="103">
        <f t="shared" si="295"/>
        <v>2.6</v>
      </c>
      <c r="W267" s="101">
        <f t="shared" si="296"/>
        <v>2</v>
      </c>
      <c r="X267" s="102">
        <f t="shared" si="297"/>
        <v>0.75</v>
      </c>
      <c r="Y267" s="100">
        <f t="shared" si="298"/>
        <v>0.25</v>
      </c>
      <c r="Z267" s="101">
        <f t="shared" si="299"/>
        <v>0.45000000000000007</v>
      </c>
      <c r="AA267" s="102">
        <f t="shared" si="300"/>
        <v>2.8250000000000002</v>
      </c>
      <c r="AB267" s="102">
        <f t="shared" si="301"/>
        <v>2.6032431695867371</v>
      </c>
      <c r="AC267" s="102">
        <v>0</v>
      </c>
      <c r="AD267" s="102">
        <f t="shared" si="302"/>
        <v>6.7768750000000016E-2</v>
      </c>
      <c r="AE267" s="103">
        <f t="shared" si="303"/>
        <v>6.7768750000000016E-2</v>
      </c>
      <c r="AF267" s="101">
        <f t="shared" si="304"/>
        <v>1.9500000000000002</v>
      </c>
      <c r="AG267" s="97">
        <f t="shared" si="305"/>
        <v>2.2544747170904356</v>
      </c>
      <c r="AH267" s="102">
        <f t="shared" si="306"/>
        <v>0.26339860779166674</v>
      </c>
      <c r="AI267" s="97">
        <f t="shared" si="307"/>
        <v>2.73</v>
      </c>
      <c r="AJ267" s="103">
        <f t="shared" si="308"/>
        <v>2.9933986077916668</v>
      </c>
      <c r="AK267" s="101">
        <f t="shared" si="309"/>
        <v>0.65</v>
      </c>
      <c r="AL267" s="102">
        <f t="shared" si="310"/>
        <v>1.3016215847933685</v>
      </c>
      <c r="AM267" s="102">
        <f t="shared" si="311"/>
        <v>0.21840000000000001</v>
      </c>
      <c r="AN267" s="102">
        <f t="shared" si="312"/>
        <v>0.75525000000000009</v>
      </c>
      <c r="AO267" s="103">
        <f t="shared" si="313"/>
        <v>0.97365000000000013</v>
      </c>
      <c r="AP267" s="99">
        <f t="shared" si="314"/>
        <v>0</v>
      </c>
      <c r="AQ267" s="102">
        <f t="shared" si="350"/>
        <v>8.7499999999999994E-2</v>
      </c>
      <c r="AR267" s="103">
        <f t="shared" si="315"/>
        <v>1.155E-2</v>
      </c>
      <c r="AS267" s="99">
        <f t="shared" si="316"/>
        <v>3.0924486077916669</v>
      </c>
      <c r="AT267" s="215">
        <f t="shared" si="317"/>
        <v>210.54691646750001</v>
      </c>
      <c r="AU267" s="216">
        <f t="shared" si="318"/>
        <v>9.8537222483678077E-2</v>
      </c>
      <c r="AV267" s="102">
        <f t="shared" si="319"/>
        <v>31.200000000000003</v>
      </c>
      <c r="AW267" s="103">
        <f t="shared" si="320"/>
        <v>90.982129496903212</v>
      </c>
      <c r="AX267" s="32"/>
      <c r="AY267" s="101">
        <f t="shared" si="351"/>
        <v>60</v>
      </c>
      <c r="AZ267" s="102">
        <f t="shared" si="321"/>
        <v>0.52</v>
      </c>
      <c r="BA267" s="102">
        <f t="shared" si="352"/>
        <v>15</v>
      </c>
      <c r="BB267" s="103">
        <f t="shared" si="322"/>
        <v>2.6</v>
      </c>
      <c r="BC267" s="101">
        <f t="shared" si="323"/>
        <v>2</v>
      </c>
      <c r="BD267" s="102">
        <f t="shared" si="324"/>
        <v>0.75</v>
      </c>
      <c r="BE267" s="100">
        <f t="shared" si="325"/>
        <v>0.25</v>
      </c>
      <c r="BF267" s="101">
        <f t="shared" si="326"/>
        <v>0.45000000000000007</v>
      </c>
      <c r="BG267" s="102">
        <f t="shared" si="327"/>
        <v>2.8250000000000002</v>
      </c>
      <c r="BH267" s="102">
        <f t="shared" si="328"/>
        <v>2.6032431695867371</v>
      </c>
      <c r="BI267" s="102">
        <v>0</v>
      </c>
      <c r="BJ267" s="102">
        <f t="shared" si="329"/>
        <v>6.7768750000000016E-2</v>
      </c>
      <c r="BK267" s="103">
        <f t="shared" si="330"/>
        <v>6.7768750000000016E-2</v>
      </c>
      <c r="BL267" s="101">
        <f t="shared" si="331"/>
        <v>1.9500000000000002</v>
      </c>
      <c r="BM267" s="97">
        <f t="shared" si="332"/>
        <v>2.2544747170904356</v>
      </c>
      <c r="BN267" s="97">
        <f t="shared" si="333"/>
        <v>0.50083082971430681</v>
      </c>
      <c r="BO267" s="97">
        <f t="shared" si="334"/>
        <v>2.73</v>
      </c>
      <c r="BP267" s="103">
        <f t="shared" si="335"/>
        <v>3.2308308297143067</v>
      </c>
      <c r="BQ267" s="101">
        <f t="shared" si="336"/>
        <v>0.65</v>
      </c>
      <c r="BR267" s="102">
        <f t="shared" si="337"/>
        <v>1.3016215847933685</v>
      </c>
      <c r="BS267" s="102">
        <f t="shared" si="338"/>
        <v>0.21840000000000001</v>
      </c>
      <c r="BT267" s="102">
        <f t="shared" si="339"/>
        <v>0.75525000000000009</v>
      </c>
      <c r="BU267" s="103">
        <f t="shared" si="340"/>
        <v>0.97365000000000013</v>
      </c>
      <c r="BV267" s="99">
        <f t="shared" si="341"/>
        <v>0</v>
      </c>
      <c r="BW267" s="102">
        <f t="shared" si="353"/>
        <v>8.7499999999999994E-2</v>
      </c>
      <c r="BX267" s="103">
        <f t="shared" si="342"/>
        <v>1.155E-2</v>
      </c>
      <c r="BY267" s="101">
        <f t="shared" si="343"/>
        <v>4.3712995797143064</v>
      </c>
      <c r="BZ267" s="102">
        <f t="shared" si="344"/>
        <v>31.200000000000003</v>
      </c>
      <c r="CA267" s="103">
        <f t="shared" si="345"/>
        <v>87.711161438118552</v>
      </c>
      <c r="CB267" s="51">
        <f t="shared" si="346"/>
        <v>3.3298808297143068</v>
      </c>
      <c r="CC267" s="32">
        <f t="shared" si="347"/>
        <v>141.54582904000074</v>
      </c>
    </row>
    <row r="268" spans="17:81" ht="15" thickBot="1" x14ac:dyDescent="0.35">
      <c r="Q268" s="32">
        <v>261</v>
      </c>
      <c r="S268" s="101">
        <f t="shared" si="348"/>
        <v>60</v>
      </c>
      <c r="T268" s="97">
        <f t="shared" si="294"/>
        <v>0.52200000000000002</v>
      </c>
      <c r="U268" s="102">
        <f t="shared" si="349"/>
        <v>15</v>
      </c>
      <c r="V268" s="103">
        <f t="shared" si="295"/>
        <v>2.61</v>
      </c>
      <c r="W268" s="101">
        <f t="shared" si="296"/>
        <v>2</v>
      </c>
      <c r="X268" s="102">
        <f t="shared" si="297"/>
        <v>0.75</v>
      </c>
      <c r="Y268" s="100">
        <f t="shared" si="298"/>
        <v>0.25</v>
      </c>
      <c r="Z268" s="101">
        <f t="shared" si="299"/>
        <v>0.45000000000000007</v>
      </c>
      <c r="AA268" s="102">
        <f t="shared" si="300"/>
        <v>2.835</v>
      </c>
      <c r="AB268" s="102">
        <f t="shared" si="301"/>
        <v>2.6132307590413824</v>
      </c>
      <c r="AC268" s="102">
        <v>0</v>
      </c>
      <c r="AD268" s="102">
        <f t="shared" si="302"/>
        <v>6.8289749999999996E-2</v>
      </c>
      <c r="AE268" s="103">
        <f t="shared" si="303"/>
        <v>6.8289749999999996E-2</v>
      </c>
      <c r="AF268" s="101">
        <f t="shared" si="304"/>
        <v>1.9575</v>
      </c>
      <c r="AG268" s="97">
        <f t="shared" si="305"/>
        <v>2.2631242232807285</v>
      </c>
      <c r="AH268" s="102">
        <f t="shared" si="306"/>
        <v>0.26542359238500013</v>
      </c>
      <c r="AI268" s="97">
        <f t="shared" si="307"/>
        <v>2.7404999999999999</v>
      </c>
      <c r="AJ268" s="103">
        <f t="shared" si="308"/>
        <v>3.0059235923849998</v>
      </c>
      <c r="AK268" s="101">
        <f t="shared" si="309"/>
        <v>0.65249999999999997</v>
      </c>
      <c r="AL268" s="102">
        <f t="shared" si="310"/>
        <v>1.3066153795206912</v>
      </c>
      <c r="AM268" s="102">
        <f t="shared" si="311"/>
        <v>0.21923999999999999</v>
      </c>
      <c r="AN268" s="102">
        <f t="shared" si="312"/>
        <v>0.75525000000000009</v>
      </c>
      <c r="AO268" s="103">
        <f t="shared" si="313"/>
        <v>0.97449000000000008</v>
      </c>
      <c r="AP268" s="99">
        <f t="shared" si="314"/>
        <v>0</v>
      </c>
      <c r="AQ268" s="102">
        <f t="shared" si="350"/>
        <v>8.7499999999999994E-2</v>
      </c>
      <c r="AR268" s="103">
        <f t="shared" si="315"/>
        <v>1.155E-2</v>
      </c>
      <c r="AS268" s="99">
        <f t="shared" si="316"/>
        <v>3.1049735923849999</v>
      </c>
      <c r="AT268" s="215">
        <f t="shared" si="317"/>
        <v>211.29841554309999</v>
      </c>
      <c r="AU268" s="216">
        <f t="shared" si="318"/>
        <v>9.8720669754024215E-2</v>
      </c>
      <c r="AV268" s="102">
        <f t="shared" si="319"/>
        <v>31.32</v>
      </c>
      <c r="AW268" s="103">
        <f t="shared" si="320"/>
        <v>90.980461948497066</v>
      </c>
      <c r="AX268" s="32"/>
      <c r="AY268" s="101">
        <f t="shared" si="351"/>
        <v>60</v>
      </c>
      <c r="AZ268" s="102">
        <f t="shared" si="321"/>
        <v>0.52200000000000002</v>
      </c>
      <c r="BA268" s="102">
        <f t="shared" si="352"/>
        <v>15</v>
      </c>
      <c r="BB268" s="103">
        <f t="shared" si="322"/>
        <v>2.61</v>
      </c>
      <c r="BC268" s="101">
        <f t="shared" si="323"/>
        <v>2</v>
      </c>
      <c r="BD268" s="102">
        <f t="shared" si="324"/>
        <v>0.75</v>
      </c>
      <c r="BE268" s="100">
        <f t="shared" si="325"/>
        <v>0.25</v>
      </c>
      <c r="BF268" s="101">
        <f t="shared" si="326"/>
        <v>0.45000000000000007</v>
      </c>
      <c r="BG268" s="102">
        <f t="shared" si="327"/>
        <v>2.835</v>
      </c>
      <c r="BH268" s="102">
        <f t="shared" si="328"/>
        <v>2.6132307590413824</v>
      </c>
      <c r="BI268" s="102">
        <v>0</v>
      </c>
      <c r="BJ268" s="102">
        <f t="shared" si="329"/>
        <v>6.8289749999999996E-2</v>
      </c>
      <c r="BK268" s="103">
        <f t="shared" si="330"/>
        <v>6.8289749999999996E-2</v>
      </c>
      <c r="BL268" s="101">
        <f t="shared" si="331"/>
        <v>1.9575</v>
      </c>
      <c r="BM268" s="97">
        <f t="shared" si="332"/>
        <v>2.2631242232807285</v>
      </c>
      <c r="BN268" s="97">
        <f t="shared" si="333"/>
        <v>0.50562073930011575</v>
      </c>
      <c r="BO268" s="97">
        <f t="shared" si="334"/>
        <v>2.7404999999999999</v>
      </c>
      <c r="BP268" s="103">
        <f t="shared" si="335"/>
        <v>3.2461207393001157</v>
      </c>
      <c r="BQ268" s="101">
        <f t="shared" si="336"/>
        <v>0.65249999999999997</v>
      </c>
      <c r="BR268" s="102">
        <f t="shared" si="337"/>
        <v>1.3066153795206912</v>
      </c>
      <c r="BS268" s="102">
        <f t="shared" si="338"/>
        <v>0.21923999999999999</v>
      </c>
      <c r="BT268" s="102">
        <f t="shared" si="339"/>
        <v>0.75525000000000009</v>
      </c>
      <c r="BU268" s="103">
        <f t="shared" si="340"/>
        <v>0.97449000000000008</v>
      </c>
      <c r="BV268" s="99">
        <f t="shared" si="341"/>
        <v>0</v>
      </c>
      <c r="BW268" s="102">
        <f t="shared" si="353"/>
        <v>8.7499999999999994E-2</v>
      </c>
      <c r="BX268" s="103">
        <f t="shared" si="342"/>
        <v>1.155E-2</v>
      </c>
      <c r="BY268" s="101">
        <f t="shared" si="343"/>
        <v>4.387950489300116</v>
      </c>
      <c r="BZ268" s="102">
        <f t="shared" si="344"/>
        <v>31.32</v>
      </c>
      <c r="CA268" s="103">
        <f t="shared" si="345"/>
        <v>87.711558828852503</v>
      </c>
      <c r="CB268" s="51">
        <f t="shared" si="346"/>
        <v>3.3451707393001158</v>
      </c>
      <c r="CC268" s="32">
        <f t="shared" si="347"/>
        <v>142.08097587550407</v>
      </c>
    </row>
    <row r="269" spans="17:81" ht="15" thickBot="1" x14ac:dyDescent="0.35">
      <c r="Q269" s="32">
        <v>262</v>
      </c>
      <c r="S269" s="101">
        <f t="shared" si="348"/>
        <v>60</v>
      </c>
      <c r="T269" s="97">
        <f t="shared" si="294"/>
        <v>0.52400000000000002</v>
      </c>
      <c r="U269" s="102">
        <f t="shared" si="349"/>
        <v>15</v>
      </c>
      <c r="V269" s="103">
        <f t="shared" si="295"/>
        <v>2.62</v>
      </c>
      <c r="W269" s="101">
        <f t="shared" si="296"/>
        <v>2</v>
      </c>
      <c r="X269" s="102">
        <f t="shared" si="297"/>
        <v>0.75</v>
      </c>
      <c r="Y269" s="100">
        <f t="shared" si="298"/>
        <v>0.25</v>
      </c>
      <c r="Z269" s="101">
        <f t="shared" si="299"/>
        <v>0.45000000000000007</v>
      </c>
      <c r="AA269" s="102">
        <f t="shared" si="300"/>
        <v>2.8450000000000002</v>
      </c>
      <c r="AB269" s="102">
        <f t="shared" si="301"/>
        <v>2.6232184430580689</v>
      </c>
      <c r="AC269" s="102">
        <v>0</v>
      </c>
      <c r="AD269" s="102">
        <f t="shared" si="302"/>
        <v>6.8812749999999992E-2</v>
      </c>
      <c r="AE269" s="103">
        <f t="shared" si="303"/>
        <v>6.8812749999999992E-2</v>
      </c>
      <c r="AF269" s="101">
        <f t="shared" si="304"/>
        <v>1.9650000000000001</v>
      </c>
      <c r="AG269" s="97">
        <f t="shared" si="305"/>
        <v>2.2717738113641506</v>
      </c>
      <c r="AH269" s="102">
        <f t="shared" si="306"/>
        <v>0.26745635043166671</v>
      </c>
      <c r="AI269" s="97">
        <f t="shared" si="307"/>
        <v>2.7510000000000003</v>
      </c>
      <c r="AJ269" s="103">
        <f t="shared" si="308"/>
        <v>3.0184563504316673</v>
      </c>
      <c r="AK269" s="101">
        <f t="shared" si="309"/>
        <v>0.65500000000000003</v>
      </c>
      <c r="AL269" s="102">
        <f t="shared" si="310"/>
        <v>1.3116092215290345</v>
      </c>
      <c r="AM269" s="102">
        <f t="shared" si="311"/>
        <v>0.22008</v>
      </c>
      <c r="AN269" s="102">
        <f t="shared" si="312"/>
        <v>0.75525000000000009</v>
      </c>
      <c r="AO269" s="103">
        <f t="shared" si="313"/>
        <v>0.97533000000000003</v>
      </c>
      <c r="AP269" s="99">
        <f t="shared" si="314"/>
        <v>0</v>
      </c>
      <c r="AQ269" s="102">
        <f t="shared" si="350"/>
        <v>8.7499999999999994E-2</v>
      </c>
      <c r="AR269" s="103">
        <f t="shared" si="315"/>
        <v>1.155E-2</v>
      </c>
      <c r="AS269" s="99">
        <f t="shared" si="316"/>
        <v>3.1175063504316674</v>
      </c>
      <c r="AT269" s="215">
        <f t="shared" si="317"/>
        <v>212.05038102590004</v>
      </c>
      <c r="AU269" s="216">
        <f t="shared" si="318"/>
        <v>9.8904230878306451E-2</v>
      </c>
      <c r="AV269" s="102">
        <f t="shared" si="319"/>
        <v>31.44</v>
      </c>
      <c r="AW269" s="103">
        <f t="shared" si="320"/>
        <v>90.978786724891322</v>
      </c>
      <c r="AX269" s="32"/>
      <c r="AY269" s="101">
        <f t="shared" si="351"/>
        <v>60</v>
      </c>
      <c r="AZ269" s="102">
        <f t="shared" si="321"/>
        <v>0.52400000000000002</v>
      </c>
      <c r="BA269" s="102">
        <f t="shared" si="352"/>
        <v>15</v>
      </c>
      <c r="BB269" s="103">
        <f t="shared" si="322"/>
        <v>2.62</v>
      </c>
      <c r="BC269" s="101">
        <f t="shared" si="323"/>
        <v>2</v>
      </c>
      <c r="BD269" s="102">
        <f t="shared" si="324"/>
        <v>0.75</v>
      </c>
      <c r="BE269" s="100">
        <f t="shared" si="325"/>
        <v>0.25</v>
      </c>
      <c r="BF269" s="101">
        <f t="shared" si="326"/>
        <v>0.45000000000000007</v>
      </c>
      <c r="BG269" s="102">
        <f t="shared" si="327"/>
        <v>2.8450000000000002</v>
      </c>
      <c r="BH269" s="102">
        <f t="shared" si="328"/>
        <v>2.6232184430580689</v>
      </c>
      <c r="BI269" s="102">
        <v>0</v>
      </c>
      <c r="BJ269" s="102">
        <f t="shared" si="329"/>
        <v>6.8812749999999992E-2</v>
      </c>
      <c r="BK269" s="103">
        <f t="shared" si="330"/>
        <v>6.8812749999999992E-2</v>
      </c>
      <c r="BL269" s="101">
        <f t="shared" si="331"/>
        <v>1.9650000000000001</v>
      </c>
      <c r="BM269" s="97">
        <f t="shared" si="332"/>
        <v>2.2717738113641506</v>
      </c>
      <c r="BN269" s="97">
        <f t="shared" si="333"/>
        <v>0.51044040850283856</v>
      </c>
      <c r="BO269" s="97">
        <f t="shared" si="334"/>
        <v>2.7510000000000003</v>
      </c>
      <c r="BP269" s="103">
        <f t="shared" si="335"/>
        <v>3.261440408502839</v>
      </c>
      <c r="BQ269" s="101">
        <f t="shared" si="336"/>
        <v>0.65500000000000003</v>
      </c>
      <c r="BR269" s="102">
        <f t="shared" si="337"/>
        <v>1.3116092215290345</v>
      </c>
      <c r="BS269" s="102">
        <f t="shared" si="338"/>
        <v>0.22008</v>
      </c>
      <c r="BT269" s="102">
        <f t="shared" si="339"/>
        <v>0.75525000000000009</v>
      </c>
      <c r="BU269" s="103">
        <f t="shared" si="340"/>
        <v>0.97533000000000003</v>
      </c>
      <c r="BV269" s="99">
        <f t="shared" si="341"/>
        <v>0</v>
      </c>
      <c r="BW269" s="102">
        <f t="shared" si="353"/>
        <v>8.7499999999999994E-2</v>
      </c>
      <c r="BX269" s="103">
        <f t="shared" si="342"/>
        <v>1.155E-2</v>
      </c>
      <c r="BY269" s="101">
        <f t="shared" si="343"/>
        <v>4.4046331585028389</v>
      </c>
      <c r="BZ269" s="102">
        <f t="shared" si="344"/>
        <v>31.44</v>
      </c>
      <c r="CA269" s="103">
        <f t="shared" si="345"/>
        <v>87.711875473726266</v>
      </c>
      <c r="CB269" s="51">
        <f t="shared" si="346"/>
        <v>3.3604904085028391</v>
      </c>
      <c r="CC269" s="32">
        <f t="shared" si="347"/>
        <v>142.61716429759937</v>
      </c>
    </row>
    <row r="270" spans="17:81" ht="15" thickBot="1" x14ac:dyDescent="0.35">
      <c r="Q270" s="32">
        <v>263</v>
      </c>
      <c r="S270" s="101">
        <f t="shared" si="348"/>
        <v>60</v>
      </c>
      <c r="T270" s="97">
        <f t="shared" si="294"/>
        <v>0.52600000000000002</v>
      </c>
      <c r="U270" s="102">
        <f t="shared" si="349"/>
        <v>15</v>
      </c>
      <c r="V270" s="103">
        <f t="shared" si="295"/>
        <v>2.6300000000000003</v>
      </c>
      <c r="W270" s="101">
        <f t="shared" si="296"/>
        <v>2</v>
      </c>
      <c r="X270" s="102">
        <f t="shared" si="297"/>
        <v>0.75</v>
      </c>
      <c r="Y270" s="100">
        <f t="shared" si="298"/>
        <v>0.25</v>
      </c>
      <c r="Z270" s="101">
        <f t="shared" si="299"/>
        <v>0.45000000000000007</v>
      </c>
      <c r="AA270" s="102">
        <f t="shared" si="300"/>
        <v>2.8550000000000004</v>
      </c>
      <c r="AB270" s="102">
        <f t="shared" si="301"/>
        <v>2.6332062205607829</v>
      </c>
      <c r="AC270" s="102">
        <v>0</v>
      </c>
      <c r="AD270" s="102">
        <f t="shared" si="302"/>
        <v>6.9337750000000031E-2</v>
      </c>
      <c r="AE270" s="103">
        <f t="shared" si="303"/>
        <v>6.9337750000000031E-2</v>
      </c>
      <c r="AF270" s="101">
        <f t="shared" si="304"/>
        <v>1.9725000000000001</v>
      </c>
      <c r="AG270" s="97">
        <f t="shared" si="305"/>
        <v>2.2804234804088477</v>
      </c>
      <c r="AH270" s="102">
        <f t="shared" si="306"/>
        <v>0.26949688193166688</v>
      </c>
      <c r="AI270" s="97">
        <f t="shared" si="307"/>
        <v>2.7614999999999998</v>
      </c>
      <c r="AJ270" s="103">
        <f t="shared" si="308"/>
        <v>3.0309968819316668</v>
      </c>
      <c r="AK270" s="101">
        <f t="shared" si="309"/>
        <v>0.65750000000000008</v>
      </c>
      <c r="AL270" s="102">
        <f t="shared" si="310"/>
        <v>1.3166031102803915</v>
      </c>
      <c r="AM270" s="102">
        <f t="shared" si="311"/>
        <v>0.22092000000000001</v>
      </c>
      <c r="AN270" s="102">
        <f t="shared" si="312"/>
        <v>0.75525000000000009</v>
      </c>
      <c r="AO270" s="103">
        <f t="shared" si="313"/>
        <v>0.97617000000000009</v>
      </c>
      <c r="AP270" s="99">
        <f t="shared" si="314"/>
        <v>0</v>
      </c>
      <c r="AQ270" s="102">
        <f t="shared" si="350"/>
        <v>8.7499999999999994E-2</v>
      </c>
      <c r="AR270" s="103">
        <f t="shared" si="315"/>
        <v>1.155E-2</v>
      </c>
      <c r="AS270" s="99">
        <f t="shared" si="316"/>
        <v>3.1300468819316669</v>
      </c>
      <c r="AT270" s="215">
        <f t="shared" si="317"/>
        <v>212.80281291590001</v>
      </c>
      <c r="AU270" s="216">
        <f t="shared" si="318"/>
        <v>9.9087905856524744E-2</v>
      </c>
      <c r="AV270" s="102">
        <f t="shared" si="319"/>
        <v>31.560000000000002</v>
      </c>
      <c r="AW270" s="103">
        <f t="shared" si="320"/>
        <v>90.977103915181061</v>
      </c>
      <c r="AX270" s="32"/>
      <c r="AY270" s="101">
        <f t="shared" si="351"/>
        <v>60</v>
      </c>
      <c r="AZ270" s="102">
        <f t="shared" si="321"/>
        <v>0.52600000000000002</v>
      </c>
      <c r="BA270" s="102">
        <f t="shared" si="352"/>
        <v>15</v>
      </c>
      <c r="BB270" s="103">
        <f t="shared" si="322"/>
        <v>2.6300000000000003</v>
      </c>
      <c r="BC270" s="101">
        <f t="shared" si="323"/>
        <v>2</v>
      </c>
      <c r="BD270" s="102">
        <f t="shared" si="324"/>
        <v>0.75</v>
      </c>
      <c r="BE270" s="100">
        <f t="shared" si="325"/>
        <v>0.25</v>
      </c>
      <c r="BF270" s="101">
        <f t="shared" si="326"/>
        <v>0.45000000000000007</v>
      </c>
      <c r="BG270" s="102">
        <f t="shared" si="327"/>
        <v>2.8550000000000004</v>
      </c>
      <c r="BH270" s="102">
        <f t="shared" si="328"/>
        <v>2.6332062205607829</v>
      </c>
      <c r="BI270" s="102">
        <v>0</v>
      </c>
      <c r="BJ270" s="102">
        <f t="shared" si="329"/>
        <v>6.9337750000000031E-2</v>
      </c>
      <c r="BK270" s="103">
        <f t="shared" si="330"/>
        <v>6.9337750000000031E-2</v>
      </c>
      <c r="BL270" s="101">
        <f t="shared" si="331"/>
        <v>1.9725000000000001</v>
      </c>
      <c r="BM270" s="97">
        <f t="shared" si="332"/>
        <v>2.2804234804088477</v>
      </c>
      <c r="BN270" s="97">
        <f t="shared" si="333"/>
        <v>0.51528993332274386</v>
      </c>
      <c r="BO270" s="97">
        <f t="shared" si="334"/>
        <v>2.7614999999999998</v>
      </c>
      <c r="BP270" s="103">
        <f t="shared" si="335"/>
        <v>3.2767899333227435</v>
      </c>
      <c r="BQ270" s="101">
        <f t="shared" si="336"/>
        <v>0.65750000000000008</v>
      </c>
      <c r="BR270" s="102">
        <f t="shared" si="337"/>
        <v>1.3166031102803915</v>
      </c>
      <c r="BS270" s="102">
        <f t="shared" si="338"/>
        <v>0.22092000000000001</v>
      </c>
      <c r="BT270" s="102">
        <f t="shared" si="339"/>
        <v>0.75525000000000009</v>
      </c>
      <c r="BU270" s="103">
        <f t="shared" si="340"/>
        <v>0.97617000000000009</v>
      </c>
      <c r="BV270" s="99">
        <f t="shared" si="341"/>
        <v>0</v>
      </c>
      <c r="BW270" s="102">
        <f t="shared" si="353"/>
        <v>8.7499999999999994E-2</v>
      </c>
      <c r="BX270" s="103">
        <f t="shared" si="342"/>
        <v>1.155E-2</v>
      </c>
      <c r="BY270" s="101">
        <f t="shared" si="343"/>
        <v>4.4213476833227432</v>
      </c>
      <c r="BZ270" s="102">
        <f t="shared" si="344"/>
        <v>31.560000000000002</v>
      </c>
      <c r="CA270" s="103">
        <f t="shared" si="345"/>
        <v>87.712112058070502</v>
      </c>
      <c r="CB270" s="51">
        <f t="shared" si="346"/>
        <v>3.3758399333227436</v>
      </c>
      <c r="CC270" s="32">
        <f t="shared" si="347"/>
        <v>143.15439766629601</v>
      </c>
    </row>
    <row r="271" spans="17:81" ht="15" thickBot="1" x14ac:dyDescent="0.35">
      <c r="Q271" s="32">
        <v>264</v>
      </c>
      <c r="S271" s="101">
        <f t="shared" si="348"/>
        <v>60</v>
      </c>
      <c r="T271" s="97">
        <f t="shared" si="294"/>
        <v>0.52800000000000002</v>
      </c>
      <c r="U271" s="102">
        <f t="shared" si="349"/>
        <v>15</v>
      </c>
      <c r="V271" s="103">
        <f t="shared" si="295"/>
        <v>2.64</v>
      </c>
      <c r="W271" s="101">
        <f t="shared" si="296"/>
        <v>2</v>
      </c>
      <c r="X271" s="102">
        <f t="shared" si="297"/>
        <v>0.75</v>
      </c>
      <c r="Y271" s="100">
        <f t="shared" si="298"/>
        <v>0.25</v>
      </c>
      <c r="Z271" s="101">
        <f t="shared" si="299"/>
        <v>0.45000000000000007</v>
      </c>
      <c r="AA271" s="102">
        <f t="shared" si="300"/>
        <v>2.8650000000000002</v>
      </c>
      <c r="AB271" s="102">
        <f t="shared" si="301"/>
        <v>2.6431940904897622</v>
      </c>
      <c r="AC271" s="102">
        <v>0</v>
      </c>
      <c r="AD271" s="102">
        <f t="shared" si="302"/>
        <v>6.9864750000000017E-2</v>
      </c>
      <c r="AE271" s="103">
        <f t="shared" si="303"/>
        <v>6.9864750000000017E-2</v>
      </c>
      <c r="AF271" s="101">
        <f t="shared" si="304"/>
        <v>1.98</v>
      </c>
      <c r="AG271" s="97">
        <f t="shared" si="305"/>
        <v>2.2890732294970384</v>
      </c>
      <c r="AH271" s="102">
        <f t="shared" si="306"/>
        <v>0.27154518688500012</v>
      </c>
      <c r="AI271" s="97">
        <f t="shared" si="307"/>
        <v>2.7719999999999998</v>
      </c>
      <c r="AJ271" s="103">
        <f t="shared" si="308"/>
        <v>3.0435451868849999</v>
      </c>
      <c r="AK271" s="101">
        <f t="shared" si="309"/>
        <v>0.66</v>
      </c>
      <c r="AL271" s="102">
        <f t="shared" si="310"/>
        <v>1.3215970452448811</v>
      </c>
      <c r="AM271" s="102">
        <f t="shared" si="311"/>
        <v>0.22176000000000001</v>
      </c>
      <c r="AN271" s="102">
        <f t="shared" si="312"/>
        <v>0.75525000000000009</v>
      </c>
      <c r="AO271" s="103">
        <f t="shared" si="313"/>
        <v>0.97701000000000016</v>
      </c>
      <c r="AP271" s="99">
        <f t="shared" si="314"/>
        <v>0</v>
      </c>
      <c r="AQ271" s="102">
        <f t="shared" si="350"/>
        <v>8.7499999999999994E-2</v>
      </c>
      <c r="AR271" s="103">
        <f t="shared" si="315"/>
        <v>1.155E-2</v>
      </c>
      <c r="AS271" s="99">
        <f t="shared" si="316"/>
        <v>3.1425951868849999</v>
      </c>
      <c r="AT271" s="215">
        <f t="shared" si="317"/>
        <v>213.55571121309998</v>
      </c>
      <c r="AU271" s="216">
        <f t="shared" si="318"/>
        <v>9.9271694688679094E-2</v>
      </c>
      <c r="AV271" s="102">
        <f t="shared" si="319"/>
        <v>31.68</v>
      </c>
      <c r="AW271" s="103">
        <f t="shared" si="320"/>
        <v>90.975413607115158</v>
      </c>
      <c r="AX271" s="32"/>
      <c r="AY271" s="101">
        <f t="shared" si="351"/>
        <v>60</v>
      </c>
      <c r="AZ271" s="102">
        <f t="shared" si="321"/>
        <v>0.52800000000000002</v>
      </c>
      <c r="BA271" s="102">
        <f t="shared" si="352"/>
        <v>15</v>
      </c>
      <c r="BB271" s="103">
        <f t="shared" si="322"/>
        <v>2.64</v>
      </c>
      <c r="BC271" s="101">
        <f t="shared" si="323"/>
        <v>2</v>
      </c>
      <c r="BD271" s="102">
        <f t="shared" si="324"/>
        <v>0.75</v>
      </c>
      <c r="BE271" s="100">
        <f t="shared" si="325"/>
        <v>0.25</v>
      </c>
      <c r="BF271" s="101">
        <f t="shared" si="326"/>
        <v>0.45000000000000007</v>
      </c>
      <c r="BG271" s="102">
        <f t="shared" si="327"/>
        <v>2.8650000000000002</v>
      </c>
      <c r="BH271" s="102">
        <f t="shared" si="328"/>
        <v>2.6431940904897622</v>
      </c>
      <c r="BI271" s="102">
        <v>0</v>
      </c>
      <c r="BJ271" s="102">
        <f t="shared" si="329"/>
        <v>6.9864750000000017E-2</v>
      </c>
      <c r="BK271" s="103">
        <f t="shared" si="330"/>
        <v>6.9864750000000017E-2</v>
      </c>
      <c r="BL271" s="101">
        <f t="shared" si="331"/>
        <v>1.98</v>
      </c>
      <c r="BM271" s="97">
        <f t="shared" si="332"/>
        <v>2.2890732294970384</v>
      </c>
      <c r="BN271" s="97">
        <f t="shared" si="333"/>
        <v>0.52016940986256699</v>
      </c>
      <c r="BO271" s="97">
        <f t="shared" si="334"/>
        <v>2.7719999999999998</v>
      </c>
      <c r="BP271" s="103">
        <f t="shared" si="335"/>
        <v>3.2921694098625669</v>
      </c>
      <c r="BQ271" s="101">
        <f t="shared" si="336"/>
        <v>0.66</v>
      </c>
      <c r="BR271" s="102">
        <f t="shared" si="337"/>
        <v>1.3215970452448811</v>
      </c>
      <c r="BS271" s="102">
        <f t="shared" si="338"/>
        <v>0.22176000000000001</v>
      </c>
      <c r="BT271" s="102">
        <f t="shared" si="339"/>
        <v>0.75525000000000009</v>
      </c>
      <c r="BU271" s="103">
        <f t="shared" si="340"/>
        <v>0.97701000000000016</v>
      </c>
      <c r="BV271" s="99">
        <f t="shared" si="341"/>
        <v>0</v>
      </c>
      <c r="BW271" s="102">
        <f t="shared" si="353"/>
        <v>8.7499999999999994E-2</v>
      </c>
      <c r="BX271" s="103">
        <f t="shared" si="342"/>
        <v>1.155E-2</v>
      </c>
      <c r="BY271" s="101">
        <f t="shared" si="343"/>
        <v>4.4380941598625672</v>
      </c>
      <c r="BZ271" s="102">
        <f t="shared" si="344"/>
        <v>31.68</v>
      </c>
      <c r="CA271" s="103">
        <f t="shared" si="345"/>
        <v>87.712269257012608</v>
      </c>
      <c r="CB271" s="51">
        <f t="shared" si="346"/>
        <v>3.391219409862567</v>
      </c>
      <c r="CC271" s="32">
        <f t="shared" si="347"/>
        <v>143.69267934518984</v>
      </c>
    </row>
    <row r="272" spans="17:81" ht="15" thickBot="1" x14ac:dyDescent="0.35">
      <c r="Q272" s="32">
        <v>265</v>
      </c>
      <c r="S272" s="101">
        <f t="shared" si="348"/>
        <v>60</v>
      </c>
      <c r="T272" s="97">
        <f t="shared" si="294"/>
        <v>0.53</v>
      </c>
      <c r="U272" s="102">
        <f t="shared" si="349"/>
        <v>15</v>
      </c>
      <c r="V272" s="103">
        <f t="shared" si="295"/>
        <v>2.65</v>
      </c>
      <c r="W272" s="101">
        <f t="shared" si="296"/>
        <v>2</v>
      </c>
      <c r="X272" s="102">
        <f t="shared" si="297"/>
        <v>0.75</v>
      </c>
      <c r="Y272" s="100">
        <f t="shared" si="298"/>
        <v>0.25</v>
      </c>
      <c r="Z272" s="101">
        <f t="shared" si="299"/>
        <v>0.45000000000000007</v>
      </c>
      <c r="AA272" s="102">
        <f t="shared" si="300"/>
        <v>2.875</v>
      </c>
      <c r="AB272" s="102">
        <f t="shared" si="301"/>
        <v>2.653182051801195</v>
      </c>
      <c r="AC272" s="102">
        <v>0</v>
      </c>
      <c r="AD272" s="102">
        <f t="shared" si="302"/>
        <v>7.0393749999999991E-2</v>
      </c>
      <c r="AE272" s="103">
        <f t="shared" si="303"/>
        <v>7.0393749999999991E-2</v>
      </c>
      <c r="AF272" s="101">
        <f t="shared" si="304"/>
        <v>1.9874999999999998</v>
      </c>
      <c r="AG272" s="97">
        <f t="shared" si="305"/>
        <v>2.2977230577247556</v>
      </c>
      <c r="AH272" s="102">
        <f t="shared" si="306"/>
        <v>0.27360126529166678</v>
      </c>
      <c r="AI272" s="97">
        <f t="shared" si="307"/>
        <v>2.7824999999999998</v>
      </c>
      <c r="AJ272" s="103">
        <f t="shared" si="308"/>
        <v>3.0561012652916664</v>
      </c>
      <c r="AK272" s="101">
        <f t="shared" si="309"/>
        <v>0.66249999999999998</v>
      </c>
      <c r="AL272" s="102">
        <f t="shared" si="310"/>
        <v>1.3265910259005977</v>
      </c>
      <c r="AM272" s="102">
        <f t="shared" si="311"/>
        <v>0.22259999999999999</v>
      </c>
      <c r="AN272" s="102">
        <f t="shared" si="312"/>
        <v>0.75525000000000009</v>
      </c>
      <c r="AO272" s="103">
        <f t="shared" si="313"/>
        <v>0.97785000000000011</v>
      </c>
      <c r="AP272" s="99">
        <f t="shared" si="314"/>
        <v>0</v>
      </c>
      <c r="AQ272" s="102">
        <f t="shared" si="350"/>
        <v>8.7499999999999994E-2</v>
      </c>
      <c r="AR272" s="103">
        <f t="shared" si="315"/>
        <v>1.155E-2</v>
      </c>
      <c r="AS272" s="99">
        <f t="shared" si="316"/>
        <v>3.1551512652916665</v>
      </c>
      <c r="AT272" s="215">
        <f t="shared" si="317"/>
        <v>214.3090759175</v>
      </c>
      <c r="AU272" s="216">
        <f t="shared" si="318"/>
        <v>9.9455597374769528E-2</v>
      </c>
      <c r="AV272" s="102">
        <f t="shared" si="319"/>
        <v>31.8</v>
      </c>
      <c r="AW272" s="103">
        <f t="shared" si="320"/>
        <v>90.973715887121514</v>
      </c>
      <c r="AX272" s="32"/>
      <c r="AY272" s="101">
        <f t="shared" si="351"/>
        <v>60</v>
      </c>
      <c r="AZ272" s="102">
        <f t="shared" si="321"/>
        <v>0.53</v>
      </c>
      <c r="BA272" s="102">
        <f t="shared" si="352"/>
        <v>15</v>
      </c>
      <c r="BB272" s="103">
        <f t="shared" si="322"/>
        <v>2.65</v>
      </c>
      <c r="BC272" s="101">
        <f t="shared" si="323"/>
        <v>2</v>
      </c>
      <c r="BD272" s="102">
        <f t="shared" si="324"/>
        <v>0.75</v>
      </c>
      <c r="BE272" s="100">
        <f t="shared" si="325"/>
        <v>0.25</v>
      </c>
      <c r="BF272" s="101">
        <f t="shared" si="326"/>
        <v>0.45000000000000007</v>
      </c>
      <c r="BG272" s="102">
        <f t="shared" si="327"/>
        <v>2.875</v>
      </c>
      <c r="BH272" s="102">
        <f t="shared" si="328"/>
        <v>2.653182051801195</v>
      </c>
      <c r="BI272" s="102">
        <v>0</v>
      </c>
      <c r="BJ272" s="102">
        <f t="shared" si="329"/>
        <v>7.0393749999999991E-2</v>
      </c>
      <c r="BK272" s="103">
        <f t="shared" si="330"/>
        <v>7.0393749999999991E-2</v>
      </c>
      <c r="BL272" s="101">
        <f t="shared" si="331"/>
        <v>1.9874999999999998</v>
      </c>
      <c r="BM272" s="97">
        <f t="shared" si="332"/>
        <v>2.2977230577247556</v>
      </c>
      <c r="BN272" s="97">
        <f t="shared" si="333"/>
        <v>0.52507893432751374</v>
      </c>
      <c r="BO272" s="97">
        <f t="shared" si="334"/>
        <v>2.7824999999999998</v>
      </c>
      <c r="BP272" s="103">
        <f t="shared" si="335"/>
        <v>3.3075789343275135</v>
      </c>
      <c r="BQ272" s="101">
        <f t="shared" si="336"/>
        <v>0.66249999999999998</v>
      </c>
      <c r="BR272" s="102">
        <f t="shared" si="337"/>
        <v>1.3265910259005977</v>
      </c>
      <c r="BS272" s="102">
        <f t="shared" si="338"/>
        <v>0.22259999999999999</v>
      </c>
      <c r="BT272" s="102">
        <f t="shared" si="339"/>
        <v>0.75525000000000009</v>
      </c>
      <c r="BU272" s="103">
        <f t="shared" si="340"/>
        <v>0.97785000000000011</v>
      </c>
      <c r="BV272" s="99">
        <f t="shared" si="341"/>
        <v>0</v>
      </c>
      <c r="BW272" s="102">
        <f t="shared" si="353"/>
        <v>8.7499999999999994E-2</v>
      </c>
      <c r="BX272" s="103">
        <f t="shared" si="342"/>
        <v>1.155E-2</v>
      </c>
      <c r="BY272" s="101">
        <f t="shared" si="343"/>
        <v>4.4548726843275137</v>
      </c>
      <c r="BZ272" s="102">
        <f t="shared" si="344"/>
        <v>31.8</v>
      </c>
      <c r="CA272" s="103">
        <f t="shared" si="345"/>
        <v>87.712347735665077</v>
      </c>
      <c r="CB272" s="51">
        <f t="shared" si="346"/>
        <v>3.4066289343275136</v>
      </c>
      <c r="CC272" s="32">
        <f t="shared" si="347"/>
        <v>144.23201270146296</v>
      </c>
    </row>
    <row r="273" spans="17:81" ht="15" thickBot="1" x14ac:dyDescent="0.35">
      <c r="Q273" s="32">
        <v>266</v>
      </c>
      <c r="S273" s="101">
        <f t="shared" si="348"/>
        <v>60</v>
      </c>
      <c r="T273" s="97">
        <f t="shared" si="294"/>
        <v>0.53200000000000003</v>
      </c>
      <c r="U273" s="102">
        <f t="shared" si="349"/>
        <v>15</v>
      </c>
      <c r="V273" s="103">
        <f t="shared" si="295"/>
        <v>2.66</v>
      </c>
      <c r="W273" s="101">
        <f t="shared" si="296"/>
        <v>2</v>
      </c>
      <c r="X273" s="102">
        <f t="shared" si="297"/>
        <v>0.75</v>
      </c>
      <c r="Y273" s="100">
        <f t="shared" si="298"/>
        <v>0.25</v>
      </c>
      <c r="Z273" s="101">
        <f t="shared" si="299"/>
        <v>0.45000000000000007</v>
      </c>
      <c r="AA273" s="102">
        <f t="shared" si="300"/>
        <v>2.8850000000000002</v>
      </c>
      <c r="AB273" s="102">
        <f t="shared" si="301"/>
        <v>2.6631701034669191</v>
      </c>
      <c r="AC273" s="102">
        <v>0</v>
      </c>
      <c r="AD273" s="102">
        <f t="shared" si="302"/>
        <v>7.0924750000000009E-2</v>
      </c>
      <c r="AE273" s="103">
        <f t="shared" si="303"/>
        <v>7.0924750000000009E-2</v>
      </c>
      <c r="AF273" s="101">
        <f t="shared" si="304"/>
        <v>1.9950000000000001</v>
      </c>
      <c r="AG273" s="97">
        <f t="shared" si="305"/>
        <v>2.306372964201584</v>
      </c>
      <c r="AH273" s="102">
        <f t="shared" si="306"/>
        <v>0.27566511715166681</v>
      </c>
      <c r="AI273" s="97">
        <f t="shared" si="307"/>
        <v>2.7930000000000001</v>
      </c>
      <c r="AJ273" s="103">
        <f t="shared" si="308"/>
        <v>3.0686651171516668</v>
      </c>
      <c r="AK273" s="101">
        <f t="shared" si="309"/>
        <v>0.66500000000000004</v>
      </c>
      <c r="AL273" s="102">
        <f t="shared" si="310"/>
        <v>1.3315850517334595</v>
      </c>
      <c r="AM273" s="102">
        <f t="shared" si="311"/>
        <v>0.22344</v>
      </c>
      <c r="AN273" s="102">
        <f t="shared" si="312"/>
        <v>0.75525000000000009</v>
      </c>
      <c r="AO273" s="103">
        <f t="shared" si="313"/>
        <v>0.97869000000000006</v>
      </c>
      <c r="AP273" s="99">
        <f t="shared" si="314"/>
        <v>0</v>
      </c>
      <c r="AQ273" s="102">
        <f t="shared" si="350"/>
        <v>8.7499999999999994E-2</v>
      </c>
      <c r="AR273" s="103">
        <f t="shared" si="315"/>
        <v>1.155E-2</v>
      </c>
      <c r="AS273" s="99">
        <f t="shared" si="316"/>
        <v>3.1677151171516669</v>
      </c>
      <c r="AT273" s="215">
        <f t="shared" si="317"/>
        <v>215.06290702910002</v>
      </c>
      <c r="AU273" s="216">
        <f t="shared" si="318"/>
        <v>9.9639613914796046E-2</v>
      </c>
      <c r="AV273" s="102">
        <f t="shared" si="319"/>
        <v>31.92</v>
      </c>
      <c r="AW273" s="103">
        <f t="shared" si="320"/>
        <v>90.972010840331933</v>
      </c>
      <c r="AX273" s="32"/>
      <c r="AY273" s="101">
        <f t="shared" si="351"/>
        <v>60</v>
      </c>
      <c r="AZ273" s="102">
        <f t="shared" si="321"/>
        <v>0.53200000000000003</v>
      </c>
      <c r="BA273" s="102">
        <f t="shared" si="352"/>
        <v>15</v>
      </c>
      <c r="BB273" s="103">
        <f t="shared" si="322"/>
        <v>2.66</v>
      </c>
      <c r="BC273" s="101">
        <f t="shared" si="323"/>
        <v>2</v>
      </c>
      <c r="BD273" s="102">
        <f t="shared" si="324"/>
        <v>0.75</v>
      </c>
      <c r="BE273" s="100">
        <f t="shared" si="325"/>
        <v>0.25</v>
      </c>
      <c r="BF273" s="101">
        <f t="shared" si="326"/>
        <v>0.45000000000000007</v>
      </c>
      <c r="BG273" s="102">
        <f t="shared" si="327"/>
        <v>2.8850000000000002</v>
      </c>
      <c r="BH273" s="102">
        <f t="shared" si="328"/>
        <v>2.6631701034669191</v>
      </c>
      <c r="BI273" s="102">
        <v>0</v>
      </c>
      <c r="BJ273" s="102">
        <f t="shared" si="329"/>
        <v>7.0924750000000009E-2</v>
      </c>
      <c r="BK273" s="103">
        <f t="shared" si="330"/>
        <v>7.0924750000000009E-2</v>
      </c>
      <c r="BL273" s="101">
        <f t="shared" si="331"/>
        <v>1.9950000000000001</v>
      </c>
      <c r="BM273" s="97">
        <f t="shared" si="332"/>
        <v>2.306372964201584</v>
      </c>
      <c r="BN273" s="97">
        <f t="shared" si="333"/>
        <v>0.53001860302525738</v>
      </c>
      <c r="BO273" s="97">
        <f t="shared" si="334"/>
        <v>2.7930000000000001</v>
      </c>
      <c r="BP273" s="103">
        <f t="shared" si="335"/>
        <v>3.3230186030252575</v>
      </c>
      <c r="BQ273" s="101">
        <f t="shared" si="336"/>
        <v>0.66500000000000004</v>
      </c>
      <c r="BR273" s="102">
        <f t="shared" si="337"/>
        <v>1.3315850517334595</v>
      </c>
      <c r="BS273" s="102">
        <f t="shared" si="338"/>
        <v>0.22344</v>
      </c>
      <c r="BT273" s="102">
        <f t="shared" si="339"/>
        <v>0.75525000000000009</v>
      </c>
      <c r="BU273" s="103">
        <f t="shared" si="340"/>
        <v>0.97869000000000006</v>
      </c>
      <c r="BV273" s="99">
        <f t="shared" si="341"/>
        <v>0</v>
      </c>
      <c r="BW273" s="102">
        <f t="shared" si="353"/>
        <v>8.7499999999999994E-2</v>
      </c>
      <c r="BX273" s="103">
        <f t="shared" si="342"/>
        <v>1.155E-2</v>
      </c>
      <c r="BY273" s="101">
        <f t="shared" si="343"/>
        <v>4.4716833530252575</v>
      </c>
      <c r="BZ273" s="102">
        <f t="shared" si="344"/>
        <v>31.92</v>
      </c>
      <c r="CA273" s="103">
        <f t="shared" si="345"/>
        <v>87.712348149309989</v>
      </c>
      <c r="CB273" s="51">
        <f t="shared" si="346"/>
        <v>3.4220686030252576</v>
      </c>
      <c r="CC273" s="32">
        <f t="shared" si="347"/>
        <v>144.772401105884</v>
      </c>
    </row>
    <row r="274" spans="17:81" ht="15" thickBot="1" x14ac:dyDescent="0.35">
      <c r="Q274" s="32">
        <v>267</v>
      </c>
      <c r="S274" s="101">
        <f t="shared" si="348"/>
        <v>60</v>
      </c>
      <c r="T274" s="97">
        <f t="shared" si="294"/>
        <v>0.53400000000000003</v>
      </c>
      <c r="U274" s="102">
        <f t="shared" si="349"/>
        <v>15</v>
      </c>
      <c r="V274" s="103">
        <f t="shared" si="295"/>
        <v>2.67</v>
      </c>
      <c r="W274" s="101">
        <f t="shared" si="296"/>
        <v>2</v>
      </c>
      <c r="X274" s="102">
        <f t="shared" si="297"/>
        <v>0.75</v>
      </c>
      <c r="Y274" s="100">
        <f t="shared" si="298"/>
        <v>0.25</v>
      </c>
      <c r="Z274" s="101">
        <f t="shared" si="299"/>
        <v>0.45000000000000007</v>
      </c>
      <c r="AA274" s="102">
        <f t="shared" si="300"/>
        <v>2.895</v>
      </c>
      <c r="AB274" s="102">
        <f t="shared" si="301"/>
        <v>2.6731582444741275</v>
      </c>
      <c r="AC274" s="102">
        <v>0</v>
      </c>
      <c r="AD274" s="102">
        <f t="shared" si="302"/>
        <v>7.145775E-2</v>
      </c>
      <c r="AE274" s="103">
        <f t="shared" si="303"/>
        <v>7.145775E-2</v>
      </c>
      <c r="AF274" s="101">
        <f t="shared" si="304"/>
        <v>2.0024999999999999</v>
      </c>
      <c r="AG274" s="97">
        <f t="shared" si="305"/>
        <v>2.3150229480504074</v>
      </c>
      <c r="AH274" s="102">
        <f t="shared" si="306"/>
        <v>0.27773674246500007</v>
      </c>
      <c r="AI274" s="97">
        <f t="shared" si="307"/>
        <v>2.8035000000000001</v>
      </c>
      <c r="AJ274" s="103">
        <f t="shared" si="308"/>
        <v>3.0812367424650002</v>
      </c>
      <c r="AK274" s="101">
        <f t="shared" si="309"/>
        <v>0.66749999999999998</v>
      </c>
      <c r="AL274" s="102">
        <f t="shared" si="310"/>
        <v>1.3365791222370638</v>
      </c>
      <c r="AM274" s="102">
        <f t="shared" si="311"/>
        <v>0.22428000000000001</v>
      </c>
      <c r="AN274" s="102">
        <f t="shared" si="312"/>
        <v>0.75525000000000009</v>
      </c>
      <c r="AO274" s="103">
        <f t="shared" si="313"/>
        <v>0.97953000000000012</v>
      </c>
      <c r="AP274" s="99">
        <f t="shared" si="314"/>
        <v>0</v>
      </c>
      <c r="AQ274" s="102">
        <f t="shared" si="350"/>
        <v>8.7499999999999994E-2</v>
      </c>
      <c r="AR274" s="103">
        <f t="shared" si="315"/>
        <v>1.155E-2</v>
      </c>
      <c r="AS274" s="99">
        <f t="shared" si="316"/>
        <v>3.1802867424650003</v>
      </c>
      <c r="AT274" s="215">
        <f t="shared" si="317"/>
        <v>215.81720454790002</v>
      </c>
      <c r="AU274" s="216">
        <f t="shared" si="318"/>
        <v>9.9823744308758622E-2</v>
      </c>
      <c r="AV274" s="102">
        <f t="shared" si="319"/>
        <v>32.04</v>
      </c>
      <c r="AW274" s="103">
        <f t="shared" si="320"/>
        <v>90.970298550606245</v>
      </c>
      <c r="AX274" s="32"/>
      <c r="AY274" s="101">
        <f t="shared" si="351"/>
        <v>60</v>
      </c>
      <c r="AZ274" s="102">
        <f t="shared" si="321"/>
        <v>0.53400000000000003</v>
      </c>
      <c r="BA274" s="102">
        <f t="shared" si="352"/>
        <v>15</v>
      </c>
      <c r="BB274" s="103">
        <f t="shared" si="322"/>
        <v>2.67</v>
      </c>
      <c r="BC274" s="101">
        <f t="shared" si="323"/>
        <v>2</v>
      </c>
      <c r="BD274" s="102">
        <f t="shared" si="324"/>
        <v>0.75</v>
      </c>
      <c r="BE274" s="100">
        <f t="shared" si="325"/>
        <v>0.25</v>
      </c>
      <c r="BF274" s="101">
        <f t="shared" si="326"/>
        <v>0.45000000000000007</v>
      </c>
      <c r="BG274" s="102">
        <f t="shared" si="327"/>
        <v>2.895</v>
      </c>
      <c r="BH274" s="102">
        <f t="shared" si="328"/>
        <v>2.6731582444741275</v>
      </c>
      <c r="BI274" s="102">
        <v>0</v>
      </c>
      <c r="BJ274" s="102">
        <f t="shared" si="329"/>
        <v>7.145775E-2</v>
      </c>
      <c r="BK274" s="103">
        <f t="shared" si="330"/>
        <v>7.145775E-2</v>
      </c>
      <c r="BL274" s="101">
        <f t="shared" si="331"/>
        <v>2.0024999999999999</v>
      </c>
      <c r="BM274" s="97">
        <f t="shared" si="332"/>
        <v>2.3150229480504074</v>
      </c>
      <c r="BN274" s="97">
        <f t="shared" si="333"/>
        <v>0.53498851236593969</v>
      </c>
      <c r="BO274" s="97">
        <f t="shared" si="334"/>
        <v>2.8035000000000001</v>
      </c>
      <c r="BP274" s="103">
        <f t="shared" si="335"/>
        <v>3.3384885123659398</v>
      </c>
      <c r="BQ274" s="101">
        <f t="shared" si="336"/>
        <v>0.66749999999999998</v>
      </c>
      <c r="BR274" s="102">
        <f t="shared" si="337"/>
        <v>1.3365791222370638</v>
      </c>
      <c r="BS274" s="102">
        <f t="shared" si="338"/>
        <v>0.22428000000000001</v>
      </c>
      <c r="BT274" s="102">
        <f t="shared" si="339"/>
        <v>0.75525000000000009</v>
      </c>
      <c r="BU274" s="103">
        <f t="shared" si="340"/>
        <v>0.97953000000000012</v>
      </c>
      <c r="BV274" s="99">
        <f t="shared" si="341"/>
        <v>0</v>
      </c>
      <c r="BW274" s="102">
        <f t="shared" si="353"/>
        <v>8.7499999999999994E-2</v>
      </c>
      <c r="BX274" s="103">
        <f t="shared" si="342"/>
        <v>1.155E-2</v>
      </c>
      <c r="BY274" s="101">
        <f t="shared" si="343"/>
        <v>4.4885262623659408</v>
      </c>
      <c r="BZ274" s="102">
        <f t="shared" si="344"/>
        <v>32.04</v>
      </c>
      <c r="CA274" s="103">
        <f t="shared" si="345"/>
        <v>87.712271143579329</v>
      </c>
      <c r="CB274" s="51">
        <f t="shared" si="346"/>
        <v>3.4375385123659399</v>
      </c>
      <c r="CC274" s="32">
        <f t="shared" si="347"/>
        <v>145.3138479328079</v>
      </c>
    </row>
    <row r="275" spans="17:81" ht="15" thickBot="1" x14ac:dyDescent="0.35">
      <c r="Q275" s="32">
        <v>268</v>
      </c>
      <c r="S275" s="101">
        <f t="shared" si="348"/>
        <v>60</v>
      </c>
      <c r="T275" s="97">
        <f t="shared" si="294"/>
        <v>0.53600000000000003</v>
      </c>
      <c r="U275" s="102">
        <f t="shared" si="349"/>
        <v>15</v>
      </c>
      <c r="V275" s="103">
        <f t="shared" si="295"/>
        <v>2.68</v>
      </c>
      <c r="W275" s="101">
        <f t="shared" si="296"/>
        <v>2</v>
      </c>
      <c r="X275" s="102">
        <f t="shared" si="297"/>
        <v>0.75</v>
      </c>
      <c r="Y275" s="100">
        <f t="shared" si="298"/>
        <v>0.25</v>
      </c>
      <c r="Z275" s="101">
        <f t="shared" si="299"/>
        <v>0.45000000000000007</v>
      </c>
      <c r="AA275" s="102">
        <f t="shared" si="300"/>
        <v>2.9050000000000002</v>
      </c>
      <c r="AB275" s="102">
        <f t="shared" si="301"/>
        <v>2.6831464738250874</v>
      </c>
      <c r="AC275" s="102">
        <v>0</v>
      </c>
      <c r="AD275" s="102">
        <f t="shared" si="302"/>
        <v>7.1992750000000008E-2</v>
      </c>
      <c r="AE275" s="103">
        <f t="shared" si="303"/>
        <v>7.1992750000000008E-2</v>
      </c>
      <c r="AF275" s="101">
        <f t="shared" si="304"/>
        <v>2.0100000000000002</v>
      </c>
      <c r="AG275" s="97">
        <f t="shared" si="305"/>
        <v>2.3236730084071642</v>
      </c>
      <c r="AH275" s="102">
        <f t="shared" si="306"/>
        <v>0.27981614123166682</v>
      </c>
      <c r="AI275" s="97">
        <f t="shared" si="307"/>
        <v>2.8140000000000001</v>
      </c>
      <c r="AJ275" s="103">
        <f t="shared" si="308"/>
        <v>3.0938161412316667</v>
      </c>
      <c r="AK275" s="101">
        <f t="shared" si="309"/>
        <v>0.67</v>
      </c>
      <c r="AL275" s="102">
        <f t="shared" si="310"/>
        <v>1.3415732369125439</v>
      </c>
      <c r="AM275" s="102">
        <f t="shared" si="311"/>
        <v>0.22512000000000001</v>
      </c>
      <c r="AN275" s="102">
        <f t="shared" si="312"/>
        <v>0.75525000000000009</v>
      </c>
      <c r="AO275" s="103">
        <f t="shared" si="313"/>
        <v>0.98037000000000007</v>
      </c>
      <c r="AP275" s="99">
        <f t="shared" si="314"/>
        <v>0</v>
      </c>
      <c r="AQ275" s="102">
        <f t="shared" si="350"/>
        <v>8.7499999999999994E-2</v>
      </c>
      <c r="AR275" s="103">
        <f t="shared" si="315"/>
        <v>1.155E-2</v>
      </c>
      <c r="AS275" s="99">
        <f t="shared" si="316"/>
        <v>3.1928661412316668</v>
      </c>
      <c r="AT275" s="215">
        <f t="shared" si="317"/>
        <v>216.5719684739</v>
      </c>
      <c r="AU275" s="216">
        <f t="shared" si="318"/>
        <v>0.10000798855665725</v>
      </c>
      <c r="AV275" s="102">
        <f t="shared" si="319"/>
        <v>32.160000000000004</v>
      </c>
      <c r="AW275" s="103">
        <f t="shared" si="320"/>
        <v>90.968579100555971</v>
      </c>
      <c r="AX275" s="32"/>
      <c r="AY275" s="101">
        <f t="shared" si="351"/>
        <v>60</v>
      </c>
      <c r="AZ275" s="102">
        <f t="shared" si="321"/>
        <v>0.53600000000000003</v>
      </c>
      <c r="BA275" s="102">
        <f t="shared" si="352"/>
        <v>15</v>
      </c>
      <c r="BB275" s="103">
        <f t="shared" si="322"/>
        <v>2.68</v>
      </c>
      <c r="BC275" s="101">
        <f t="shared" si="323"/>
        <v>2</v>
      </c>
      <c r="BD275" s="102">
        <f t="shared" si="324"/>
        <v>0.75</v>
      </c>
      <c r="BE275" s="100">
        <f t="shared" si="325"/>
        <v>0.25</v>
      </c>
      <c r="BF275" s="101">
        <f t="shared" si="326"/>
        <v>0.45000000000000007</v>
      </c>
      <c r="BG275" s="102">
        <f t="shared" si="327"/>
        <v>2.9050000000000002</v>
      </c>
      <c r="BH275" s="102">
        <f t="shared" si="328"/>
        <v>2.6831464738250874</v>
      </c>
      <c r="BI275" s="102">
        <v>0</v>
      </c>
      <c r="BJ275" s="102">
        <f t="shared" si="329"/>
        <v>7.1992750000000008E-2</v>
      </c>
      <c r="BK275" s="103">
        <f t="shared" si="330"/>
        <v>7.1992750000000008E-2</v>
      </c>
      <c r="BL275" s="101">
        <f t="shared" si="331"/>
        <v>2.0100000000000002</v>
      </c>
      <c r="BM275" s="97">
        <f t="shared" si="332"/>
        <v>2.3236730084071642</v>
      </c>
      <c r="BN275" s="97">
        <f t="shared" si="333"/>
        <v>0.53998875886217157</v>
      </c>
      <c r="BO275" s="97">
        <f t="shared" si="334"/>
        <v>2.8140000000000001</v>
      </c>
      <c r="BP275" s="103">
        <f t="shared" si="335"/>
        <v>3.3539887588621715</v>
      </c>
      <c r="BQ275" s="101">
        <f t="shared" si="336"/>
        <v>0.67</v>
      </c>
      <c r="BR275" s="102">
        <f t="shared" si="337"/>
        <v>1.3415732369125439</v>
      </c>
      <c r="BS275" s="102">
        <f t="shared" si="338"/>
        <v>0.22512000000000001</v>
      </c>
      <c r="BT275" s="102">
        <f t="shared" si="339"/>
        <v>0.75525000000000009</v>
      </c>
      <c r="BU275" s="103">
        <f t="shared" si="340"/>
        <v>0.98037000000000007</v>
      </c>
      <c r="BV275" s="99">
        <f t="shared" si="341"/>
        <v>0</v>
      </c>
      <c r="BW275" s="102">
        <f t="shared" si="353"/>
        <v>8.7499999999999994E-2</v>
      </c>
      <c r="BX275" s="103">
        <f t="shared" si="342"/>
        <v>1.155E-2</v>
      </c>
      <c r="BY275" s="101">
        <f t="shared" si="343"/>
        <v>4.5054015088621711</v>
      </c>
      <c r="BZ275" s="102">
        <f t="shared" si="344"/>
        <v>32.160000000000004</v>
      </c>
      <c r="CA275" s="103">
        <f t="shared" si="345"/>
        <v>87.712117354631459</v>
      </c>
      <c r="CB275" s="51">
        <f t="shared" si="346"/>
        <v>3.4530387588621716</v>
      </c>
      <c r="CC275" s="32">
        <f t="shared" si="347"/>
        <v>145.85635656017601</v>
      </c>
    </row>
    <row r="276" spans="17:81" ht="15" thickBot="1" x14ac:dyDescent="0.35">
      <c r="Q276" s="32">
        <v>269</v>
      </c>
      <c r="S276" s="101">
        <f t="shared" si="348"/>
        <v>60</v>
      </c>
      <c r="T276" s="97">
        <f t="shared" si="294"/>
        <v>0.53800000000000003</v>
      </c>
      <c r="U276" s="102">
        <f t="shared" si="349"/>
        <v>15</v>
      </c>
      <c r="V276" s="103">
        <f t="shared" si="295"/>
        <v>2.69</v>
      </c>
      <c r="W276" s="101">
        <f t="shared" si="296"/>
        <v>2</v>
      </c>
      <c r="X276" s="102">
        <f t="shared" si="297"/>
        <v>0.75</v>
      </c>
      <c r="Y276" s="100">
        <f t="shared" si="298"/>
        <v>0.25</v>
      </c>
      <c r="Z276" s="101">
        <f t="shared" si="299"/>
        <v>0.45000000000000007</v>
      </c>
      <c r="AA276" s="102">
        <f t="shared" si="300"/>
        <v>2.915</v>
      </c>
      <c r="AB276" s="102">
        <f t="shared" si="301"/>
        <v>2.6931347905368566</v>
      </c>
      <c r="AC276" s="102">
        <v>0</v>
      </c>
      <c r="AD276" s="102">
        <f t="shared" si="302"/>
        <v>7.252974999999999E-2</v>
      </c>
      <c r="AE276" s="103">
        <f t="shared" si="303"/>
        <v>7.252974999999999E-2</v>
      </c>
      <c r="AF276" s="101">
        <f t="shared" si="304"/>
        <v>2.0175000000000001</v>
      </c>
      <c r="AG276" s="97">
        <f t="shared" si="305"/>
        <v>2.3323231444206014</v>
      </c>
      <c r="AH276" s="102">
        <f t="shared" si="306"/>
        <v>0.2819033134516668</v>
      </c>
      <c r="AI276" s="97">
        <f t="shared" si="307"/>
        <v>2.8245</v>
      </c>
      <c r="AJ276" s="103">
        <f t="shared" si="308"/>
        <v>3.1064033134516666</v>
      </c>
      <c r="AK276" s="101">
        <f t="shared" si="309"/>
        <v>0.67249999999999999</v>
      </c>
      <c r="AL276" s="102">
        <f t="shared" si="310"/>
        <v>1.3465673952684285</v>
      </c>
      <c r="AM276" s="102">
        <f t="shared" si="311"/>
        <v>0.22595999999999999</v>
      </c>
      <c r="AN276" s="102">
        <f t="shared" si="312"/>
        <v>0.75525000000000009</v>
      </c>
      <c r="AO276" s="103">
        <f t="shared" si="313"/>
        <v>0.98121000000000014</v>
      </c>
      <c r="AP276" s="99">
        <f t="shared" si="314"/>
        <v>0</v>
      </c>
      <c r="AQ276" s="102">
        <f t="shared" si="350"/>
        <v>8.7499999999999994E-2</v>
      </c>
      <c r="AR276" s="103">
        <f t="shared" si="315"/>
        <v>1.155E-2</v>
      </c>
      <c r="AS276" s="99">
        <f t="shared" si="316"/>
        <v>3.2054533134516667</v>
      </c>
      <c r="AT276" s="215">
        <f t="shared" si="317"/>
        <v>217.32719880709999</v>
      </c>
      <c r="AU276" s="216">
        <f t="shared" si="318"/>
        <v>0.10019234665849196</v>
      </c>
      <c r="AV276" s="102">
        <f t="shared" si="319"/>
        <v>32.28</v>
      </c>
      <c r="AW276" s="103">
        <f t="shared" si="320"/>
        <v>90.966852571567514</v>
      </c>
      <c r="AX276" s="32"/>
      <c r="AY276" s="101">
        <f t="shared" si="351"/>
        <v>60</v>
      </c>
      <c r="AZ276" s="102">
        <f t="shared" si="321"/>
        <v>0.53800000000000003</v>
      </c>
      <c r="BA276" s="102">
        <f t="shared" si="352"/>
        <v>15</v>
      </c>
      <c r="BB276" s="103">
        <f t="shared" si="322"/>
        <v>2.69</v>
      </c>
      <c r="BC276" s="101">
        <f t="shared" si="323"/>
        <v>2</v>
      </c>
      <c r="BD276" s="102">
        <f t="shared" si="324"/>
        <v>0.75</v>
      </c>
      <c r="BE276" s="100">
        <f t="shared" si="325"/>
        <v>0.25</v>
      </c>
      <c r="BF276" s="101">
        <f t="shared" si="326"/>
        <v>0.45000000000000007</v>
      </c>
      <c r="BG276" s="102">
        <f t="shared" si="327"/>
        <v>2.915</v>
      </c>
      <c r="BH276" s="102">
        <f t="shared" si="328"/>
        <v>2.6931347905368566</v>
      </c>
      <c r="BI276" s="102">
        <v>0</v>
      </c>
      <c r="BJ276" s="102">
        <f t="shared" si="329"/>
        <v>7.252974999999999E-2</v>
      </c>
      <c r="BK276" s="103">
        <f t="shared" si="330"/>
        <v>7.252974999999999E-2</v>
      </c>
      <c r="BL276" s="101">
        <f t="shared" si="331"/>
        <v>2.0175000000000001</v>
      </c>
      <c r="BM276" s="97">
        <f t="shared" si="332"/>
        <v>2.3323231444206014</v>
      </c>
      <c r="BN276" s="97">
        <f t="shared" si="333"/>
        <v>0.54501943912903195</v>
      </c>
      <c r="BO276" s="97">
        <f t="shared" si="334"/>
        <v>2.8245</v>
      </c>
      <c r="BP276" s="103">
        <f t="shared" si="335"/>
        <v>3.3695194391290322</v>
      </c>
      <c r="BQ276" s="101">
        <f t="shared" si="336"/>
        <v>0.67249999999999999</v>
      </c>
      <c r="BR276" s="102">
        <f t="shared" si="337"/>
        <v>1.3465673952684285</v>
      </c>
      <c r="BS276" s="102">
        <f t="shared" si="338"/>
        <v>0.22595999999999999</v>
      </c>
      <c r="BT276" s="102">
        <f t="shared" si="339"/>
        <v>0.75525000000000009</v>
      </c>
      <c r="BU276" s="103">
        <f t="shared" si="340"/>
        <v>0.98121000000000014</v>
      </c>
      <c r="BV276" s="99">
        <f t="shared" si="341"/>
        <v>0</v>
      </c>
      <c r="BW276" s="102">
        <f t="shared" si="353"/>
        <v>8.7499999999999994E-2</v>
      </c>
      <c r="BX276" s="103">
        <f t="shared" si="342"/>
        <v>1.155E-2</v>
      </c>
      <c r="BY276" s="101">
        <f t="shared" si="343"/>
        <v>4.5223091891290323</v>
      </c>
      <c r="BZ276" s="102">
        <f t="shared" si="344"/>
        <v>32.28</v>
      </c>
      <c r="CA276" s="103">
        <f t="shared" si="345"/>
        <v>87.71188740932358</v>
      </c>
      <c r="CB276" s="51">
        <f t="shared" si="346"/>
        <v>3.4685694391290323</v>
      </c>
      <c r="CC276" s="32">
        <f t="shared" si="347"/>
        <v>146.39993036951614</v>
      </c>
    </row>
    <row r="277" spans="17:81" ht="15" thickBot="1" x14ac:dyDescent="0.35">
      <c r="Q277" s="32">
        <v>270</v>
      </c>
      <c r="S277" s="101">
        <f t="shared" si="348"/>
        <v>60</v>
      </c>
      <c r="T277" s="97">
        <f t="shared" si="294"/>
        <v>0.54</v>
      </c>
      <c r="U277" s="102">
        <f t="shared" si="349"/>
        <v>15</v>
      </c>
      <c r="V277" s="103">
        <f t="shared" si="295"/>
        <v>2.7000000000000006</v>
      </c>
      <c r="W277" s="101">
        <f t="shared" si="296"/>
        <v>2</v>
      </c>
      <c r="X277" s="102">
        <f t="shared" si="297"/>
        <v>0.75</v>
      </c>
      <c r="Y277" s="100">
        <f t="shared" si="298"/>
        <v>0.25</v>
      </c>
      <c r="Z277" s="101">
        <f t="shared" si="299"/>
        <v>0.45000000000000007</v>
      </c>
      <c r="AA277" s="102">
        <f t="shared" si="300"/>
        <v>2.9250000000000007</v>
      </c>
      <c r="AB277" s="102">
        <f t="shared" si="301"/>
        <v>2.7031231936410154</v>
      </c>
      <c r="AC277" s="102">
        <v>0</v>
      </c>
      <c r="AD277" s="102">
        <f t="shared" si="302"/>
        <v>7.306875000000003E-2</v>
      </c>
      <c r="AE277" s="103">
        <f t="shared" si="303"/>
        <v>7.306875000000003E-2</v>
      </c>
      <c r="AF277" s="101">
        <f t="shared" si="304"/>
        <v>2.0250000000000004</v>
      </c>
      <c r="AG277" s="97">
        <f t="shared" si="305"/>
        <v>2.340973355252042</v>
      </c>
      <c r="AH277" s="102">
        <f t="shared" si="306"/>
        <v>0.28399825912500021</v>
      </c>
      <c r="AI277" s="97">
        <f t="shared" si="307"/>
        <v>2.8350000000000004</v>
      </c>
      <c r="AJ277" s="103">
        <f t="shared" si="308"/>
        <v>3.1189982591250005</v>
      </c>
      <c r="AK277" s="101">
        <f t="shared" si="309"/>
        <v>0.67500000000000016</v>
      </c>
      <c r="AL277" s="102">
        <f t="shared" si="310"/>
        <v>1.3515615968205079</v>
      </c>
      <c r="AM277" s="102">
        <f t="shared" si="311"/>
        <v>0.2268</v>
      </c>
      <c r="AN277" s="102">
        <f t="shared" si="312"/>
        <v>0.75525000000000009</v>
      </c>
      <c r="AO277" s="103">
        <f t="shared" si="313"/>
        <v>0.98205000000000009</v>
      </c>
      <c r="AP277" s="99">
        <f t="shared" si="314"/>
        <v>0</v>
      </c>
      <c r="AQ277" s="102">
        <f t="shared" si="350"/>
        <v>8.7499999999999994E-2</v>
      </c>
      <c r="AR277" s="103">
        <f t="shared" si="315"/>
        <v>1.155E-2</v>
      </c>
      <c r="AS277" s="99">
        <f t="shared" si="316"/>
        <v>3.2180482591250006</v>
      </c>
      <c r="AT277" s="215">
        <f t="shared" si="317"/>
        <v>218.08289554750004</v>
      </c>
      <c r="AU277" s="216">
        <f t="shared" si="318"/>
        <v>0.10037681861426274</v>
      </c>
      <c r="AV277" s="102">
        <f t="shared" si="319"/>
        <v>32.400000000000006</v>
      </c>
      <c r="AW277" s="103">
        <f t="shared" si="320"/>
        <v>90.965119043824743</v>
      </c>
      <c r="AX277" s="32"/>
      <c r="AY277" s="101">
        <f t="shared" si="351"/>
        <v>60</v>
      </c>
      <c r="AZ277" s="102">
        <f t="shared" si="321"/>
        <v>0.54</v>
      </c>
      <c r="BA277" s="102">
        <f t="shared" si="352"/>
        <v>15</v>
      </c>
      <c r="BB277" s="103">
        <f t="shared" si="322"/>
        <v>2.7000000000000006</v>
      </c>
      <c r="BC277" s="101">
        <f t="shared" si="323"/>
        <v>2</v>
      </c>
      <c r="BD277" s="102">
        <f t="shared" si="324"/>
        <v>0.75</v>
      </c>
      <c r="BE277" s="100">
        <f t="shared" si="325"/>
        <v>0.25</v>
      </c>
      <c r="BF277" s="101">
        <f t="shared" si="326"/>
        <v>0.45000000000000007</v>
      </c>
      <c r="BG277" s="102">
        <f t="shared" si="327"/>
        <v>2.9250000000000007</v>
      </c>
      <c r="BH277" s="102">
        <f t="shared" si="328"/>
        <v>2.7031231936410154</v>
      </c>
      <c r="BI277" s="102">
        <v>0</v>
      </c>
      <c r="BJ277" s="102">
        <f t="shared" si="329"/>
        <v>7.306875000000003E-2</v>
      </c>
      <c r="BK277" s="103">
        <f t="shared" si="330"/>
        <v>7.306875000000003E-2</v>
      </c>
      <c r="BL277" s="101">
        <f t="shared" si="331"/>
        <v>2.0250000000000004</v>
      </c>
      <c r="BM277" s="97">
        <f t="shared" si="332"/>
        <v>2.340973355252042</v>
      </c>
      <c r="BN277" s="97">
        <f t="shared" si="333"/>
        <v>0.55008064988406857</v>
      </c>
      <c r="BO277" s="97">
        <f t="shared" si="334"/>
        <v>2.8350000000000004</v>
      </c>
      <c r="BP277" s="103">
        <f t="shared" si="335"/>
        <v>3.3850806498840691</v>
      </c>
      <c r="BQ277" s="101">
        <f t="shared" si="336"/>
        <v>0.67500000000000016</v>
      </c>
      <c r="BR277" s="102">
        <f t="shared" si="337"/>
        <v>1.3515615968205079</v>
      </c>
      <c r="BS277" s="102">
        <f t="shared" si="338"/>
        <v>0.2268</v>
      </c>
      <c r="BT277" s="102">
        <f t="shared" si="339"/>
        <v>0.75525000000000009</v>
      </c>
      <c r="BU277" s="103">
        <f t="shared" si="340"/>
        <v>0.98205000000000009</v>
      </c>
      <c r="BV277" s="99">
        <f t="shared" si="341"/>
        <v>0</v>
      </c>
      <c r="BW277" s="102">
        <f t="shared" si="353"/>
        <v>8.7499999999999994E-2</v>
      </c>
      <c r="BX277" s="103">
        <f t="shared" si="342"/>
        <v>1.155E-2</v>
      </c>
      <c r="BY277" s="101">
        <f t="shared" si="343"/>
        <v>4.5392493998840697</v>
      </c>
      <c r="BZ277" s="102">
        <f t="shared" si="344"/>
        <v>32.400000000000006</v>
      </c>
      <c r="CA277" s="103">
        <f t="shared" si="345"/>
        <v>87.711581925380671</v>
      </c>
      <c r="CB277" s="51">
        <f t="shared" si="346"/>
        <v>3.4841306498840692</v>
      </c>
      <c r="CC277" s="32">
        <f t="shared" si="347"/>
        <v>146.94457274594242</v>
      </c>
    </row>
    <row r="278" spans="17:81" ht="15" thickBot="1" x14ac:dyDescent="0.35">
      <c r="Q278" s="32">
        <v>271</v>
      </c>
      <c r="S278" s="101">
        <f t="shared" si="348"/>
        <v>60</v>
      </c>
      <c r="T278" s="97">
        <f t="shared" si="294"/>
        <v>0.54200000000000004</v>
      </c>
      <c r="U278" s="102">
        <f t="shared" si="349"/>
        <v>15</v>
      </c>
      <c r="V278" s="103">
        <f t="shared" si="295"/>
        <v>2.7100000000000004</v>
      </c>
      <c r="W278" s="101">
        <f t="shared" si="296"/>
        <v>2</v>
      </c>
      <c r="X278" s="102">
        <f t="shared" si="297"/>
        <v>0.75</v>
      </c>
      <c r="Y278" s="100">
        <f t="shared" si="298"/>
        <v>0.25</v>
      </c>
      <c r="Z278" s="101">
        <f t="shared" si="299"/>
        <v>0.45000000000000007</v>
      </c>
      <c r="AA278" s="102">
        <f t="shared" si="300"/>
        <v>2.9350000000000005</v>
      </c>
      <c r="AB278" s="102">
        <f t="shared" si="301"/>
        <v>2.7131116821833934</v>
      </c>
      <c r="AC278" s="102">
        <v>0</v>
      </c>
      <c r="AD278" s="102">
        <f t="shared" si="302"/>
        <v>7.3609750000000029E-2</v>
      </c>
      <c r="AE278" s="103">
        <f t="shared" si="303"/>
        <v>7.3609750000000029E-2</v>
      </c>
      <c r="AF278" s="101">
        <f t="shared" si="304"/>
        <v>2.0325000000000002</v>
      </c>
      <c r="AG278" s="97">
        <f t="shared" si="305"/>
        <v>2.3496236400751509</v>
      </c>
      <c r="AH278" s="102">
        <f t="shared" si="306"/>
        <v>0.28610097825166686</v>
      </c>
      <c r="AI278" s="97">
        <f t="shared" si="307"/>
        <v>2.8455000000000004</v>
      </c>
      <c r="AJ278" s="103">
        <f t="shared" si="308"/>
        <v>3.1316009782516674</v>
      </c>
      <c r="AK278" s="101">
        <f t="shared" si="309"/>
        <v>0.6775000000000001</v>
      </c>
      <c r="AL278" s="102">
        <f t="shared" si="310"/>
        <v>1.3565558410916967</v>
      </c>
      <c r="AM278" s="102">
        <f t="shared" si="311"/>
        <v>0.22764000000000001</v>
      </c>
      <c r="AN278" s="102">
        <f t="shared" si="312"/>
        <v>0.75525000000000009</v>
      </c>
      <c r="AO278" s="103">
        <f t="shared" si="313"/>
        <v>0.98289000000000004</v>
      </c>
      <c r="AP278" s="99">
        <f t="shared" si="314"/>
        <v>0</v>
      </c>
      <c r="AQ278" s="102">
        <f t="shared" si="350"/>
        <v>8.7499999999999994E-2</v>
      </c>
      <c r="AR278" s="103">
        <f t="shared" si="315"/>
        <v>1.155E-2</v>
      </c>
      <c r="AS278" s="99">
        <f t="shared" si="316"/>
        <v>3.2306509782516675</v>
      </c>
      <c r="AT278" s="215">
        <f t="shared" si="317"/>
        <v>218.83905869510005</v>
      </c>
      <c r="AU278" s="216">
        <f t="shared" si="318"/>
        <v>0.1005614044239696</v>
      </c>
      <c r="AV278" s="102">
        <f t="shared" si="319"/>
        <v>32.520000000000003</v>
      </c>
      <c r="AW278" s="103">
        <f t="shared" si="320"/>
        <v>90.963378596331069</v>
      </c>
      <c r="AX278" s="32"/>
      <c r="AY278" s="101">
        <f t="shared" si="351"/>
        <v>60</v>
      </c>
      <c r="AZ278" s="102">
        <f t="shared" si="321"/>
        <v>0.54200000000000004</v>
      </c>
      <c r="BA278" s="102">
        <f t="shared" si="352"/>
        <v>15</v>
      </c>
      <c r="BB278" s="103">
        <f t="shared" si="322"/>
        <v>2.7100000000000004</v>
      </c>
      <c r="BC278" s="101">
        <f t="shared" si="323"/>
        <v>2</v>
      </c>
      <c r="BD278" s="102">
        <f t="shared" si="324"/>
        <v>0.75</v>
      </c>
      <c r="BE278" s="100">
        <f t="shared" si="325"/>
        <v>0.25</v>
      </c>
      <c r="BF278" s="101">
        <f t="shared" si="326"/>
        <v>0.45000000000000007</v>
      </c>
      <c r="BG278" s="102">
        <f t="shared" si="327"/>
        <v>2.9350000000000005</v>
      </c>
      <c r="BH278" s="102">
        <f t="shared" si="328"/>
        <v>2.7131116821833934</v>
      </c>
      <c r="BI278" s="102">
        <v>0</v>
      </c>
      <c r="BJ278" s="102">
        <f t="shared" si="329"/>
        <v>7.3609750000000029E-2</v>
      </c>
      <c r="BK278" s="103">
        <f t="shared" si="330"/>
        <v>7.3609750000000029E-2</v>
      </c>
      <c r="BL278" s="101">
        <f t="shared" si="331"/>
        <v>2.0325000000000002</v>
      </c>
      <c r="BM278" s="97">
        <f t="shared" si="332"/>
        <v>2.3496236400751509</v>
      </c>
      <c r="BN278" s="97">
        <f t="shared" si="333"/>
        <v>0.55517248794729745</v>
      </c>
      <c r="BO278" s="97">
        <f t="shared" si="334"/>
        <v>2.8455000000000004</v>
      </c>
      <c r="BP278" s="103">
        <f t="shared" si="335"/>
        <v>3.4006724879472978</v>
      </c>
      <c r="BQ278" s="101">
        <f t="shared" si="336"/>
        <v>0.6775000000000001</v>
      </c>
      <c r="BR278" s="102">
        <f t="shared" si="337"/>
        <v>1.3565558410916967</v>
      </c>
      <c r="BS278" s="102">
        <f t="shared" si="338"/>
        <v>0.22764000000000001</v>
      </c>
      <c r="BT278" s="102">
        <f t="shared" si="339"/>
        <v>0.75525000000000009</v>
      </c>
      <c r="BU278" s="103">
        <f t="shared" si="340"/>
        <v>0.98289000000000004</v>
      </c>
      <c r="BV278" s="99">
        <f t="shared" si="341"/>
        <v>0</v>
      </c>
      <c r="BW278" s="102">
        <f t="shared" si="353"/>
        <v>8.7499999999999994E-2</v>
      </c>
      <c r="BX278" s="103">
        <f t="shared" si="342"/>
        <v>1.155E-2</v>
      </c>
      <c r="BY278" s="101">
        <f t="shared" si="343"/>
        <v>4.5562222379472983</v>
      </c>
      <c r="BZ278" s="102">
        <f t="shared" si="344"/>
        <v>32.520000000000003</v>
      </c>
      <c r="CA278" s="103">
        <f t="shared" si="345"/>
        <v>87.711201511560617</v>
      </c>
      <c r="CB278" s="51">
        <f t="shared" si="346"/>
        <v>3.4997224879472979</v>
      </c>
      <c r="CC278" s="32">
        <f t="shared" si="347"/>
        <v>147.49028707815543</v>
      </c>
    </row>
    <row r="279" spans="17:81" ht="15" thickBot="1" x14ac:dyDescent="0.35">
      <c r="Q279" s="32">
        <v>272</v>
      </c>
      <c r="S279" s="101">
        <f t="shared" si="348"/>
        <v>60</v>
      </c>
      <c r="T279" s="97">
        <f t="shared" si="294"/>
        <v>0.54400000000000004</v>
      </c>
      <c r="U279" s="102">
        <f t="shared" si="349"/>
        <v>15</v>
      </c>
      <c r="V279" s="103">
        <f t="shared" si="295"/>
        <v>2.72</v>
      </c>
      <c r="W279" s="101">
        <f t="shared" si="296"/>
        <v>2</v>
      </c>
      <c r="X279" s="102">
        <f t="shared" si="297"/>
        <v>0.75</v>
      </c>
      <c r="Y279" s="100">
        <f t="shared" si="298"/>
        <v>0.25</v>
      </c>
      <c r="Z279" s="101">
        <f t="shared" si="299"/>
        <v>0.45000000000000007</v>
      </c>
      <c r="AA279" s="102">
        <f t="shared" si="300"/>
        <v>2.9450000000000003</v>
      </c>
      <c r="AB279" s="102">
        <f t="shared" si="301"/>
        <v>2.7231002552238142</v>
      </c>
      <c r="AC279" s="102">
        <v>0</v>
      </c>
      <c r="AD279" s="102">
        <f t="shared" si="302"/>
        <v>7.4152750000000017E-2</v>
      </c>
      <c r="AE279" s="103">
        <f t="shared" si="303"/>
        <v>7.4152750000000017E-2</v>
      </c>
      <c r="AF279" s="101">
        <f t="shared" si="304"/>
        <v>2.04</v>
      </c>
      <c r="AG279" s="97">
        <f t="shared" si="305"/>
        <v>2.3582739980757115</v>
      </c>
      <c r="AH279" s="102">
        <f t="shared" si="306"/>
        <v>0.28821147083166682</v>
      </c>
      <c r="AI279" s="97">
        <f t="shared" si="307"/>
        <v>2.8560000000000003</v>
      </c>
      <c r="AJ279" s="103">
        <f t="shared" si="308"/>
        <v>3.1442114708316673</v>
      </c>
      <c r="AK279" s="101">
        <f t="shared" si="309"/>
        <v>0.68</v>
      </c>
      <c r="AL279" s="102">
        <f t="shared" si="310"/>
        <v>1.3615501276119071</v>
      </c>
      <c r="AM279" s="102">
        <f t="shared" si="311"/>
        <v>0.22848000000000002</v>
      </c>
      <c r="AN279" s="102">
        <f t="shared" si="312"/>
        <v>0.75525000000000009</v>
      </c>
      <c r="AO279" s="103">
        <f t="shared" si="313"/>
        <v>0.9837300000000001</v>
      </c>
      <c r="AP279" s="99">
        <f t="shared" si="314"/>
        <v>0</v>
      </c>
      <c r="AQ279" s="102">
        <f t="shared" si="350"/>
        <v>8.7499999999999994E-2</v>
      </c>
      <c r="AR279" s="103">
        <f t="shared" si="315"/>
        <v>1.155E-2</v>
      </c>
      <c r="AS279" s="99">
        <f t="shared" si="316"/>
        <v>3.2432614708316674</v>
      </c>
      <c r="AT279" s="215">
        <f t="shared" si="317"/>
        <v>219.59568824990004</v>
      </c>
      <c r="AU279" s="216">
        <f t="shared" si="318"/>
        <v>0.10074610408761253</v>
      </c>
      <c r="AV279" s="102">
        <f t="shared" si="319"/>
        <v>32.64</v>
      </c>
      <c r="AW279" s="103">
        <f t="shared" si="320"/>
        <v>90.961631306931196</v>
      </c>
      <c r="AX279" s="32"/>
      <c r="AY279" s="101">
        <f t="shared" si="351"/>
        <v>60</v>
      </c>
      <c r="AZ279" s="102">
        <f t="shared" si="321"/>
        <v>0.54400000000000004</v>
      </c>
      <c r="BA279" s="102">
        <f t="shared" si="352"/>
        <v>15</v>
      </c>
      <c r="BB279" s="103">
        <f t="shared" si="322"/>
        <v>2.72</v>
      </c>
      <c r="BC279" s="101">
        <f t="shared" si="323"/>
        <v>2</v>
      </c>
      <c r="BD279" s="102">
        <f t="shared" si="324"/>
        <v>0.75</v>
      </c>
      <c r="BE279" s="100">
        <f t="shared" si="325"/>
        <v>0.25</v>
      </c>
      <c r="BF279" s="101">
        <f t="shared" si="326"/>
        <v>0.45000000000000007</v>
      </c>
      <c r="BG279" s="102">
        <f t="shared" si="327"/>
        <v>2.9450000000000003</v>
      </c>
      <c r="BH279" s="102">
        <f t="shared" si="328"/>
        <v>2.7231002552238142</v>
      </c>
      <c r="BI279" s="102">
        <v>0</v>
      </c>
      <c r="BJ279" s="102">
        <f t="shared" si="329"/>
        <v>7.4152750000000017E-2</v>
      </c>
      <c r="BK279" s="103">
        <f t="shared" si="330"/>
        <v>7.4152750000000017E-2</v>
      </c>
      <c r="BL279" s="101">
        <f t="shared" si="331"/>
        <v>2.04</v>
      </c>
      <c r="BM279" s="97">
        <f t="shared" si="332"/>
        <v>2.3582739980757115</v>
      </c>
      <c r="BN279" s="97">
        <f t="shared" si="333"/>
        <v>0.5602950502412033</v>
      </c>
      <c r="BO279" s="97">
        <f t="shared" si="334"/>
        <v>2.8560000000000003</v>
      </c>
      <c r="BP279" s="103">
        <f t="shared" si="335"/>
        <v>3.4162950502412035</v>
      </c>
      <c r="BQ279" s="101">
        <f t="shared" si="336"/>
        <v>0.68</v>
      </c>
      <c r="BR279" s="102">
        <f t="shared" si="337"/>
        <v>1.3615501276119071</v>
      </c>
      <c r="BS279" s="102">
        <f t="shared" si="338"/>
        <v>0.22848000000000002</v>
      </c>
      <c r="BT279" s="102">
        <f t="shared" si="339"/>
        <v>0.75525000000000009</v>
      </c>
      <c r="BU279" s="103">
        <f t="shared" si="340"/>
        <v>0.9837300000000001</v>
      </c>
      <c r="BV279" s="99">
        <f t="shared" si="341"/>
        <v>0</v>
      </c>
      <c r="BW279" s="102">
        <f t="shared" si="353"/>
        <v>8.7499999999999994E-2</v>
      </c>
      <c r="BX279" s="103">
        <f t="shared" si="342"/>
        <v>1.155E-2</v>
      </c>
      <c r="BY279" s="101">
        <f t="shared" si="343"/>
        <v>4.5732278002412032</v>
      </c>
      <c r="BZ279" s="102">
        <f t="shared" si="344"/>
        <v>32.64</v>
      </c>
      <c r="CA279" s="103">
        <f t="shared" si="345"/>
        <v>87.71074676781582</v>
      </c>
      <c r="CB279" s="51">
        <f t="shared" si="346"/>
        <v>3.5153450502412036</v>
      </c>
      <c r="CC279" s="32">
        <f t="shared" si="347"/>
        <v>148.03707675844214</v>
      </c>
    </row>
    <row r="280" spans="17:81" ht="15" thickBot="1" x14ac:dyDescent="0.35">
      <c r="Q280" s="32">
        <v>273</v>
      </c>
      <c r="S280" s="101">
        <f t="shared" si="348"/>
        <v>60</v>
      </c>
      <c r="T280" s="97">
        <f t="shared" si="294"/>
        <v>0.54600000000000004</v>
      </c>
      <c r="U280" s="102">
        <f t="shared" si="349"/>
        <v>15</v>
      </c>
      <c r="V280" s="103">
        <f t="shared" si="295"/>
        <v>2.7300000000000004</v>
      </c>
      <c r="W280" s="101">
        <f t="shared" si="296"/>
        <v>2</v>
      </c>
      <c r="X280" s="102">
        <f t="shared" si="297"/>
        <v>0.75</v>
      </c>
      <c r="Y280" s="100">
        <f t="shared" si="298"/>
        <v>0.25</v>
      </c>
      <c r="Z280" s="101">
        <f t="shared" si="299"/>
        <v>0.45000000000000007</v>
      </c>
      <c r="AA280" s="102">
        <f t="shared" si="300"/>
        <v>2.9550000000000005</v>
      </c>
      <c r="AB280" s="102">
        <f t="shared" si="301"/>
        <v>2.7330889118358375</v>
      </c>
      <c r="AC280" s="102">
        <v>0</v>
      </c>
      <c r="AD280" s="102">
        <f t="shared" si="302"/>
        <v>7.4697750000000021E-2</v>
      </c>
      <c r="AE280" s="103">
        <f t="shared" si="303"/>
        <v>7.4697750000000021E-2</v>
      </c>
      <c r="AF280" s="101">
        <f t="shared" si="304"/>
        <v>2.0475000000000003</v>
      </c>
      <c r="AG280" s="97">
        <f t="shared" si="305"/>
        <v>2.3669244284514033</v>
      </c>
      <c r="AH280" s="102">
        <f t="shared" si="306"/>
        <v>0.29032973686500019</v>
      </c>
      <c r="AI280" s="97">
        <f t="shared" si="307"/>
        <v>2.8664999999999998</v>
      </c>
      <c r="AJ280" s="103">
        <f t="shared" si="308"/>
        <v>3.1568297368650002</v>
      </c>
      <c r="AK280" s="101">
        <f t="shared" si="309"/>
        <v>0.68250000000000011</v>
      </c>
      <c r="AL280" s="102">
        <f t="shared" si="310"/>
        <v>1.366544455917919</v>
      </c>
      <c r="AM280" s="102">
        <f t="shared" si="311"/>
        <v>0.22932</v>
      </c>
      <c r="AN280" s="102">
        <f t="shared" si="312"/>
        <v>0.75525000000000009</v>
      </c>
      <c r="AO280" s="103">
        <f t="shared" si="313"/>
        <v>0.98457000000000006</v>
      </c>
      <c r="AP280" s="99">
        <f t="shared" si="314"/>
        <v>0</v>
      </c>
      <c r="AQ280" s="102">
        <f t="shared" si="350"/>
        <v>8.7499999999999994E-2</v>
      </c>
      <c r="AR280" s="103">
        <f t="shared" si="315"/>
        <v>1.155E-2</v>
      </c>
      <c r="AS280" s="99">
        <f t="shared" si="316"/>
        <v>3.2558797368650003</v>
      </c>
      <c r="AT280" s="215">
        <f t="shared" si="317"/>
        <v>220.35278421190003</v>
      </c>
      <c r="AU280" s="216">
        <f t="shared" si="318"/>
        <v>0.10093091760519152</v>
      </c>
      <c r="AV280" s="102">
        <f t="shared" si="319"/>
        <v>32.760000000000005</v>
      </c>
      <c r="AW280" s="103">
        <f t="shared" si="320"/>
        <v>90.959877252332234</v>
      </c>
      <c r="AX280" s="32"/>
      <c r="AY280" s="101">
        <f t="shared" si="351"/>
        <v>60</v>
      </c>
      <c r="AZ280" s="102">
        <f t="shared" si="321"/>
        <v>0.54600000000000004</v>
      </c>
      <c r="BA280" s="102">
        <f t="shared" si="352"/>
        <v>15</v>
      </c>
      <c r="BB280" s="103">
        <f t="shared" si="322"/>
        <v>2.7300000000000004</v>
      </c>
      <c r="BC280" s="101">
        <f t="shared" si="323"/>
        <v>2</v>
      </c>
      <c r="BD280" s="102">
        <f t="shared" si="324"/>
        <v>0.75</v>
      </c>
      <c r="BE280" s="100">
        <f t="shared" si="325"/>
        <v>0.25</v>
      </c>
      <c r="BF280" s="101">
        <f t="shared" si="326"/>
        <v>0.45000000000000007</v>
      </c>
      <c r="BG280" s="102">
        <f t="shared" si="327"/>
        <v>2.9550000000000005</v>
      </c>
      <c r="BH280" s="102">
        <f t="shared" si="328"/>
        <v>2.7330889118358375</v>
      </c>
      <c r="BI280" s="102">
        <v>0</v>
      </c>
      <c r="BJ280" s="102">
        <f t="shared" si="329"/>
        <v>7.4697750000000021E-2</v>
      </c>
      <c r="BK280" s="103">
        <f t="shared" si="330"/>
        <v>7.4697750000000021E-2</v>
      </c>
      <c r="BL280" s="101">
        <f t="shared" si="331"/>
        <v>2.0475000000000003</v>
      </c>
      <c r="BM280" s="97">
        <f t="shared" si="332"/>
        <v>2.3669244284514033</v>
      </c>
      <c r="BN280" s="97">
        <f t="shared" si="333"/>
        <v>0.56544843379073984</v>
      </c>
      <c r="BO280" s="97">
        <f t="shared" si="334"/>
        <v>2.8664999999999998</v>
      </c>
      <c r="BP280" s="103">
        <f t="shared" si="335"/>
        <v>3.4319484337907395</v>
      </c>
      <c r="BQ280" s="101">
        <f t="shared" si="336"/>
        <v>0.68250000000000011</v>
      </c>
      <c r="BR280" s="102">
        <f t="shared" si="337"/>
        <v>1.366544455917919</v>
      </c>
      <c r="BS280" s="102">
        <f t="shared" si="338"/>
        <v>0.22932</v>
      </c>
      <c r="BT280" s="102">
        <f t="shared" si="339"/>
        <v>0.75525000000000009</v>
      </c>
      <c r="BU280" s="103">
        <f t="shared" si="340"/>
        <v>0.98457000000000006</v>
      </c>
      <c r="BV280" s="99">
        <f t="shared" si="341"/>
        <v>0</v>
      </c>
      <c r="BW280" s="102">
        <f t="shared" si="353"/>
        <v>8.7499999999999994E-2</v>
      </c>
      <c r="BX280" s="103">
        <f t="shared" si="342"/>
        <v>1.155E-2</v>
      </c>
      <c r="BY280" s="101">
        <f t="shared" si="343"/>
        <v>4.5902661837907397</v>
      </c>
      <c r="BZ280" s="102">
        <f t="shared" si="344"/>
        <v>32.760000000000005</v>
      </c>
      <c r="CA280" s="103">
        <f t="shared" si="345"/>
        <v>87.710218285451418</v>
      </c>
      <c r="CB280" s="51">
        <f t="shared" si="346"/>
        <v>3.5309984337907396</v>
      </c>
      <c r="CC280" s="32">
        <f t="shared" si="347"/>
        <v>148.58494518267588</v>
      </c>
    </row>
    <row r="281" spans="17:81" ht="15" thickBot="1" x14ac:dyDescent="0.35">
      <c r="Q281" s="32">
        <v>274</v>
      </c>
      <c r="S281" s="101">
        <f t="shared" si="348"/>
        <v>60</v>
      </c>
      <c r="T281" s="97">
        <f t="shared" si="294"/>
        <v>0.54800000000000004</v>
      </c>
      <c r="U281" s="102">
        <f t="shared" si="349"/>
        <v>15</v>
      </c>
      <c r="V281" s="103">
        <f t="shared" si="295"/>
        <v>2.74</v>
      </c>
      <c r="W281" s="101">
        <f t="shared" si="296"/>
        <v>2</v>
      </c>
      <c r="X281" s="102">
        <f t="shared" si="297"/>
        <v>0.75</v>
      </c>
      <c r="Y281" s="100">
        <f t="shared" si="298"/>
        <v>0.25</v>
      </c>
      <c r="Z281" s="101">
        <f t="shared" si="299"/>
        <v>0.45000000000000007</v>
      </c>
      <c r="AA281" s="102">
        <f t="shared" si="300"/>
        <v>2.9650000000000003</v>
      </c>
      <c r="AB281" s="102">
        <f t="shared" si="301"/>
        <v>2.7430776511065087</v>
      </c>
      <c r="AC281" s="102">
        <v>0</v>
      </c>
      <c r="AD281" s="102">
        <f t="shared" si="302"/>
        <v>7.5244750000000013E-2</v>
      </c>
      <c r="AE281" s="103">
        <f t="shared" si="303"/>
        <v>7.5244750000000013E-2</v>
      </c>
      <c r="AF281" s="101">
        <f t="shared" si="304"/>
        <v>2.0550000000000002</v>
      </c>
      <c r="AG281" s="97">
        <f t="shared" si="305"/>
        <v>2.3755749304115841</v>
      </c>
      <c r="AH281" s="102">
        <f t="shared" si="306"/>
        <v>0.29245577635166692</v>
      </c>
      <c r="AI281" s="97">
        <f t="shared" si="307"/>
        <v>2.8769999999999998</v>
      </c>
      <c r="AJ281" s="103">
        <f t="shared" si="308"/>
        <v>3.1694557763516666</v>
      </c>
      <c r="AK281" s="101">
        <f t="shared" si="309"/>
        <v>0.68500000000000005</v>
      </c>
      <c r="AL281" s="102">
        <f t="shared" si="310"/>
        <v>1.3715388255532546</v>
      </c>
      <c r="AM281" s="102">
        <f t="shared" si="311"/>
        <v>0.23016</v>
      </c>
      <c r="AN281" s="102">
        <f t="shared" si="312"/>
        <v>0.75525000000000009</v>
      </c>
      <c r="AO281" s="103">
        <f t="shared" si="313"/>
        <v>0.98541000000000012</v>
      </c>
      <c r="AP281" s="99">
        <f t="shared" si="314"/>
        <v>0</v>
      </c>
      <c r="AQ281" s="102">
        <f t="shared" si="350"/>
        <v>8.7499999999999994E-2</v>
      </c>
      <c r="AR281" s="103">
        <f t="shared" si="315"/>
        <v>1.155E-2</v>
      </c>
      <c r="AS281" s="99">
        <f t="shared" si="316"/>
        <v>3.2685057763516667</v>
      </c>
      <c r="AT281" s="215">
        <f t="shared" si="317"/>
        <v>221.1103465811</v>
      </c>
      <c r="AU281" s="216">
        <f t="shared" si="318"/>
        <v>0.10111584497670657</v>
      </c>
      <c r="AV281" s="102">
        <f t="shared" si="319"/>
        <v>32.880000000000003</v>
      </c>
      <c r="AW281" s="103">
        <f t="shared" si="320"/>
        <v>90.95811650812432</v>
      </c>
      <c r="AX281" s="32"/>
      <c r="AY281" s="101">
        <f t="shared" si="351"/>
        <v>60</v>
      </c>
      <c r="AZ281" s="102">
        <f t="shared" si="321"/>
        <v>0.54800000000000004</v>
      </c>
      <c r="BA281" s="102">
        <f t="shared" si="352"/>
        <v>15</v>
      </c>
      <c r="BB281" s="103">
        <f t="shared" si="322"/>
        <v>2.74</v>
      </c>
      <c r="BC281" s="101">
        <f t="shared" si="323"/>
        <v>2</v>
      </c>
      <c r="BD281" s="102">
        <f t="shared" si="324"/>
        <v>0.75</v>
      </c>
      <c r="BE281" s="100">
        <f t="shared" si="325"/>
        <v>0.25</v>
      </c>
      <c r="BF281" s="101">
        <f t="shared" si="326"/>
        <v>0.45000000000000007</v>
      </c>
      <c r="BG281" s="102">
        <f t="shared" si="327"/>
        <v>2.9650000000000003</v>
      </c>
      <c r="BH281" s="102">
        <f t="shared" si="328"/>
        <v>2.7430776511065087</v>
      </c>
      <c r="BI281" s="102">
        <v>0</v>
      </c>
      <c r="BJ281" s="102">
        <f t="shared" si="329"/>
        <v>7.5244750000000013E-2</v>
      </c>
      <c r="BK281" s="103">
        <f t="shared" si="330"/>
        <v>7.5244750000000013E-2</v>
      </c>
      <c r="BL281" s="101">
        <f t="shared" si="331"/>
        <v>2.0550000000000002</v>
      </c>
      <c r="BM281" s="97">
        <f t="shared" si="332"/>
        <v>2.3755749304115841</v>
      </c>
      <c r="BN281" s="97">
        <f t="shared" si="333"/>
        <v>0.5706327357233284</v>
      </c>
      <c r="BO281" s="97">
        <f t="shared" si="334"/>
        <v>2.8769999999999998</v>
      </c>
      <c r="BP281" s="103">
        <f t="shared" si="335"/>
        <v>3.4476327357233281</v>
      </c>
      <c r="BQ281" s="101">
        <f t="shared" si="336"/>
        <v>0.68500000000000005</v>
      </c>
      <c r="BR281" s="102">
        <f t="shared" si="337"/>
        <v>1.3715388255532546</v>
      </c>
      <c r="BS281" s="102">
        <f t="shared" si="338"/>
        <v>0.23016</v>
      </c>
      <c r="BT281" s="102">
        <f t="shared" si="339"/>
        <v>0.75525000000000009</v>
      </c>
      <c r="BU281" s="103">
        <f t="shared" si="340"/>
        <v>0.98541000000000012</v>
      </c>
      <c r="BV281" s="99">
        <f t="shared" si="341"/>
        <v>0</v>
      </c>
      <c r="BW281" s="102">
        <f t="shared" si="353"/>
        <v>8.7499999999999994E-2</v>
      </c>
      <c r="BX281" s="103">
        <f t="shared" si="342"/>
        <v>1.155E-2</v>
      </c>
      <c r="BY281" s="101">
        <f t="shared" si="343"/>
        <v>4.6073374857233285</v>
      </c>
      <c r="BZ281" s="102">
        <f t="shared" si="344"/>
        <v>32.880000000000003</v>
      </c>
      <c r="CA281" s="103">
        <f t="shared" si="345"/>
        <v>87.709616647279944</v>
      </c>
      <c r="CB281" s="51">
        <f t="shared" si="346"/>
        <v>3.5466827357233282</v>
      </c>
      <c r="CC281" s="32">
        <f t="shared" si="347"/>
        <v>149.13389575031647</v>
      </c>
    </row>
    <row r="282" spans="17:81" ht="15" thickBot="1" x14ac:dyDescent="0.35">
      <c r="Q282" s="32">
        <v>275</v>
      </c>
      <c r="S282" s="101">
        <f t="shared" si="348"/>
        <v>60</v>
      </c>
      <c r="T282" s="97">
        <f t="shared" si="294"/>
        <v>0.55000000000000004</v>
      </c>
      <c r="U282" s="102">
        <f t="shared" si="349"/>
        <v>15</v>
      </c>
      <c r="V282" s="103">
        <f t="shared" si="295"/>
        <v>2.75</v>
      </c>
      <c r="W282" s="101">
        <f t="shared" si="296"/>
        <v>2</v>
      </c>
      <c r="X282" s="102">
        <f t="shared" si="297"/>
        <v>0.75</v>
      </c>
      <c r="Y282" s="100">
        <f t="shared" si="298"/>
        <v>0.25</v>
      </c>
      <c r="Z282" s="101">
        <f t="shared" si="299"/>
        <v>0.45000000000000007</v>
      </c>
      <c r="AA282" s="102">
        <f t="shared" si="300"/>
        <v>2.9750000000000001</v>
      </c>
      <c r="AB282" s="102">
        <f t="shared" si="301"/>
        <v>2.753066472136116</v>
      </c>
      <c r="AC282" s="102">
        <v>0</v>
      </c>
      <c r="AD282" s="102">
        <f t="shared" si="302"/>
        <v>7.5793749999999993E-2</v>
      </c>
      <c r="AE282" s="103">
        <f t="shared" si="303"/>
        <v>7.5793749999999993E-2</v>
      </c>
      <c r="AF282" s="101">
        <f t="shared" si="304"/>
        <v>2.0625</v>
      </c>
      <c r="AG282" s="97">
        <f t="shared" si="305"/>
        <v>2.3842255031770803</v>
      </c>
      <c r="AH282" s="102">
        <f t="shared" si="306"/>
        <v>0.29458958929166684</v>
      </c>
      <c r="AI282" s="97">
        <f t="shared" si="307"/>
        <v>2.8874999999999997</v>
      </c>
      <c r="AJ282" s="103">
        <f t="shared" si="308"/>
        <v>3.1820895892916665</v>
      </c>
      <c r="AK282" s="101">
        <f t="shared" si="309"/>
        <v>0.6875</v>
      </c>
      <c r="AL282" s="102">
        <f t="shared" si="310"/>
        <v>1.3765332360680582</v>
      </c>
      <c r="AM282" s="102">
        <f t="shared" si="311"/>
        <v>0.23100000000000001</v>
      </c>
      <c r="AN282" s="102">
        <f t="shared" si="312"/>
        <v>0.75525000000000009</v>
      </c>
      <c r="AO282" s="103">
        <f t="shared" si="313"/>
        <v>0.98625000000000007</v>
      </c>
      <c r="AP282" s="99">
        <f t="shared" si="314"/>
        <v>0</v>
      </c>
      <c r="AQ282" s="102">
        <f t="shared" si="350"/>
        <v>8.7499999999999994E-2</v>
      </c>
      <c r="AR282" s="103">
        <f t="shared" si="315"/>
        <v>1.155E-2</v>
      </c>
      <c r="AS282" s="99">
        <f t="shared" si="316"/>
        <v>3.2811395892916666</v>
      </c>
      <c r="AT282" s="215">
        <f t="shared" si="317"/>
        <v>221.86837535749999</v>
      </c>
      <c r="AU282" s="216">
        <f t="shared" si="318"/>
        <v>0.10130088620215769</v>
      </c>
      <c r="AV282" s="102">
        <f t="shared" si="319"/>
        <v>33</v>
      </c>
      <c r="AW282" s="103">
        <f t="shared" si="320"/>
        <v>90.95634914880101</v>
      </c>
      <c r="AX282" s="32"/>
      <c r="AY282" s="101">
        <f t="shared" si="351"/>
        <v>60</v>
      </c>
      <c r="AZ282" s="102">
        <f t="shared" si="321"/>
        <v>0.55000000000000004</v>
      </c>
      <c r="BA282" s="102">
        <f t="shared" si="352"/>
        <v>15</v>
      </c>
      <c r="BB282" s="103">
        <f t="shared" si="322"/>
        <v>2.75</v>
      </c>
      <c r="BC282" s="101">
        <f t="shared" si="323"/>
        <v>2</v>
      </c>
      <c r="BD282" s="102">
        <f t="shared" si="324"/>
        <v>0.75</v>
      </c>
      <c r="BE282" s="100">
        <f t="shared" si="325"/>
        <v>0.25</v>
      </c>
      <c r="BF282" s="101">
        <f t="shared" si="326"/>
        <v>0.45000000000000007</v>
      </c>
      <c r="BG282" s="102">
        <f t="shared" si="327"/>
        <v>2.9750000000000001</v>
      </c>
      <c r="BH282" s="102">
        <f t="shared" si="328"/>
        <v>2.753066472136116</v>
      </c>
      <c r="BI282" s="102">
        <v>0</v>
      </c>
      <c r="BJ282" s="102">
        <f t="shared" si="329"/>
        <v>7.5793749999999993E-2</v>
      </c>
      <c r="BK282" s="103">
        <f t="shared" si="330"/>
        <v>7.5793749999999993E-2</v>
      </c>
      <c r="BL282" s="101">
        <f t="shared" si="331"/>
        <v>2.0625</v>
      </c>
      <c r="BM282" s="97">
        <f t="shared" si="332"/>
        <v>2.3842255031770803</v>
      </c>
      <c r="BN282" s="97">
        <f t="shared" si="333"/>
        <v>0.57584805326885935</v>
      </c>
      <c r="BO282" s="97">
        <f t="shared" si="334"/>
        <v>2.8874999999999997</v>
      </c>
      <c r="BP282" s="103">
        <f t="shared" si="335"/>
        <v>3.463348053268859</v>
      </c>
      <c r="BQ282" s="101">
        <f t="shared" si="336"/>
        <v>0.6875</v>
      </c>
      <c r="BR282" s="102">
        <f t="shared" si="337"/>
        <v>1.3765332360680582</v>
      </c>
      <c r="BS282" s="102">
        <f t="shared" si="338"/>
        <v>0.23100000000000001</v>
      </c>
      <c r="BT282" s="102">
        <f t="shared" si="339"/>
        <v>0.75525000000000009</v>
      </c>
      <c r="BU282" s="103">
        <f t="shared" si="340"/>
        <v>0.98625000000000007</v>
      </c>
      <c r="BV282" s="99">
        <f t="shared" si="341"/>
        <v>0</v>
      </c>
      <c r="BW282" s="102">
        <f t="shared" si="353"/>
        <v>8.7499999999999994E-2</v>
      </c>
      <c r="BX282" s="103">
        <f t="shared" si="342"/>
        <v>1.155E-2</v>
      </c>
      <c r="BY282" s="101">
        <f t="shared" si="343"/>
        <v>4.6244418032688595</v>
      </c>
      <c r="BZ282" s="102">
        <f t="shared" si="344"/>
        <v>33</v>
      </c>
      <c r="CA282" s="103">
        <f t="shared" si="345"/>
        <v>87.708942427772897</v>
      </c>
      <c r="CB282" s="51">
        <f t="shared" si="346"/>
        <v>3.5623980532688591</v>
      </c>
      <c r="CC282" s="32">
        <f t="shared" si="347"/>
        <v>149.68393186441006</v>
      </c>
    </row>
    <row r="283" spans="17:81" ht="15" thickBot="1" x14ac:dyDescent="0.35">
      <c r="Q283" s="32">
        <v>276</v>
      </c>
      <c r="S283" s="101">
        <f t="shared" si="348"/>
        <v>60</v>
      </c>
      <c r="T283" s="97">
        <f t="shared" si="294"/>
        <v>0.55200000000000005</v>
      </c>
      <c r="U283" s="102">
        <f t="shared" si="349"/>
        <v>15</v>
      </c>
      <c r="V283" s="103">
        <f t="shared" si="295"/>
        <v>2.7600000000000002</v>
      </c>
      <c r="W283" s="101">
        <f t="shared" si="296"/>
        <v>2</v>
      </c>
      <c r="X283" s="102">
        <f t="shared" si="297"/>
        <v>0.75</v>
      </c>
      <c r="Y283" s="100">
        <f t="shared" si="298"/>
        <v>0.25</v>
      </c>
      <c r="Z283" s="101">
        <f t="shared" si="299"/>
        <v>0.45000000000000007</v>
      </c>
      <c r="AA283" s="102">
        <f t="shared" si="300"/>
        <v>2.9850000000000003</v>
      </c>
      <c r="AB283" s="102">
        <f t="shared" si="301"/>
        <v>2.7630553740379509</v>
      </c>
      <c r="AC283" s="102">
        <v>0</v>
      </c>
      <c r="AD283" s="102">
        <f t="shared" si="302"/>
        <v>7.6344750000000017E-2</v>
      </c>
      <c r="AE283" s="103">
        <f t="shared" si="303"/>
        <v>7.6344750000000017E-2</v>
      </c>
      <c r="AF283" s="101">
        <f t="shared" si="304"/>
        <v>2.0700000000000003</v>
      </c>
      <c r="AG283" s="97">
        <f t="shared" si="305"/>
        <v>2.3928761459799799</v>
      </c>
      <c r="AH283" s="102">
        <f t="shared" si="306"/>
        <v>0.29673117568500018</v>
      </c>
      <c r="AI283" s="97">
        <f t="shared" si="307"/>
        <v>2.8980000000000001</v>
      </c>
      <c r="AJ283" s="103">
        <f t="shared" si="308"/>
        <v>3.1947311756850003</v>
      </c>
      <c r="AK283" s="101">
        <f t="shared" si="309"/>
        <v>0.69000000000000006</v>
      </c>
      <c r="AL283" s="102">
        <f t="shared" si="310"/>
        <v>1.3815276870189757</v>
      </c>
      <c r="AM283" s="102">
        <f t="shared" si="311"/>
        <v>0.23184000000000002</v>
      </c>
      <c r="AN283" s="102">
        <f t="shared" si="312"/>
        <v>0.75525000000000009</v>
      </c>
      <c r="AO283" s="103">
        <f t="shared" si="313"/>
        <v>0.98709000000000013</v>
      </c>
      <c r="AP283" s="99">
        <f t="shared" si="314"/>
        <v>0</v>
      </c>
      <c r="AQ283" s="102">
        <f t="shared" si="350"/>
        <v>8.7499999999999994E-2</v>
      </c>
      <c r="AR283" s="103">
        <f t="shared" si="315"/>
        <v>1.155E-2</v>
      </c>
      <c r="AS283" s="99">
        <f t="shared" si="316"/>
        <v>3.2937811756850004</v>
      </c>
      <c r="AT283" s="215">
        <f t="shared" si="317"/>
        <v>222.62687054110003</v>
      </c>
      <c r="AU283" s="216">
        <f t="shared" si="318"/>
        <v>0.10148604128154491</v>
      </c>
      <c r="AV283" s="102">
        <f t="shared" si="319"/>
        <v>33.120000000000005</v>
      </c>
      <c r="AW283" s="103">
        <f t="shared" si="320"/>
        <v>90.954575247779019</v>
      </c>
      <c r="AX283" s="32"/>
      <c r="AY283" s="101">
        <f t="shared" si="351"/>
        <v>60</v>
      </c>
      <c r="AZ283" s="102">
        <f t="shared" si="321"/>
        <v>0.55200000000000005</v>
      </c>
      <c r="BA283" s="102">
        <f t="shared" si="352"/>
        <v>15</v>
      </c>
      <c r="BB283" s="103">
        <f t="shared" si="322"/>
        <v>2.7600000000000002</v>
      </c>
      <c r="BC283" s="101">
        <f t="shared" si="323"/>
        <v>2</v>
      </c>
      <c r="BD283" s="102">
        <f t="shared" si="324"/>
        <v>0.75</v>
      </c>
      <c r="BE283" s="100">
        <f t="shared" si="325"/>
        <v>0.25</v>
      </c>
      <c r="BF283" s="101">
        <f t="shared" si="326"/>
        <v>0.45000000000000007</v>
      </c>
      <c r="BG283" s="102">
        <f t="shared" si="327"/>
        <v>2.9850000000000003</v>
      </c>
      <c r="BH283" s="102">
        <f t="shared" si="328"/>
        <v>2.7630553740379509</v>
      </c>
      <c r="BI283" s="102">
        <v>0</v>
      </c>
      <c r="BJ283" s="102">
        <f t="shared" si="329"/>
        <v>7.6344750000000017E-2</v>
      </c>
      <c r="BK283" s="103">
        <f t="shared" si="330"/>
        <v>7.6344750000000017E-2</v>
      </c>
      <c r="BL283" s="101">
        <f t="shared" si="331"/>
        <v>2.0700000000000003</v>
      </c>
      <c r="BM283" s="97">
        <f t="shared" si="332"/>
        <v>2.3928761459799799</v>
      </c>
      <c r="BN283" s="97">
        <f t="shared" si="333"/>
        <v>0.58109448375969219</v>
      </c>
      <c r="BO283" s="97">
        <f t="shared" si="334"/>
        <v>2.8980000000000001</v>
      </c>
      <c r="BP283" s="103">
        <f t="shared" si="335"/>
        <v>3.4790944837596922</v>
      </c>
      <c r="BQ283" s="101">
        <f t="shared" si="336"/>
        <v>0.69000000000000006</v>
      </c>
      <c r="BR283" s="102">
        <f t="shared" si="337"/>
        <v>1.3815276870189757</v>
      </c>
      <c r="BS283" s="102">
        <f t="shared" si="338"/>
        <v>0.23184000000000002</v>
      </c>
      <c r="BT283" s="102">
        <f t="shared" si="339"/>
        <v>0.75525000000000009</v>
      </c>
      <c r="BU283" s="103">
        <f t="shared" si="340"/>
        <v>0.98709000000000013</v>
      </c>
      <c r="BV283" s="99">
        <f t="shared" si="341"/>
        <v>0</v>
      </c>
      <c r="BW283" s="102">
        <f t="shared" si="353"/>
        <v>8.7499999999999994E-2</v>
      </c>
      <c r="BX283" s="103">
        <f t="shared" si="342"/>
        <v>1.155E-2</v>
      </c>
      <c r="BY283" s="101">
        <f t="shared" si="343"/>
        <v>4.6415792337596917</v>
      </c>
      <c r="BZ283" s="102">
        <f t="shared" si="344"/>
        <v>33.120000000000005</v>
      </c>
      <c r="CA283" s="103">
        <f t="shared" si="345"/>
        <v>87.708196193208948</v>
      </c>
      <c r="CB283" s="51">
        <f t="shared" si="346"/>
        <v>3.5781444837596923</v>
      </c>
      <c r="CC283" s="32">
        <f t="shared" si="347"/>
        <v>150.23505693158921</v>
      </c>
    </row>
    <row r="284" spans="17:81" ht="15" thickBot="1" x14ac:dyDescent="0.35">
      <c r="Q284" s="32">
        <v>277</v>
      </c>
      <c r="S284" s="101">
        <f t="shared" si="348"/>
        <v>60</v>
      </c>
      <c r="T284" s="97">
        <f t="shared" si="294"/>
        <v>0.55400000000000005</v>
      </c>
      <c r="U284" s="102">
        <f t="shared" si="349"/>
        <v>15</v>
      </c>
      <c r="V284" s="103">
        <f t="shared" si="295"/>
        <v>2.77</v>
      </c>
      <c r="W284" s="101">
        <f t="shared" si="296"/>
        <v>2</v>
      </c>
      <c r="X284" s="102">
        <f t="shared" si="297"/>
        <v>0.75</v>
      </c>
      <c r="Y284" s="100">
        <f t="shared" si="298"/>
        <v>0.25</v>
      </c>
      <c r="Z284" s="101">
        <f t="shared" si="299"/>
        <v>0.45000000000000007</v>
      </c>
      <c r="AA284" s="102">
        <f t="shared" si="300"/>
        <v>2.9950000000000001</v>
      </c>
      <c r="AB284" s="102">
        <f t="shared" si="301"/>
        <v>2.7730443559380724</v>
      </c>
      <c r="AC284" s="102">
        <v>0</v>
      </c>
      <c r="AD284" s="102">
        <f t="shared" si="302"/>
        <v>7.6897749999999987E-2</v>
      </c>
      <c r="AE284" s="103">
        <f t="shared" si="303"/>
        <v>7.6897749999999987E-2</v>
      </c>
      <c r="AF284" s="101">
        <f t="shared" si="304"/>
        <v>2.0775000000000001</v>
      </c>
      <c r="AG284" s="97">
        <f t="shared" si="305"/>
        <v>2.4015268580634284</v>
      </c>
      <c r="AH284" s="102">
        <f t="shared" si="306"/>
        <v>0.29888053553166682</v>
      </c>
      <c r="AI284" s="97">
        <f t="shared" si="307"/>
        <v>2.9085000000000001</v>
      </c>
      <c r="AJ284" s="103">
        <f t="shared" si="308"/>
        <v>3.2073805355316667</v>
      </c>
      <c r="AK284" s="101">
        <f t="shared" si="309"/>
        <v>0.6925</v>
      </c>
      <c r="AL284" s="102">
        <f t="shared" si="310"/>
        <v>1.3865221779690364</v>
      </c>
      <c r="AM284" s="102">
        <f t="shared" si="311"/>
        <v>0.23268</v>
      </c>
      <c r="AN284" s="102">
        <f t="shared" si="312"/>
        <v>0.75525000000000009</v>
      </c>
      <c r="AO284" s="103">
        <f t="shared" si="313"/>
        <v>0.98793000000000009</v>
      </c>
      <c r="AP284" s="99">
        <f t="shared" si="314"/>
        <v>0</v>
      </c>
      <c r="AQ284" s="102">
        <f t="shared" si="350"/>
        <v>8.7499999999999994E-2</v>
      </c>
      <c r="AR284" s="103">
        <f t="shared" si="315"/>
        <v>1.155E-2</v>
      </c>
      <c r="AS284" s="99">
        <f t="shared" si="316"/>
        <v>3.3064305355316668</v>
      </c>
      <c r="AT284" s="215">
        <f t="shared" si="317"/>
        <v>223.3858321319</v>
      </c>
      <c r="AU284" s="216">
        <f t="shared" si="318"/>
        <v>0.10167131021486817</v>
      </c>
      <c r="AV284" s="102">
        <f t="shared" si="319"/>
        <v>33.24</v>
      </c>
      <c r="AW284" s="103">
        <f t="shared" si="320"/>
        <v>90.952794877417517</v>
      </c>
      <c r="AX284" s="32"/>
      <c r="AY284" s="101">
        <f t="shared" si="351"/>
        <v>60</v>
      </c>
      <c r="AZ284" s="102">
        <f t="shared" si="321"/>
        <v>0.55400000000000005</v>
      </c>
      <c r="BA284" s="102">
        <f t="shared" si="352"/>
        <v>15</v>
      </c>
      <c r="BB284" s="103">
        <f t="shared" si="322"/>
        <v>2.77</v>
      </c>
      <c r="BC284" s="101">
        <f t="shared" si="323"/>
        <v>2</v>
      </c>
      <c r="BD284" s="102">
        <f t="shared" si="324"/>
        <v>0.75</v>
      </c>
      <c r="BE284" s="100">
        <f t="shared" si="325"/>
        <v>0.25</v>
      </c>
      <c r="BF284" s="101">
        <f t="shared" si="326"/>
        <v>0.45000000000000007</v>
      </c>
      <c r="BG284" s="102">
        <f t="shared" si="327"/>
        <v>2.9950000000000001</v>
      </c>
      <c r="BH284" s="102">
        <f t="shared" si="328"/>
        <v>2.7730443559380724</v>
      </c>
      <c r="BI284" s="102">
        <v>0</v>
      </c>
      <c r="BJ284" s="102">
        <f t="shared" si="329"/>
        <v>7.6897749999999987E-2</v>
      </c>
      <c r="BK284" s="103">
        <f t="shared" si="330"/>
        <v>7.6897749999999987E-2</v>
      </c>
      <c r="BL284" s="101">
        <f t="shared" si="331"/>
        <v>2.0775000000000001</v>
      </c>
      <c r="BM284" s="97">
        <f t="shared" si="332"/>
        <v>2.4015268580634284</v>
      </c>
      <c r="BN284" s="97">
        <f t="shared" si="333"/>
        <v>0.58637212463065358</v>
      </c>
      <c r="BO284" s="97">
        <f t="shared" si="334"/>
        <v>2.9085000000000001</v>
      </c>
      <c r="BP284" s="103">
        <f t="shared" si="335"/>
        <v>3.4948721246306538</v>
      </c>
      <c r="BQ284" s="101">
        <f t="shared" si="336"/>
        <v>0.6925</v>
      </c>
      <c r="BR284" s="102">
        <f t="shared" si="337"/>
        <v>1.3865221779690364</v>
      </c>
      <c r="BS284" s="102">
        <f t="shared" si="338"/>
        <v>0.23268</v>
      </c>
      <c r="BT284" s="102">
        <f t="shared" si="339"/>
        <v>0.75525000000000009</v>
      </c>
      <c r="BU284" s="103">
        <f t="shared" si="340"/>
        <v>0.98793000000000009</v>
      </c>
      <c r="BV284" s="99">
        <f t="shared" si="341"/>
        <v>0</v>
      </c>
      <c r="BW284" s="102">
        <f t="shared" si="353"/>
        <v>8.7499999999999994E-2</v>
      </c>
      <c r="BX284" s="103">
        <f t="shared" si="342"/>
        <v>1.155E-2</v>
      </c>
      <c r="BY284" s="101">
        <f t="shared" si="343"/>
        <v>4.6587498746306535</v>
      </c>
      <c r="BZ284" s="102">
        <f t="shared" si="344"/>
        <v>33.24</v>
      </c>
      <c r="CA284" s="103">
        <f t="shared" si="345"/>
        <v>87.707378501819107</v>
      </c>
      <c r="CB284" s="51">
        <f t="shared" si="346"/>
        <v>3.5939221246306539</v>
      </c>
      <c r="CC284" s="32">
        <f t="shared" si="347"/>
        <v>150.78727436207288</v>
      </c>
    </row>
    <row r="285" spans="17:81" ht="15" thickBot="1" x14ac:dyDescent="0.35">
      <c r="Q285" s="32">
        <v>278</v>
      </c>
      <c r="S285" s="101">
        <f t="shared" si="348"/>
        <v>60</v>
      </c>
      <c r="T285" s="97">
        <f t="shared" si="294"/>
        <v>0.55600000000000005</v>
      </c>
      <c r="U285" s="102">
        <f t="shared" si="349"/>
        <v>15</v>
      </c>
      <c r="V285" s="103">
        <f t="shared" si="295"/>
        <v>2.78</v>
      </c>
      <c r="W285" s="101">
        <f t="shared" si="296"/>
        <v>2</v>
      </c>
      <c r="X285" s="102">
        <f t="shared" si="297"/>
        <v>0.75</v>
      </c>
      <c r="Y285" s="100">
        <f t="shared" si="298"/>
        <v>0.25</v>
      </c>
      <c r="Z285" s="101">
        <f t="shared" si="299"/>
        <v>0.45000000000000007</v>
      </c>
      <c r="AA285" s="102">
        <f t="shared" si="300"/>
        <v>3.0049999999999999</v>
      </c>
      <c r="AB285" s="102">
        <f t="shared" si="301"/>
        <v>2.7830334169750817</v>
      </c>
      <c r="AC285" s="102">
        <v>0</v>
      </c>
      <c r="AD285" s="102">
        <f t="shared" si="302"/>
        <v>7.7452749999999987E-2</v>
      </c>
      <c r="AE285" s="103">
        <f t="shared" si="303"/>
        <v>7.7452749999999987E-2</v>
      </c>
      <c r="AF285" s="101">
        <f t="shared" si="304"/>
        <v>2.085</v>
      </c>
      <c r="AG285" s="97">
        <f t="shared" si="305"/>
        <v>2.4101776386814318</v>
      </c>
      <c r="AH285" s="102">
        <f t="shared" si="306"/>
        <v>0.30103766883166688</v>
      </c>
      <c r="AI285" s="97">
        <f t="shared" si="307"/>
        <v>2.9189999999999996</v>
      </c>
      <c r="AJ285" s="103">
        <f t="shared" si="308"/>
        <v>3.2200376688316665</v>
      </c>
      <c r="AK285" s="101">
        <f t="shared" si="309"/>
        <v>0.69499999999999995</v>
      </c>
      <c r="AL285" s="102">
        <f t="shared" si="310"/>
        <v>1.3915167084875411</v>
      </c>
      <c r="AM285" s="102">
        <f t="shared" si="311"/>
        <v>0.23352000000000001</v>
      </c>
      <c r="AN285" s="102">
        <f t="shared" si="312"/>
        <v>0.75525000000000009</v>
      </c>
      <c r="AO285" s="103">
        <f t="shared" si="313"/>
        <v>0.98877000000000015</v>
      </c>
      <c r="AP285" s="99">
        <f t="shared" si="314"/>
        <v>0</v>
      </c>
      <c r="AQ285" s="102">
        <f t="shared" si="350"/>
        <v>8.7499999999999994E-2</v>
      </c>
      <c r="AR285" s="103">
        <f t="shared" si="315"/>
        <v>1.155E-2</v>
      </c>
      <c r="AS285" s="99">
        <f t="shared" si="316"/>
        <v>3.3190876688316666</v>
      </c>
      <c r="AT285" s="215">
        <f t="shared" si="317"/>
        <v>224.14526012990001</v>
      </c>
      <c r="AU285" s="216">
        <f t="shared" si="318"/>
        <v>0.1018566930021275</v>
      </c>
      <c r="AV285" s="102">
        <f t="shared" si="319"/>
        <v>33.36</v>
      </c>
      <c r="AW285" s="103">
        <f t="shared" si="320"/>
        <v>90.951008109037332</v>
      </c>
      <c r="AX285" s="32"/>
      <c r="AY285" s="101">
        <f t="shared" si="351"/>
        <v>60</v>
      </c>
      <c r="AZ285" s="102">
        <f t="shared" si="321"/>
        <v>0.55600000000000005</v>
      </c>
      <c r="BA285" s="102">
        <f t="shared" si="352"/>
        <v>15</v>
      </c>
      <c r="BB285" s="103">
        <f t="shared" si="322"/>
        <v>2.78</v>
      </c>
      <c r="BC285" s="101">
        <f t="shared" si="323"/>
        <v>2</v>
      </c>
      <c r="BD285" s="102">
        <f t="shared" si="324"/>
        <v>0.75</v>
      </c>
      <c r="BE285" s="100">
        <f t="shared" si="325"/>
        <v>0.25</v>
      </c>
      <c r="BF285" s="101">
        <f t="shared" si="326"/>
        <v>0.45000000000000007</v>
      </c>
      <c r="BG285" s="102">
        <f t="shared" si="327"/>
        <v>3.0049999999999999</v>
      </c>
      <c r="BH285" s="102">
        <f t="shared" si="328"/>
        <v>2.7830334169750817</v>
      </c>
      <c r="BI285" s="102">
        <v>0</v>
      </c>
      <c r="BJ285" s="102">
        <f t="shared" si="329"/>
        <v>7.7452749999999987E-2</v>
      </c>
      <c r="BK285" s="103">
        <f t="shared" si="330"/>
        <v>7.7452749999999987E-2</v>
      </c>
      <c r="BL285" s="101">
        <f t="shared" si="331"/>
        <v>2.085</v>
      </c>
      <c r="BM285" s="97">
        <f t="shared" si="332"/>
        <v>2.4101776386814318</v>
      </c>
      <c r="BN285" s="97">
        <f t="shared" si="333"/>
        <v>0.59168107341904008</v>
      </c>
      <c r="BO285" s="97">
        <f t="shared" si="334"/>
        <v>2.9189999999999996</v>
      </c>
      <c r="BP285" s="103">
        <f t="shared" si="335"/>
        <v>3.5106810734190397</v>
      </c>
      <c r="BQ285" s="101">
        <f t="shared" si="336"/>
        <v>0.69499999999999995</v>
      </c>
      <c r="BR285" s="102">
        <f t="shared" si="337"/>
        <v>1.3915167084875411</v>
      </c>
      <c r="BS285" s="102">
        <f t="shared" si="338"/>
        <v>0.23352000000000001</v>
      </c>
      <c r="BT285" s="102">
        <f t="shared" si="339"/>
        <v>0.75525000000000009</v>
      </c>
      <c r="BU285" s="103">
        <f t="shared" si="340"/>
        <v>0.98877000000000015</v>
      </c>
      <c r="BV285" s="99">
        <f t="shared" si="341"/>
        <v>0</v>
      </c>
      <c r="BW285" s="102">
        <f t="shared" si="353"/>
        <v>8.7499999999999994E-2</v>
      </c>
      <c r="BX285" s="103">
        <f t="shared" si="342"/>
        <v>1.155E-2</v>
      </c>
      <c r="BY285" s="101">
        <f t="shared" si="343"/>
        <v>4.6759538234190403</v>
      </c>
      <c r="BZ285" s="102">
        <f t="shared" si="344"/>
        <v>33.36</v>
      </c>
      <c r="CA285" s="103">
        <f t="shared" si="345"/>
        <v>87.706489903928684</v>
      </c>
      <c r="CB285" s="51">
        <f t="shared" si="346"/>
        <v>3.6097310734190398</v>
      </c>
      <c r="CC285" s="32">
        <f t="shared" si="347"/>
        <v>151.34058756966641</v>
      </c>
    </row>
    <row r="286" spans="17:81" ht="15" thickBot="1" x14ac:dyDescent="0.35">
      <c r="Q286" s="32">
        <v>279</v>
      </c>
      <c r="S286" s="101">
        <f t="shared" si="348"/>
        <v>60</v>
      </c>
      <c r="T286" s="97">
        <f t="shared" ref="T286:T308" si="354">Q286*$O$12</f>
        <v>0.55800000000000005</v>
      </c>
      <c r="U286" s="102">
        <f t="shared" si="349"/>
        <v>15</v>
      </c>
      <c r="V286" s="103">
        <f t="shared" ref="V286:V308" si="355">(S286*T286)/(U286*EFF_est)</f>
        <v>2.7900000000000005</v>
      </c>
      <c r="W286" s="101">
        <f t="shared" ref="W286:W308" si="356">IF((T286*S286/U286)&lt;((U286*(1-(U286/S286)))/(2*Lm*Fsw)),1,2)</f>
        <v>2</v>
      </c>
      <c r="X286" s="102">
        <f t="shared" ref="X286:X308" si="357">CHOOSE(W286,SQRT((2*T286*Lm*Fsw*(S286-U286))/((U286)^2)),1-(U286/S286))</f>
        <v>0.75</v>
      </c>
      <c r="Y286" s="100">
        <f t="shared" ref="Y286:Y308" si="358">CHOOSE(W286,(Lm*AA286*Fsw)/(S286-U286),1-X286)</f>
        <v>0.25</v>
      </c>
      <c r="Z286" s="101">
        <f t="shared" ref="Z286:Z308" si="359">(U286*X286)/(Lm*Fsw)</f>
        <v>0.45000000000000007</v>
      </c>
      <c r="AA286" s="102">
        <f t="shared" ref="AA286:AA308" si="360">CHOOSE(W286,Z286,V286+(0.5*Z286))</f>
        <v>3.0150000000000006</v>
      </c>
      <c r="AB286" s="102">
        <f t="shared" ref="AB286:AB308" si="361">CHOOSE(W286,AA286*SQRT((X286+Y286)/3),SQRT((V286^2)+((Z286^2)/12)))</f>
        <v>2.7930225562998952</v>
      </c>
      <c r="AC286" s="102">
        <v>0</v>
      </c>
      <c r="AD286" s="102">
        <f t="shared" ref="AD286:AD308" si="362">(AB286^2)*Rdcr</f>
        <v>7.8009750000000017E-2</v>
      </c>
      <c r="AE286" s="103">
        <f t="shared" ref="AE286:AE308" si="363">AC286+AD286</f>
        <v>7.8009750000000017E-2</v>
      </c>
      <c r="AF286" s="101">
        <f t="shared" ref="AF286:AF308" si="364">V286*X286</f>
        <v>2.0925000000000002</v>
      </c>
      <c r="AG286" s="97">
        <f t="shared" ref="AG286:AG308" si="365">CHOOSE(W286,AA286*SQRT(X286/3),SQRT(X286*((AA286^2)+((Z286^2)/3)-(AA286*Z286))))</f>
        <v>2.4188284870986623</v>
      </c>
      <c r="AH286" s="102">
        <f t="shared" ref="AH286:AH308" si="366">(AG286^2)*RDS_on</f>
        <v>0.30320257558500024</v>
      </c>
      <c r="AI286" s="97">
        <f t="shared" ref="AI286:AI308" si="367">((S286*V286)/2)*Fsw*(tr_sw_fix+tf_sw_fix)</f>
        <v>2.9295000000000004</v>
      </c>
      <c r="AJ286" s="103">
        <f t="shared" ref="AJ286:AJ308" si="368">AH286+AI286</f>
        <v>3.2327025755850007</v>
      </c>
      <c r="AK286" s="101">
        <f t="shared" ref="AK286:AK308" si="369">Y286*V286</f>
        <v>0.69750000000000012</v>
      </c>
      <c r="AL286" s="102">
        <f t="shared" ref="AL286:AL308" si="370">CHOOSE(W286,AA286*SQRT(Y286/3),SQRT(Y286*((AA286^2)+((Z286^2)/3)-(Z286*AA286))))</f>
        <v>1.3965112781499478</v>
      </c>
      <c r="AM286" s="102">
        <f t="shared" ref="AM286:AM308" si="371">T286*Vd_rect</f>
        <v>0.23436000000000001</v>
      </c>
      <c r="AN286" s="102">
        <f t="shared" ref="AN286:AN308" si="372">CHOOSE(W286,(S286+Vd_rect)*Qrr*Fsw,(S286+Vd_rect)*Qrr*Fsw)</f>
        <v>0.75525000000000009</v>
      </c>
      <c r="AO286" s="103">
        <f t="shared" ref="AO286:AO308" si="373">AM286+AN286</f>
        <v>0.9896100000000001</v>
      </c>
      <c r="AP286" s="99">
        <f t="shared" ref="AP286:AP308" si="374">(AG286^2)*0</f>
        <v>0</v>
      </c>
      <c r="AQ286" s="102">
        <f t="shared" si="350"/>
        <v>8.7499999999999994E-2</v>
      </c>
      <c r="AR286" s="103">
        <f t="shared" ref="AR286:AR308" si="375">IQ*U286</f>
        <v>1.155E-2</v>
      </c>
      <c r="AS286" s="99">
        <f t="shared" ref="AS286:AS308" si="376">AP286+AJ286+AQ286+AR286</f>
        <v>3.3317525755850008</v>
      </c>
      <c r="AT286" s="215">
        <f t="shared" ref="AT286:AT308" si="377">Ta+Tk*AS286</f>
        <v>224.90515453510005</v>
      </c>
      <c r="AU286" s="216">
        <f t="shared" ref="AU286:AU308" si="378">RDS_on/51.8*(47.12+AT286*0.244)</f>
        <v>0.10204218964332293</v>
      </c>
      <c r="AV286" s="102">
        <f t="shared" ref="AV286:AV308" si="379">S286*T286</f>
        <v>33.480000000000004</v>
      </c>
      <c r="AW286" s="103">
        <f t="shared" ref="AW286:AW308" si="380">(AV286/(AV286+AS286))*100</f>
        <v>90.949215012939248</v>
      </c>
      <c r="AX286" s="32"/>
      <c r="AY286" s="101">
        <f t="shared" si="351"/>
        <v>60</v>
      </c>
      <c r="AZ286" s="102">
        <f t="shared" ref="AZ286:AZ308" si="381">Q286*$O$12</f>
        <v>0.55800000000000005</v>
      </c>
      <c r="BA286" s="102">
        <f t="shared" si="352"/>
        <v>15</v>
      </c>
      <c r="BB286" s="103">
        <f t="shared" ref="BB286:BB308" si="382">(AY286*AZ286)/(BA286*EFF_est)</f>
        <v>2.7900000000000005</v>
      </c>
      <c r="BC286" s="101">
        <f t="shared" ref="BC286:BC308" si="383">IF((AZ286*AY286/BA286)&lt;((BA286*(1-(BA286/AY286)))/(2*Lm*Fsw)),1,2)</f>
        <v>2</v>
      </c>
      <c r="BD286" s="102">
        <f t="shared" ref="BD286:BD308" si="384">CHOOSE(BC286,SQRT((2*AZ286*Lm*Fsw*(AY286-BA286))/((BA286)^2)),1-(BA286/AY286))</f>
        <v>0.75</v>
      </c>
      <c r="BE286" s="100">
        <f t="shared" ref="BE286:BE308" si="385">CHOOSE(BC286,(Lm*BG286*Fsw)/(AY286-BA286),1-BD286)</f>
        <v>0.25</v>
      </c>
      <c r="BF286" s="101">
        <f t="shared" ref="BF286:BF308" si="386">(BA286*BD286)/(Lm*Fsw)</f>
        <v>0.45000000000000007</v>
      </c>
      <c r="BG286" s="102">
        <f t="shared" ref="BG286:BG308" si="387">CHOOSE(BC286,BF286,BB286+(0.5*BF286))</f>
        <v>3.0150000000000006</v>
      </c>
      <c r="BH286" s="102">
        <f t="shared" ref="BH286:BH308" si="388">CHOOSE(BC286,BG286*SQRT((BD286+BE286)/3),SQRT((BB286^2)+((BF286^2)/12)))</f>
        <v>2.7930225562998952</v>
      </c>
      <c r="BI286" s="102">
        <v>0</v>
      </c>
      <c r="BJ286" s="102">
        <f t="shared" ref="BJ286:BJ308" si="389">(BH286^2)*Rdcr</f>
        <v>7.8009750000000017E-2</v>
      </c>
      <c r="BK286" s="103">
        <f t="shared" ref="BK286:BK308" si="390">BI286+BJ286</f>
        <v>7.8009750000000017E-2</v>
      </c>
      <c r="BL286" s="101">
        <f t="shared" ref="BL286:BL308" si="391">BB286*BD286</f>
        <v>2.0925000000000002</v>
      </c>
      <c r="BM286" s="97">
        <f t="shared" ref="BM286:BM308" si="392">CHOOSE(BC286,BG286*SQRT(BD286/3),SQRT(BD286*((BG286^2)+((BF286^2)/3)-(BG286*BF286))))</f>
        <v>2.4188284870986623</v>
      </c>
      <c r="BN286" s="97">
        <f t="shared" ref="BN286:BN308" si="393">(BM286^2)*AU286</f>
        <v>0.5970214277646162</v>
      </c>
      <c r="BO286" s="97">
        <f t="shared" ref="BO286:BO308" si="394">((AY286*BB286)/2)*Fsw*(tr_sw_fix+tf_sw_fix)</f>
        <v>2.9295000000000004</v>
      </c>
      <c r="BP286" s="103">
        <f t="shared" ref="BP286:BP308" si="395">BN286+BO286</f>
        <v>3.5265214277646164</v>
      </c>
      <c r="BQ286" s="101">
        <f t="shared" ref="BQ286:BQ308" si="396">BE286*BB286</f>
        <v>0.69750000000000012</v>
      </c>
      <c r="BR286" s="102">
        <f t="shared" ref="BR286:BR308" si="397">CHOOSE(BC286,BG286*SQRT(BE286/3),SQRT(BE286*((BG286^2)+((BF286^2)/3)-(BF286*BG286))))</f>
        <v>1.3965112781499478</v>
      </c>
      <c r="BS286" s="102">
        <f t="shared" ref="BS286:BS308" si="398">AZ286*Vd_rect</f>
        <v>0.23436000000000001</v>
      </c>
      <c r="BT286" s="102">
        <f t="shared" ref="BT286:BT308" si="399">CHOOSE(BC286,(AY286+Vd_rect)*Qrr*Fsw,(AY286+Vd_rect)*Qrr*Fsw)</f>
        <v>0.75525000000000009</v>
      </c>
      <c r="BU286" s="103">
        <f t="shared" ref="BU286:BU308" si="400">BS286+BT286</f>
        <v>0.9896100000000001</v>
      </c>
      <c r="BV286" s="99">
        <f t="shared" ref="BV286:BV308" si="401">(BM286^2)*0</f>
        <v>0</v>
      </c>
      <c r="BW286" s="102">
        <f t="shared" si="353"/>
        <v>8.7499999999999994E-2</v>
      </c>
      <c r="BX286" s="103">
        <f t="shared" ref="BX286:BX308" si="402">IQ*BA286</f>
        <v>1.155E-2</v>
      </c>
      <c r="BY286" s="101">
        <f t="shared" ref="BY286:BY308" si="403">BV286+BU286+BP286+BK286+BW286+BX286</f>
        <v>4.693191177764616</v>
      </c>
      <c r="BZ286" s="102">
        <f t="shared" ref="BZ286:BZ308" si="404">AY286*AZ286</f>
        <v>33.480000000000004</v>
      </c>
      <c r="CA286" s="103">
        <f t="shared" ref="CA286:CA308" si="405">(BZ286/(BZ286+BY286))*100</f>
        <v>87.705530942096516</v>
      </c>
      <c r="CB286" s="51">
        <f t="shared" ref="CB286:CB308" si="406">BP286+BW286+BX286+BV286</f>
        <v>3.6255714277646165</v>
      </c>
      <c r="CC286" s="32">
        <f t="shared" ref="CC286:CC308" si="407">Ta+Tk_f*CB286</f>
        <v>151.89499997176159</v>
      </c>
    </row>
    <row r="287" spans="17:81" ht="15" thickBot="1" x14ac:dyDescent="0.35">
      <c r="Q287" s="32">
        <v>280</v>
      </c>
      <c r="S287" s="101">
        <f t="shared" si="348"/>
        <v>60</v>
      </c>
      <c r="T287" s="97">
        <f t="shared" si="354"/>
        <v>0.56000000000000005</v>
      </c>
      <c r="U287" s="102">
        <f t="shared" si="349"/>
        <v>15</v>
      </c>
      <c r="V287" s="103">
        <f t="shared" si="355"/>
        <v>2.8000000000000003</v>
      </c>
      <c r="W287" s="101">
        <f t="shared" si="356"/>
        <v>2</v>
      </c>
      <c r="X287" s="102">
        <f t="shared" si="357"/>
        <v>0.75</v>
      </c>
      <c r="Y287" s="100">
        <f t="shared" si="358"/>
        <v>0.25</v>
      </c>
      <c r="Z287" s="101">
        <f t="shared" si="359"/>
        <v>0.45000000000000007</v>
      </c>
      <c r="AA287" s="102">
        <f t="shared" si="360"/>
        <v>3.0250000000000004</v>
      </c>
      <c r="AB287" s="102">
        <f t="shared" si="361"/>
        <v>2.8030117730755255</v>
      </c>
      <c r="AC287" s="102">
        <v>0</v>
      </c>
      <c r="AD287" s="102">
        <f t="shared" si="362"/>
        <v>7.8568750000000021E-2</v>
      </c>
      <c r="AE287" s="103">
        <f t="shared" si="363"/>
        <v>7.8568750000000021E-2</v>
      </c>
      <c r="AF287" s="101">
        <f t="shared" si="364"/>
        <v>2.1</v>
      </c>
      <c r="AG287" s="97">
        <f t="shared" si="365"/>
        <v>2.4274794025902673</v>
      </c>
      <c r="AH287" s="102">
        <f t="shared" si="366"/>
        <v>0.3053752557916668</v>
      </c>
      <c r="AI287" s="97">
        <f t="shared" si="367"/>
        <v>2.9400000000000004</v>
      </c>
      <c r="AJ287" s="103">
        <f t="shared" si="368"/>
        <v>3.2453752557916671</v>
      </c>
      <c r="AK287" s="101">
        <f t="shared" si="369"/>
        <v>0.70000000000000007</v>
      </c>
      <c r="AL287" s="102">
        <f t="shared" si="370"/>
        <v>1.4015058865377628</v>
      </c>
      <c r="AM287" s="102">
        <f t="shared" si="371"/>
        <v>0.23520000000000002</v>
      </c>
      <c r="AN287" s="102">
        <f t="shared" si="372"/>
        <v>0.75525000000000009</v>
      </c>
      <c r="AO287" s="103">
        <f t="shared" si="373"/>
        <v>0.99045000000000005</v>
      </c>
      <c r="AP287" s="99">
        <f t="shared" si="374"/>
        <v>0</v>
      </c>
      <c r="AQ287" s="102">
        <f t="shared" si="350"/>
        <v>8.7499999999999994E-2</v>
      </c>
      <c r="AR287" s="103">
        <f t="shared" si="375"/>
        <v>1.155E-2</v>
      </c>
      <c r="AS287" s="99">
        <f t="shared" si="376"/>
        <v>3.3444252557916672</v>
      </c>
      <c r="AT287" s="215">
        <f t="shared" si="377"/>
        <v>225.66551534750002</v>
      </c>
      <c r="AU287" s="216">
        <f t="shared" si="378"/>
        <v>0.10222780013845439</v>
      </c>
      <c r="AV287" s="102">
        <f t="shared" si="379"/>
        <v>33.6</v>
      </c>
      <c r="AW287" s="103">
        <f t="shared" si="380"/>
        <v>90.947415658422315</v>
      </c>
      <c r="AX287" s="32"/>
      <c r="AY287" s="101">
        <f t="shared" si="351"/>
        <v>60</v>
      </c>
      <c r="AZ287" s="102">
        <f t="shared" si="381"/>
        <v>0.56000000000000005</v>
      </c>
      <c r="BA287" s="102">
        <f t="shared" si="352"/>
        <v>15</v>
      </c>
      <c r="BB287" s="103">
        <f t="shared" si="382"/>
        <v>2.8000000000000003</v>
      </c>
      <c r="BC287" s="101">
        <f t="shared" si="383"/>
        <v>2</v>
      </c>
      <c r="BD287" s="102">
        <f t="shared" si="384"/>
        <v>0.75</v>
      </c>
      <c r="BE287" s="100">
        <f t="shared" si="385"/>
        <v>0.25</v>
      </c>
      <c r="BF287" s="101">
        <f t="shared" si="386"/>
        <v>0.45000000000000007</v>
      </c>
      <c r="BG287" s="102">
        <f t="shared" si="387"/>
        <v>3.0250000000000004</v>
      </c>
      <c r="BH287" s="102">
        <f t="shared" si="388"/>
        <v>2.8030117730755255</v>
      </c>
      <c r="BI287" s="102">
        <v>0</v>
      </c>
      <c r="BJ287" s="102">
        <f t="shared" si="389"/>
        <v>7.8568750000000021E-2</v>
      </c>
      <c r="BK287" s="103">
        <f t="shared" si="390"/>
        <v>7.8568750000000021E-2</v>
      </c>
      <c r="BL287" s="101">
        <f t="shared" si="391"/>
        <v>2.1</v>
      </c>
      <c r="BM287" s="97">
        <f t="shared" si="392"/>
        <v>2.4274794025902673</v>
      </c>
      <c r="BN287" s="97">
        <f t="shared" si="393"/>
        <v>0.60239328540961423</v>
      </c>
      <c r="BO287" s="97">
        <f t="shared" si="394"/>
        <v>2.9400000000000004</v>
      </c>
      <c r="BP287" s="103">
        <f t="shared" si="395"/>
        <v>3.5423932854096147</v>
      </c>
      <c r="BQ287" s="101">
        <f t="shared" si="396"/>
        <v>0.70000000000000007</v>
      </c>
      <c r="BR287" s="102">
        <f t="shared" si="397"/>
        <v>1.4015058865377628</v>
      </c>
      <c r="BS287" s="102">
        <f t="shared" si="398"/>
        <v>0.23520000000000002</v>
      </c>
      <c r="BT287" s="102">
        <f t="shared" si="399"/>
        <v>0.75525000000000009</v>
      </c>
      <c r="BU287" s="103">
        <f t="shared" si="400"/>
        <v>0.99045000000000005</v>
      </c>
      <c r="BV287" s="99">
        <f t="shared" si="401"/>
        <v>0</v>
      </c>
      <c r="BW287" s="102">
        <f t="shared" si="353"/>
        <v>8.7499999999999994E-2</v>
      </c>
      <c r="BX287" s="103">
        <f t="shared" si="402"/>
        <v>1.155E-2</v>
      </c>
      <c r="BY287" s="101">
        <f t="shared" si="403"/>
        <v>4.7104620354096145</v>
      </c>
      <c r="BZ287" s="102">
        <f t="shared" si="404"/>
        <v>33.6</v>
      </c>
      <c r="CA287" s="103">
        <f t="shared" si="405"/>
        <v>87.704502151250935</v>
      </c>
      <c r="CB287" s="51">
        <f t="shared" si="406"/>
        <v>3.6414432854096148</v>
      </c>
      <c r="CC287" s="32">
        <f t="shared" si="407"/>
        <v>152.45051498933651</v>
      </c>
    </row>
    <row r="288" spans="17:81" ht="15" thickBot="1" x14ac:dyDescent="0.35">
      <c r="Q288" s="32">
        <v>281</v>
      </c>
      <c r="S288" s="101">
        <f t="shared" si="348"/>
        <v>60</v>
      </c>
      <c r="T288" s="97">
        <f t="shared" si="354"/>
        <v>0.56200000000000006</v>
      </c>
      <c r="U288" s="102">
        <f t="shared" si="349"/>
        <v>15</v>
      </c>
      <c r="V288" s="103">
        <f t="shared" si="355"/>
        <v>2.8100000000000005</v>
      </c>
      <c r="W288" s="101">
        <f t="shared" si="356"/>
        <v>2</v>
      </c>
      <c r="X288" s="102">
        <f t="shared" si="357"/>
        <v>0.75</v>
      </c>
      <c r="Y288" s="100">
        <f t="shared" si="358"/>
        <v>0.25</v>
      </c>
      <c r="Z288" s="101">
        <f t="shared" si="359"/>
        <v>0.45000000000000007</v>
      </c>
      <c r="AA288" s="102">
        <f t="shared" si="360"/>
        <v>3.0350000000000006</v>
      </c>
      <c r="AB288" s="102">
        <f t="shared" si="361"/>
        <v>2.8130010664768692</v>
      </c>
      <c r="AC288" s="102">
        <v>0</v>
      </c>
      <c r="AD288" s="102">
        <f t="shared" si="362"/>
        <v>7.912975000000004E-2</v>
      </c>
      <c r="AE288" s="103">
        <f t="shared" si="363"/>
        <v>7.912975000000004E-2</v>
      </c>
      <c r="AF288" s="101">
        <f t="shared" si="364"/>
        <v>2.1075000000000004</v>
      </c>
      <c r="AG288" s="97">
        <f t="shared" si="365"/>
        <v>2.4361303844416873</v>
      </c>
      <c r="AH288" s="102">
        <f t="shared" si="366"/>
        <v>0.30755570945166694</v>
      </c>
      <c r="AI288" s="97">
        <f t="shared" si="367"/>
        <v>2.9505000000000003</v>
      </c>
      <c r="AJ288" s="103">
        <f t="shared" si="368"/>
        <v>3.2580557094516673</v>
      </c>
      <c r="AK288" s="101">
        <f t="shared" si="369"/>
        <v>0.70250000000000012</v>
      </c>
      <c r="AL288" s="102">
        <f t="shared" si="370"/>
        <v>1.4065005332384346</v>
      </c>
      <c r="AM288" s="102">
        <f t="shared" si="371"/>
        <v>0.23604000000000003</v>
      </c>
      <c r="AN288" s="102">
        <f t="shared" si="372"/>
        <v>0.75525000000000009</v>
      </c>
      <c r="AO288" s="103">
        <f t="shared" si="373"/>
        <v>0.99129000000000012</v>
      </c>
      <c r="AP288" s="99">
        <f t="shared" si="374"/>
        <v>0</v>
      </c>
      <c r="AQ288" s="102">
        <f t="shared" si="350"/>
        <v>8.7499999999999994E-2</v>
      </c>
      <c r="AR288" s="103">
        <f t="shared" si="375"/>
        <v>1.155E-2</v>
      </c>
      <c r="AS288" s="99">
        <f t="shared" si="376"/>
        <v>3.3571057094516674</v>
      </c>
      <c r="AT288" s="215">
        <f t="shared" si="377"/>
        <v>226.42634256710005</v>
      </c>
      <c r="AU288" s="216">
        <f t="shared" si="378"/>
        <v>0.10241352448752195</v>
      </c>
      <c r="AV288" s="102">
        <f t="shared" si="379"/>
        <v>33.720000000000006</v>
      </c>
      <c r="AW288" s="103">
        <f t="shared" si="380"/>
        <v>90.945610113801649</v>
      </c>
      <c r="AX288" s="32"/>
      <c r="AY288" s="101">
        <f t="shared" si="351"/>
        <v>60</v>
      </c>
      <c r="AZ288" s="102">
        <f t="shared" si="381"/>
        <v>0.56200000000000006</v>
      </c>
      <c r="BA288" s="102">
        <f t="shared" si="352"/>
        <v>15</v>
      </c>
      <c r="BB288" s="103">
        <f t="shared" si="382"/>
        <v>2.8100000000000005</v>
      </c>
      <c r="BC288" s="101">
        <f t="shared" si="383"/>
        <v>2</v>
      </c>
      <c r="BD288" s="102">
        <f t="shared" si="384"/>
        <v>0.75</v>
      </c>
      <c r="BE288" s="100">
        <f t="shared" si="385"/>
        <v>0.25</v>
      </c>
      <c r="BF288" s="101">
        <f t="shared" si="386"/>
        <v>0.45000000000000007</v>
      </c>
      <c r="BG288" s="102">
        <f t="shared" si="387"/>
        <v>3.0350000000000006</v>
      </c>
      <c r="BH288" s="102">
        <f t="shared" si="388"/>
        <v>2.8130010664768692</v>
      </c>
      <c r="BI288" s="102">
        <v>0</v>
      </c>
      <c r="BJ288" s="102">
        <f t="shared" si="389"/>
        <v>7.912975000000004E-2</v>
      </c>
      <c r="BK288" s="103">
        <f t="shared" si="390"/>
        <v>7.912975000000004E-2</v>
      </c>
      <c r="BL288" s="101">
        <f t="shared" si="391"/>
        <v>2.1075000000000004</v>
      </c>
      <c r="BM288" s="97">
        <f t="shared" si="392"/>
        <v>2.4361303844416873</v>
      </c>
      <c r="BN288" s="97">
        <f t="shared" si="393"/>
        <v>0.60779674419873708</v>
      </c>
      <c r="BO288" s="97">
        <f t="shared" si="394"/>
        <v>2.9505000000000003</v>
      </c>
      <c r="BP288" s="103">
        <f t="shared" si="395"/>
        <v>3.5582967441987376</v>
      </c>
      <c r="BQ288" s="101">
        <f t="shared" si="396"/>
        <v>0.70250000000000012</v>
      </c>
      <c r="BR288" s="102">
        <f t="shared" si="397"/>
        <v>1.4065005332384346</v>
      </c>
      <c r="BS288" s="102">
        <f t="shared" si="398"/>
        <v>0.23604000000000003</v>
      </c>
      <c r="BT288" s="102">
        <f t="shared" si="399"/>
        <v>0.75525000000000009</v>
      </c>
      <c r="BU288" s="103">
        <f t="shared" si="400"/>
        <v>0.99129000000000012</v>
      </c>
      <c r="BV288" s="99">
        <f t="shared" si="401"/>
        <v>0</v>
      </c>
      <c r="BW288" s="102">
        <f t="shared" si="353"/>
        <v>8.7499999999999994E-2</v>
      </c>
      <c r="BX288" s="103">
        <f t="shared" si="402"/>
        <v>1.155E-2</v>
      </c>
      <c r="BY288" s="101">
        <f t="shared" si="403"/>
        <v>4.7277664941987378</v>
      </c>
      <c r="BZ288" s="102">
        <f t="shared" si="404"/>
        <v>33.720000000000006</v>
      </c>
      <c r="CA288" s="103">
        <f t="shared" si="405"/>
        <v>87.703404058823295</v>
      </c>
      <c r="CB288" s="51">
        <f t="shared" si="406"/>
        <v>3.6573467441987377</v>
      </c>
      <c r="CC288" s="32">
        <f t="shared" si="407"/>
        <v>153.00713604695582</v>
      </c>
    </row>
    <row r="289" spans="17:81" ht="15" thickBot="1" x14ac:dyDescent="0.35">
      <c r="Q289" s="32">
        <v>282</v>
      </c>
      <c r="S289" s="101">
        <f t="shared" si="348"/>
        <v>60</v>
      </c>
      <c r="T289" s="97">
        <f t="shared" si="354"/>
        <v>0.56400000000000006</v>
      </c>
      <c r="U289" s="102">
        <f t="shared" si="349"/>
        <v>15</v>
      </c>
      <c r="V289" s="103">
        <f t="shared" si="355"/>
        <v>2.8200000000000003</v>
      </c>
      <c r="W289" s="101">
        <f t="shared" si="356"/>
        <v>2</v>
      </c>
      <c r="X289" s="102">
        <f t="shared" si="357"/>
        <v>0.75</v>
      </c>
      <c r="Y289" s="100">
        <f t="shared" si="358"/>
        <v>0.25</v>
      </c>
      <c r="Z289" s="101">
        <f t="shared" si="359"/>
        <v>0.45000000000000007</v>
      </c>
      <c r="AA289" s="102">
        <f t="shared" si="360"/>
        <v>3.0450000000000004</v>
      </c>
      <c r="AB289" s="102">
        <f t="shared" si="361"/>
        <v>2.8229904356904933</v>
      </c>
      <c r="AC289" s="102">
        <v>0</v>
      </c>
      <c r="AD289" s="102">
        <f t="shared" si="362"/>
        <v>7.9692750000000021E-2</v>
      </c>
      <c r="AE289" s="103">
        <f t="shared" si="363"/>
        <v>7.9692750000000021E-2</v>
      </c>
      <c r="AF289" s="101">
        <f t="shared" si="364"/>
        <v>2.1150000000000002</v>
      </c>
      <c r="AG289" s="97">
        <f t="shared" si="365"/>
        <v>2.444781431948468</v>
      </c>
      <c r="AH289" s="102">
        <f t="shared" si="366"/>
        <v>0.30974393656500016</v>
      </c>
      <c r="AI289" s="97">
        <f t="shared" si="367"/>
        <v>2.9610000000000003</v>
      </c>
      <c r="AJ289" s="103">
        <f t="shared" si="368"/>
        <v>3.2707439365650006</v>
      </c>
      <c r="AK289" s="101">
        <f t="shared" si="369"/>
        <v>0.70500000000000007</v>
      </c>
      <c r="AL289" s="102">
        <f t="shared" si="370"/>
        <v>1.4114952178452469</v>
      </c>
      <c r="AM289" s="102">
        <f t="shared" si="371"/>
        <v>0.23688000000000001</v>
      </c>
      <c r="AN289" s="102">
        <f t="shared" si="372"/>
        <v>0.75525000000000009</v>
      </c>
      <c r="AO289" s="103">
        <f t="shared" si="373"/>
        <v>0.99213000000000007</v>
      </c>
      <c r="AP289" s="99">
        <f t="shared" si="374"/>
        <v>0</v>
      </c>
      <c r="AQ289" s="102">
        <f t="shared" si="350"/>
        <v>8.7499999999999994E-2</v>
      </c>
      <c r="AR289" s="103">
        <f t="shared" si="375"/>
        <v>1.155E-2</v>
      </c>
      <c r="AS289" s="99">
        <f t="shared" si="376"/>
        <v>3.3697939365650007</v>
      </c>
      <c r="AT289" s="215">
        <f t="shared" si="377"/>
        <v>227.18763619390003</v>
      </c>
      <c r="AU289" s="216">
        <f t="shared" si="378"/>
        <v>0.10259936269052555</v>
      </c>
      <c r="AV289" s="102">
        <f t="shared" si="379"/>
        <v>33.840000000000003</v>
      </c>
      <c r="AW289" s="103">
        <f t="shared" si="380"/>
        <v>90.943798446425689</v>
      </c>
      <c r="AX289" s="32"/>
      <c r="AY289" s="101">
        <f t="shared" si="351"/>
        <v>60</v>
      </c>
      <c r="AZ289" s="102">
        <f t="shared" si="381"/>
        <v>0.56400000000000006</v>
      </c>
      <c r="BA289" s="102">
        <f t="shared" si="352"/>
        <v>15</v>
      </c>
      <c r="BB289" s="103">
        <f t="shared" si="382"/>
        <v>2.8200000000000003</v>
      </c>
      <c r="BC289" s="101">
        <f t="shared" si="383"/>
        <v>2</v>
      </c>
      <c r="BD289" s="102">
        <f t="shared" si="384"/>
        <v>0.75</v>
      </c>
      <c r="BE289" s="100">
        <f t="shared" si="385"/>
        <v>0.25</v>
      </c>
      <c r="BF289" s="101">
        <f t="shared" si="386"/>
        <v>0.45000000000000007</v>
      </c>
      <c r="BG289" s="102">
        <f t="shared" si="387"/>
        <v>3.0450000000000004</v>
      </c>
      <c r="BH289" s="102">
        <f t="shared" si="388"/>
        <v>2.8229904356904933</v>
      </c>
      <c r="BI289" s="102">
        <v>0</v>
      </c>
      <c r="BJ289" s="102">
        <f t="shared" si="389"/>
        <v>7.9692750000000021E-2</v>
      </c>
      <c r="BK289" s="103">
        <f t="shared" si="390"/>
        <v>7.9692750000000021E-2</v>
      </c>
      <c r="BL289" s="101">
        <f t="shared" si="391"/>
        <v>2.1150000000000002</v>
      </c>
      <c r="BM289" s="97">
        <f t="shared" si="392"/>
        <v>2.444781431948468</v>
      </c>
      <c r="BN289" s="97">
        <f t="shared" si="393"/>
        <v>0.61323190207915368</v>
      </c>
      <c r="BO289" s="97">
        <f t="shared" si="394"/>
        <v>2.9610000000000003</v>
      </c>
      <c r="BP289" s="103">
        <f t="shared" si="395"/>
        <v>3.5742319020791538</v>
      </c>
      <c r="BQ289" s="101">
        <f t="shared" si="396"/>
        <v>0.70500000000000007</v>
      </c>
      <c r="BR289" s="102">
        <f t="shared" si="397"/>
        <v>1.4114952178452469</v>
      </c>
      <c r="BS289" s="102">
        <f t="shared" si="398"/>
        <v>0.23688000000000001</v>
      </c>
      <c r="BT289" s="102">
        <f t="shared" si="399"/>
        <v>0.75525000000000009</v>
      </c>
      <c r="BU289" s="103">
        <f t="shared" si="400"/>
        <v>0.99213000000000007</v>
      </c>
      <c r="BV289" s="99">
        <f t="shared" si="401"/>
        <v>0</v>
      </c>
      <c r="BW289" s="102">
        <f t="shared" si="353"/>
        <v>8.7499999999999994E-2</v>
      </c>
      <c r="BX289" s="103">
        <f t="shared" si="402"/>
        <v>1.155E-2</v>
      </c>
      <c r="BY289" s="101">
        <f t="shared" si="403"/>
        <v>4.7451046520791547</v>
      </c>
      <c r="BZ289" s="102">
        <f t="shared" si="404"/>
        <v>33.840000000000003</v>
      </c>
      <c r="CA289" s="103">
        <f t="shared" si="405"/>
        <v>87.702237184878371</v>
      </c>
      <c r="CB289" s="51">
        <f t="shared" si="406"/>
        <v>3.6732819020791538</v>
      </c>
      <c r="CC289" s="32">
        <f t="shared" si="407"/>
        <v>153.56486657277037</v>
      </c>
    </row>
    <row r="290" spans="17:81" ht="15" thickBot="1" x14ac:dyDescent="0.35">
      <c r="Q290" s="32">
        <v>283</v>
      </c>
      <c r="S290" s="101">
        <f t="shared" si="348"/>
        <v>60</v>
      </c>
      <c r="T290" s="97">
        <f t="shared" si="354"/>
        <v>0.56600000000000006</v>
      </c>
      <c r="U290" s="102">
        <f t="shared" si="349"/>
        <v>15</v>
      </c>
      <c r="V290" s="103">
        <f t="shared" si="355"/>
        <v>2.83</v>
      </c>
      <c r="W290" s="101">
        <f t="shared" si="356"/>
        <v>2</v>
      </c>
      <c r="X290" s="102">
        <f t="shared" si="357"/>
        <v>0.75</v>
      </c>
      <c r="Y290" s="100">
        <f t="shared" si="358"/>
        <v>0.25</v>
      </c>
      <c r="Z290" s="101">
        <f t="shared" si="359"/>
        <v>0.45000000000000007</v>
      </c>
      <c r="AA290" s="102">
        <f t="shared" si="360"/>
        <v>3.0550000000000002</v>
      </c>
      <c r="AB290" s="102">
        <f t="shared" si="361"/>
        <v>2.8329798799144341</v>
      </c>
      <c r="AC290" s="102">
        <v>0</v>
      </c>
      <c r="AD290" s="102">
        <f t="shared" si="362"/>
        <v>8.0257750000000017E-2</v>
      </c>
      <c r="AE290" s="103">
        <f t="shared" si="363"/>
        <v>8.0257750000000017E-2</v>
      </c>
      <c r="AF290" s="101">
        <f t="shared" si="364"/>
        <v>2.1225000000000001</v>
      </c>
      <c r="AG290" s="97">
        <f t="shared" si="365"/>
        <v>2.453432544416088</v>
      </c>
      <c r="AH290" s="102">
        <f t="shared" si="366"/>
        <v>0.31193993713166673</v>
      </c>
      <c r="AI290" s="97">
        <f t="shared" si="367"/>
        <v>2.9714999999999998</v>
      </c>
      <c r="AJ290" s="103">
        <f t="shared" si="368"/>
        <v>3.2834399371316665</v>
      </c>
      <c r="AK290" s="101">
        <f t="shared" si="369"/>
        <v>0.70750000000000002</v>
      </c>
      <c r="AL290" s="102">
        <f t="shared" si="370"/>
        <v>1.4164899399572171</v>
      </c>
      <c r="AM290" s="102">
        <f t="shared" si="371"/>
        <v>0.23772000000000001</v>
      </c>
      <c r="AN290" s="102">
        <f t="shared" si="372"/>
        <v>0.75525000000000009</v>
      </c>
      <c r="AO290" s="103">
        <f t="shared" si="373"/>
        <v>0.99297000000000013</v>
      </c>
      <c r="AP290" s="99">
        <f t="shared" si="374"/>
        <v>0</v>
      </c>
      <c r="AQ290" s="102">
        <f t="shared" si="350"/>
        <v>8.7499999999999994E-2</v>
      </c>
      <c r="AR290" s="103">
        <f t="shared" si="375"/>
        <v>1.155E-2</v>
      </c>
      <c r="AS290" s="99">
        <f t="shared" si="376"/>
        <v>3.3824899371316666</v>
      </c>
      <c r="AT290" s="215">
        <f t="shared" si="377"/>
        <v>227.9493962279</v>
      </c>
      <c r="AU290" s="216">
        <f t="shared" si="378"/>
        <v>0.10278531474746523</v>
      </c>
      <c r="AV290" s="102">
        <f t="shared" si="379"/>
        <v>33.96</v>
      </c>
      <c r="AW290" s="103">
        <f t="shared" si="380"/>
        <v>90.941980722693387</v>
      </c>
      <c r="AX290" s="32"/>
      <c r="AY290" s="101">
        <f t="shared" si="351"/>
        <v>60</v>
      </c>
      <c r="AZ290" s="102">
        <f t="shared" si="381"/>
        <v>0.56600000000000006</v>
      </c>
      <c r="BA290" s="102">
        <f t="shared" si="352"/>
        <v>15</v>
      </c>
      <c r="BB290" s="103">
        <f t="shared" si="382"/>
        <v>2.83</v>
      </c>
      <c r="BC290" s="101">
        <f t="shared" si="383"/>
        <v>2</v>
      </c>
      <c r="BD290" s="102">
        <f t="shared" si="384"/>
        <v>0.75</v>
      </c>
      <c r="BE290" s="100">
        <f t="shared" si="385"/>
        <v>0.25</v>
      </c>
      <c r="BF290" s="101">
        <f t="shared" si="386"/>
        <v>0.45000000000000007</v>
      </c>
      <c r="BG290" s="102">
        <f t="shared" si="387"/>
        <v>3.0550000000000002</v>
      </c>
      <c r="BH290" s="102">
        <f t="shared" si="388"/>
        <v>2.8329798799144341</v>
      </c>
      <c r="BI290" s="102">
        <v>0</v>
      </c>
      <c r="BJ290" s="102">
        <f t="shared" si="389"/>
        <v>8.0257750000000017E-2</v>
      </c>
      <c r="BK290" s="103">
        <f t="shared" si="390"/>
        <v>8.0257750000000017E-2</v>
      </c>
      <c r="BL290" s="101">
        <f t="shared" si="391"/>
        <v>2.1225000000000001</v>
      </c>
      <c r="BM290" s="97">
        <f t="shared" si="392"/>
        <v>2.453432544416088</v>
      </c>
      <c r="BN290" s="97">
        <f t="shared" si="393"/>
        <v>0.61869885710050332</v>
      </c>
      <c r="BO290" s="97">
        <f t="shared" si="394"/>
        <v>2.9714999999999998</v>
      </c>
      <c r="BP290" s="103">
        <f t="shared" si="395"/>
        <v>3.590198857100503</v>
      </c>
      <c r="BQ290" s="101">
        <f t="shared" si="396"/>
        <v>0.70750000000000002</v>
      </c>
      <c r="BR290" s="102">
        <f t="shared" si="397"/>
        <v>1.4164899399572171</v>
      </c>
      <c r="BS290" s="102">
        <f t="shared" si="398"/>
        <v>0.23772000000000001</v>
      </c>
      <c r="BT290" s="102">
        <f t="shared" si="399"/>
        <v>0.75525000000000009</v>
      </c>
      <c r="BU290" s="103">
        <f t="shared" si="400"/>
        <v>0.99297000000000013</v>
      </c>
      <c r="BV290" s="99">
        <f t="shared" si="401"/>
        <v>0</v>
      </c>
      <c r="BW290" s="102">
        <f t="shared" si="353"/>
        <v>8.7499999999999994E-2</v>
      </c>
      <c r="BX290" s="103">
        <f t="shared" si="402"/>
        <v>1.155E-2</v>
      </c>
      <c r="BY290" s="101">
        <f t="shared" si="403"/>
        <v>4.7624766071005036</v>
      </c>
      <c r="BZ290" s="102">
        <f t="shared" si="404"/>
        <v>33.96</v>
      </c>
      <c r="CA290" s="103">
        <f t="shared" si="405"/>
        <v>87.70100204224228</v>
      </c>
      <c r="CB290" s="51">
        <f t="shared" si="406"/>
        <v>3.6892488571005031</v>
      </c>
      <c r="CC290" s="32">
        <f t="shared" si="407"/>
        <v>154.1237099985176</v>
      </c>
    </row>
    <row r="291" spans="17:81" ht="15" thickBot="1" x14ac:dyDescent="0.35">
      <c r="Q291" s="32">
        <v>284</v>
      </c>
      <c r="S291" s="101">
        <f t="shared" si="348"/>
        <v>60</v>
      </c>
      <c r="T291" s="97">
        <f t="shared" si="354"/>
        <v>0.56800000000000006</v>
      </c>
      <c r="U291" s="102">
        <f t="shared" si="349"/>
        <v>15</v>
      </c>
      <c r="V291" s="103">
        <f t="shared" si="355"/>
        <v>2.8400000000000003</v>
      </c>
      <c r="W291" s="101">
        <f t="shared" si="356"/>
        <v>2</v>
      </c>
      <c r="X291" s="102">
        <f t="shared" si="357"/>
        <v>0.75</v>
      </c>
      <c r="Y291" s="100">
        <f t="shared" si="358"/>
        <v>0.25</v>
      </c>
      <c r="Z291" s="101">
        <f t="shared" si="359"/>
        <v>0.45000000000000007</v>
      </c>
      <c r="AA291" s="102">
        <f t="shared" si="360"/>
        <v>3.0650000000000004</v>
      </c>
      <c r="AB291" s="102">
        <f t="shared" si="361"/>
        <v>2.842969398357992</v>
      </c>
      <c r="AC291" s="102">
        <v>0</v>
      </c>
      <c r="AD291" s="102">
        <f t="shared" si="362"/>
        <v>8.0824750000000029E-2</v>
      </c>
      <c r="AE291" s="103">
        <f t="shared" si="363"/>
        <v>8.0824750000000029E-2</v>
      </c>
      <c r="AF291" s="101">
        <f t="shared" si="364"/>
        <v>2.1300000000000003</v>
      </c>
      <c r="AG291" s="97">
        <f t="shared" si="365"/>
        <v>2.4620837211597824</v>
      </c>
      <c r="AH291" s="102">
        <f t="shared" si="366"/>
        <v>0.31414371115166678</v>
      </c>
      <c r="AI291" s="97">
        <f t="shared" si="367"/>
        <v>2.9819999999999998</v>
      </c>
      <c r="AJ291" s="103">
        <f t="shared" si="368"/>
        <v>3.2961437111516667</v>
      </c>
      <c r="AK291" s="101">
        <f t="shared" si="369"/>
        <v>0.71000000000000008</v>
      </c>
      <c r="AL291" s="102">
        <f t="shared" si="370"/>
        <v>1.421484699178996</v>
      </c>
      <c r="AM291" s="102">
        <f t="shared" si="371"/>
        <v>0.23856000000000002</v>
      </c>
      <c r="AN291" s="102">
        <f t="shared" si="372"/>
        <v>0.75525000000000009</v>
      </c>
      <c r="AO291" s="103">
        <f t="shared" si="373"/>
        <v>0.99381000000000008</v>
      </c>
      <c r="AP291" s="99">
        <f t="shared" si="374"/>
        <v>0</v>
      </c>
      <c r="AQ291" s="102">
        <f t="shared" si="350"/>
        <v>8.7499999999999994E-2</v>
      </c>
      <c r="AR291" s="103">
        <f t="shared" si="375"/>
        <v>1.155E-2</v>
      </c>
      <c r="AS291" s="99">
        <f t="shared" si="376"/>
        <v>3.3951937111516668</v>
      </c>
      <c r="AT291" s="215">
        <f t="shared" si="377"/>
        <v>228.7116226691</v>
      </c>
      <c r="AU291" s="216">
        <f t="shared" si="378"/>
        <v>0.10297138065834099</v>
      </c>
      <c r="AV291" s="102">
        <f t="shared" si="379"/>
        <v>34.080000000000005</v>
      </c>
      <c r="AW291" s="103">
        <f t="shared" si="380"/>
        <v>90.940157008070784</v>
      </c>
      <c r="AX291" s="32"/>
      <c r="AY291" s="101">
        <f t="shared" si="351"/>
        <v>60</v>
      </c>
      <c r="AZ291" s="102">
        <f t="shared" si="381"/>
        <v>0.56800000000000006</v>
      </c>
      <c r="BA291" s="102">
        <f t="shared" si="352"/>
        <v>15</v>
      </c>
      <c r="BB291" s="103">
        <f t="shared" si="382"/>
        <v>2.8400000000000003</v>
      </c>
      <c r="BC291" s="101">
        <f t="shared" si="383"/>
        <v>2</v>
      </c>
      <c r="BD291" s="102">
        <f t="shared" si="384"/>
        <v>0.75</v>
      </c>
      <c r="BE291" s="100">
        <f t="shared" si="385"/>
        <v>0.25</v>
      </c>
      <c r="BF291" s="101">
        <f t="shared" si="386"/>
        <v>0.45000000000000007</v>
      </c>
      <c r="BG291" s="102">
        <f t="shared" si="387"/>
        <v>3.0650000000000004</v>
      </c>
      <c r="BH291" s="102">
        <f t="shared" si="388"/>
        <v>2.842969398357992</v>
      </c>
      <c r="BI291" s="102">
        <v>0</v>
      </c>
      <c r="BJ291" s="102">
        <f t="shared" si="389"/>
        <v>8.0824750000000029E-2</v>
      </c>
      <c r="BK291" s="103">
        <f t="shared" si="390"/>
        <v>8.0824750000000029E-2</v>
      </c>
      <c r="BL291" s="101">
        <f t="shared" si="391"/>
        <v>2.1300000000000003</v>
      </c>
      <c r="BM291" s="97">
        <f t="shared" si="392"/>
        <v>2.4620837211597824</v>
      </c>
      <c r="BN291" s="97">
        <f t="shared" si="393"/>
        <v>0.62419770741489355</v>
      </c>
      <c r="BO291" s="97">
        <f t="shared" si="394"/>
        <v>2.9819999999999998</v>
      </c>
      <c r="BP291" s="103">
        <f t="shared" si="395"/>
        <v>3.6061977074148932</v>
      </c>
      <c r="BQ291" s="101">
        <f t="shared" si="396"/>
        <v>0.71000000000000008</v>
      </c>
      <c r="BR291" s="102">
        <f t="shared" si="397"/>
        <v>1.421484699178996</v>
      </c>
      <c r="BS291" s="102">
        <f t="shared" si="398"/>
        <v>0.23856000000000002</v>
      </c>
      <c r="BT291" s="102">
        <f t="shared" si="399"/>
        <v>0.75525000000000009</v>
      </c>
      <c r="BU291" s="103">
        <f t="shared" si="400"/>
        <v>0.99381000000000008</v>
      </c>
      <c r="BV291" s="99">
        <f t="shared" si="401"/>
        <v>0</v>
      </c>
      <c r="BW291" s="102">
        <f t="shared" si="353"/>
        <v>8.7499999999999994E-2</v>
      </c>
      <c r="BX291" s="103">
        <f t="shared" si="402"/>
        <v>1.155E-2</v>
      </c>
      <c r="BY291" s="101">
        <f t="shared" si="403"/>
        <v>4.7798824574148933</v>
      </c>
      <c r="BZ291" s="102">
        <f t="shared" si="404"/>
        <v>34.080000000000005</v>
      </c>
      <c r="CA291" s="103">
        <f t="shared" si="405"/>
        <v>87.699699136627629</v>
      </c>
      <c r="CB291" s="51">
        <f t="shared" si="406"/>
        <v>3.7052477074148933</v>
      </c>
      <c r="CC291" s="32">
        <f t="shared" si="407"/>
        <v>154.68366975952125</v>
      </c>
    </row>
    <row r="292" spans="17:81" ht="15" thickBot="1" x14ac:dyDescent="0.35">
      <c r="Q292" s="32">
        <v>285</v>
      </c>
      <c r="S292" s="101">
        <f t="shared" si="348"/>
        <v>60</v>
      </c>
      <c r="T292" s="97">
        <f t="shared" si="354"/>
        <v>0.57000000000000006</v>
      </c>
      <c r="U292" s="102">
        <f t="shared" si="349"/>
        <v>15</v>
      </c>
      <c r="V292" s="103">
        <f t="shared" si="355"/>
        <v>2.85</v>
      </c>
      <c r="W292" s="101">
        <f t="shared" si="356"/>
        <v>2</v>
      </c>
      <c r="X292" s="102">
        <f t="shared" si="357"/>
        <v>0.75</v>
      </c>
      <c r="Y292" s="100">
        <f t="shared" si="358"/>
        <v>0.25</v>
      </c>
      <c r="Z292" s="101">
        <f t="shared" si="359"/>
        <v>0.45000000000000007</v>
      </c>
      <c r="AA292" s="102">
        <f t="shared" si="360"/>
        <v>3.0750000000000002</v>
      </c>
      <c r="AB292" s="102">
        <f t="shared" si="361"/>
        <v>2.8529589902415355</v>
      </c>
      <c r="AC292" s="102">
        <v>0</v>
      </c>
      <c r="AD292" s="102">
        <f t="shared" si="362"/>
        <v>8.1393750000000029E-2</v>
      </c>
      <c r="AE292" s="103">
        <f t="shared" si="363"/>
        <v>8.1393750000000029E-2</v>
      </c>
      <c r="AF292" s="101">
        <f t="shared" si="364"/>
        <v>2.1375000000000002</v>
      </c>
      <c r="AG292" s="97">
        <f t="shared" si="365"/>
        <v>2.4707349615043701</v>
      </c>
      <c r="AH292" s="102">
        <f t="shared" si="366"/>
        <v>0.31635525862500014</v>
      </c>
      <c r="AI292" s="97">
        <f t="shared" si="367"/>
        <v>2.9924999999999997</v>
      </c>
      <c r="AJ292" s="103">
        <f t="shared" si="368"/>
        <v>3.308855258625</v>
      </c>
      <c r="AK292" s="101">
        <f t="shared" si="369"/>
        <v>0.71250000000000002</v>
      </c>
      <c r="AL292" s="102">
        <f t="shared" si="370"/>
        <v>1.4264794951207678</v>
      </c>
      <c r="AM292" s="102">
        <f t="shared" si="371"/>
        <v>0.23940000000000003</v>
      </c>
      <c r="AN292" s="102">
        <f t="shared" si="372"/>
        <v>0.75525000000000009</v>
      </c>
      <c r="AO292" s="103">
        <f t="shared" si="373"/>
        <v>0.99465000000000015</v>
      </c>
      <c r="AP292" s="99">
        <f t="shared" si="374"/>
        <v>0</v>
      </c>
      <c r="AQ292" s="102">
        <f t="shared" si="350"/>
        <v>8.7499999999999994E-2</v>
      </c>
      <c r="AR292" s="103">
        <f t="shared" si="375"/>
        <v>1.155E-2</v>
      </c>
      <c r="AS292" s="99">
        <f t="shared" si="376"/>
        <v>3.407905258625</v>
      </c>
      <c r="AT292" s="215">
        <f t="shared" si="377"/>
        <v>229.4743155175</v>
      </c>
      <c r="AU292" s="216">
        <f t="shared" si="378"/>
        <v>0.10315756042315283</v>
      </c>
      <c r="AV292" s="102">
        <f t="shared" si="379"/>
        <v>34.200000000000003</v>
      </c>
      <c r="AW292" s="103">
        <f t="shared" si="380"/>
        <v>90.938327367107391</v>
      </c>
      <c r="AX292" s="32"/>
      <c r="AY292" s="101">
        <f t="shared" si="351"/>
        <v>60</v>
      </c>
      <c r="AZ292" s="102">
        <f t="shared" si="381"/>
        <v>0.57000000000000006</v>
      </c>
      <c r="BA292" s="102">
        <f t="shared" si="352"/>
        <v>15</v>
      </c>
      <c r="BB292" s="103">
        <f t="shared" si="382"/>
        <v>2.85</v>
      </c>
      <c r="BC292" s="101">
        <f t="shared" si="383"/>
        <v>2</v>
      </c>
      <c r="BD292" s="102">
        <f t="shared" si="384"/>
        <v>0.75</v>
      </c>
      <c r="BE292" s="100">
        <f t="shared" si="385"/>
        <v>0.25</v>
      </c>
      <c r="BF292" s="101">
        <f t="shared" si="386"/>
        <v>0.45000000000000007</v>
      </c>
      <c r="BG292" s="102">
        <f t="shared" si="387"/>
        <v>3.0750000000000002</v>
      </c>
      <c r="BH292" s="102">
        <f t="shared" si="388"/>
        <v>2.8529589902415355</v>
      </c>
      <c r="BI292" s="102">
        <v>0</v>
      </c>
      <c r="BJ292" s="102">
        <f t="shared" si="389"/>
        <v>8.1393750000000029E-2</v>
      </c>
      <c r="BK292" s="103">
        <f t="shared" si="390"/>
        <v>8.1393750000000029E-2</v>
      </c>
      <c r="BL292" s="101">
        <f t="shared" si="391"/>
        <v>2.1375000000000002</v>
      </c>
      <c r="BM292" s="97">
        <f t="shared" si="392"/>
        <v>2.4707349615043701</v>
      </c>
      <c r="BN292" s="97">
        <f t="shared" si="393"/>
        <v>0.62972855127689975</v>
      </c>
      <c r="BO292" s="97">
        <f t="shared" si="394"/>
        <v>2.9924999999999997</v>
      </c>
      <c r="BP292" s="103">
        <f t="shared" si="395"/>
        <v>3.6222285512768995</v>
      </c>
      <c r="BQ292" s="101">
        <f t="shared" si="396"/>
        <v>0.71250000000000002</v>
      </c>
      <c r="BR292" s="102">
        <f t="shared" si="397"/>
        <v>1.4264794951207678</v>
      </c>
      <c r="BS292" s="102">
        <f t="shared" si="398"/>
        <v>0.23940000000000003</v>
      </c>
      <c r="BT292" s="102">
        <f t="shared" si="399"/>
        <v>0.75525000000000009</v>
      </c>
      <c r="BU292" s="103">
        <f t="shared" si="400"/>
        <v>0.99465000000000015</v>
      </c>
      <c r="BV292" s="99">
        <f t="shared" si="401"/>
        <v>0</v>
      </c>
      <c r="BW292" s="102">
        <f t="shared" si="353"/>
        <v>8.7499999999999994E-2</v>
      </c>
      <c r="BX292" s="103">
        <f t="shared" si="402"/>
        <v>1.155E-2</v>
      </c>
      <c r="BY292" s="101">
        <f t="shared" si="403"/>
        <v>4.7973223012768997</v>
      </c>
      <c r="BZ292" s="102">
        <f t="shared" si="404"/>
        <v>34.200000000000003</v>
      </c>
      <c r="CA292" s="103">
        <f t="shared" si="405"/>
        <v>87.698328966756208</v>
      </c>
      <c r="CB292" s="51">
        <f t="shared" si="406"/>
        <v>3.7212785512768995</v>
      </c>
      <c r="CC292" s="32">
        <f t="shared" si="407"/>
        <v>155.24474929469147</v>
      </c>
    </row>
    <row r="293" spans="17:81" ht="15" thickBot="1" x14ac:dyDescent="0.35">
      <c r="Q293" s="32">
        <v>286</v>
      </c>
      <c r="S293" s="101">
        <f t="shared" si="348"/>
        <v>60</v>
      </c>
      <c r="T293" s="97">
        <f t="shared" si="354"/>
        <v>0.57200000000000006</v>
      </c>
      <c r="U293" s="102">
        <f t="shared" si="349"/>
        <v>15</v>
      </c>
      <c r="V293" s="103">
        <f t="shared" si="355"/>
        <v>2.8600000000000008</v>
      </c>
      <c r="W293" s="101">
        <f t="shared" si="356"/>
        <v>2</v>
      </c>
      <c r="X293" s="102">
        <f t="shared" si="357"/>
        <v>0.75</v>
      </c>
      <c r="Y293" s="100">
        <f t="shared" si="358"/>
        <v>0.25</v>
      </c>
      <c r="Z293" s="101">
        <f t="shared" si="359"/>
        <v>0.45000000000000007</v>
      </c>
      <c r="AA293" s="102">
        <f t="shared" si="360"/>
        <v>3.0850000000000009</v>
      </c>
      <c r="AB293" s="102">
        <f t="shared" si="361"/>
        <v>2.8629486547963108</v>
      </c>
      <c r="AC293" s="102">
        <v>0</v>
      </c>
      <c r="AD293" s="102">
        <f t="shared" si="362"/>
        <v>8.1964750000000045E-2</v>
      </c>
      <c r="AE293" s="103">
        <f t="shared" si="363"/>
        <v>8.1964750000000045E-2</v>
      </c>
      <c r="AF293" s="101">
        <f t="shared" si="364"/>
        <v>2.1450000000000005</v>
      </c>
      <c r="AG293" s="97">
        <f t="shared" si="365"/>
        <v>2.4793862647840905</v>
      </c>
      <c r="AH293" s="102">
        <f t="shared" si="366"/>
        <v>0.31857457955166696</v>
      </c>
      <c r="AI293" s="97">
        <f t="shared" si="367"/>
        <v>3.0030000000000006</v>
      </c>
      <c r="AJ293" s="103">
        <f t="shared" si="368"/>
        <v>3.3215745795516676</v>
      </c>
      <c r="AK293" s="101">
        <f t="shared" si="369"/>
        <v>0.71500000000000019</v>
      </c>
      <c r="AL293" s="102">
        <f t="shared" si="370"/>
        <v>1.4314743273981554</v>
      </c>
      <c r="AM293" s="102">
        <f t="shared" si="371"/>
        <v>0.24024000000000001</v>
      </c>
      <c r="AN293" s="102">
        <f t="shared" si="372"/>
        <v>0.75525000000000009</v>
      </c>
      <c r="AO293" s="103">
        <f t="shared" si="373"/>
        <v>0.9954900000000001</v>
      </c>
      <c r="AP293" s="99">
        <f t="shared" si="374"/>
        <v>0</v>
      </c>
      <c r="AQ293" s="102">
        <f t="shared" si="350"/>
        <v>8.7499999999999994E-2</v>
      </c>
      <c r="AR293" s="103">
        <f t="shared" si="375"/>
        <v>1.155E-2</v>
      </c>
      <c r="AS293" s="99">
        <f t="shared" si="376"/>
        <v>3.4206245795516677</v>
      </c>
      <c r="AT293" s="215">
        <f t="shared" si="377"/>
        <v>230.23747477310005</v>
      </c>
      <c r="AU293" s="216">
        <f t="shared" si="378"/>
        <v>0.10334385404190073</v>
      </c>
      <c r="AV293" s="102">
        <f t="shared" si="379"/>
        <v>34.320000000000007</v>
      </c>
      <c r="AW293" s="103">
        <f t="shared" si="380"/>
        <v>90.93649186345209</v>
      </c>
      <c r="AX293" s="32"/>
      <c r="AY293" s="101">
        <f t="shared" si="351"/>
        <v>60</v>
      </c>
      <c r="AZ293" s="102">
        <f t="shared" si="381"/>
        <v>0.57200000000000006</v>
      </c>
      <c r="BA293" s="102">
        <f t="shared" si="352"/>
        <v>15</v>
      </c>
      <c r="BB293" s="103">
        <f t="shared" si="382"/>
        <v>2.8600000000000008</v>
      </c>
      <c r="BC293" s="101">
        <f t="shared" si="383"/>
        <v>2</v>
      </c>
      <c r="BD293" s="102">
        <f t="shared" si="384"/>
        <v>0.75</v>
      </c>
      <c r="BE293" s="100">
        <f t="shared" si="385"/>
        <v>0.25</v>
      </c>
      <c r="BF293" s="101">
        <f t="shared" si="386"/>
        <v>0.45000000000000007</v>
      </c>
      <c r="BG293" s="102">
        <f t="shared" si="387"/>
        <v>3.0850000000000009</v>
      </c>
      <c r="BH293" s="102">
        <f t="shared" si="388"/>
        <v>2.8629486547963108</v>
      </c>
      <c r="BI293" s="102">
        <v>0</v>
      </c>
      <c r="BJ293" s="102">
        <f t="shared" si="389"/>
        <v>8.1964750000000045E-2</v>
      </c>
      <c r="BK293" s="103">
        <f t="shared" si="390"/>
        <v>8.1964750000000045E-2</v>
      </c>
      <c r="BL293" s="101">
        <f t="shared" si="391"/>
        <v>2.1450000000000005</v>
      </c>
      <c r="BM293" s="97">
        <f t="shared" si="392"/>
        <v>2.4793862647840905</v>
      </c>
      <c r="BN293" s="97">
        <f t="shared" si="393"/>
        <v>0.63529148704356664</v>
      </c>
      <c r="BO293" s="97">
        <f t="shared" si="394"/>
        <v>3.0030000000000006</v>
      </c>
      <c r="BP293" s="103">
        <f t="shared" si="395"/>
        <v>3.638291487043567</v>
      </c>
      <c r="BQ293" s="101">
        <f t="shared" si="396"/>
        <v>0.71500000000000019</v>
      </c>
      <c r="BR293" s="102">
        <f t="shared" si="397"/>
        <v>1.4314743273981554</v>
      </c>
      <c r="BS293" s="102">
        <f t="shared" si="398"/>
        <v>0.24024000000000001</v>
      </c>
      <c r="BT293" s="102">
        <f t="shared" si="399"/>
        <v>0.75525000000000009</v>
      </c>
      <c r="BU293" s="103">
        <f t="shared" si="400"/>
        <v>0.9954900000000001</v>
      </c>
      <c r="BV293" s="99">
        <f t="shared" si="401"/>
        <v>0</v>
      </c>
      <c r="BW293" s="102">
        <f t="shared" si="353"/>
        <v>8.7499999999999994E-2</v>
      </c>
      <c r="BX293" s="103">
        <f t="shared" si="402"/>
        <v>1.155E-2</v>
      </c>
      <c r="BY293" s="101">
        <f t="shared" si="403"/>
        <v>4.8147962370435673</v>
      </c>
      <c r="BZ293" s="102">
        <f t="shared" si="404"/>
        <v>34.320000000000007</v>
      </c>
      <c r="CA293" s="103">
        <f t="shared" si="405"/>
        <v>87.696892024479084</v>
      </c>
      <c r="CB293" s="51">
        <f t="shared" si="406"/>
        <v>3.7373414870435671</v>
      </c>
      <c r="CC293" s="32">
        <f t="shared" si="407"/>
        <v>155.80695204652486</v>
      </c>
    </row>
    <row r="294" spans="17:81" ht="15" thickBot="1" x14ac:dyDescent="0.35">
      <c r="Q294" s="32">
        <v>287</v>
      </c>
      <c r="S294" s="101">
        <f t="shared" si="348"/>
        <v>60</v>
      </c>
      <c r="T294" s="97">
        <f t="shared" si="354"/>
        <v>0.57400000000000007</v>
      </c>
      <c r="U294" s="102">
        <f t="shared" si="349"/>
        <v>15</v>
      </c>
      <c r="V294" s="103">
        <f t="shared" si="355"/>
        <v>2.8700000000000006</v>
      </c>
      <c r="W294" s="101">
        <f t="shared" si="356"/>
        <v>2</v>
      </c>
      <c r="X294" s="102">
        <f t="shared" si="357"/>
        <v>0.75</v>
      </c>
      <c r="Y294" s="100">
        <f t="shared" si="358"/>
        <v>0.25</v>
      </c>
      <c r="Z294" s="101">
        <f t="shared" si="359"/>
        <v>0.45000000000000007</v>
      </c>
      <c r="AA294" s="102">
        <f t="shared" si="360"/>
        <v>3.0950000000000006</v>
      </c>
      <c r="AB294" s="102">
        <f t="shared" si="361"/>
        <v>2.8729383912642477</v>
      </c>
      <c r="AC294" s="102">
        <v>0</v>
      </c>
      <c r="AD294" s="102">
        <f t="shared" si="362"/>
        <v>8.2537750000000035E-2</v>
      </c>
      <c r="AE294" s="103">
        <f t="shared" si="363"/>
        <v>8.2537750000000035E-2</v>
      </c>
      <c r="AF294" s="101">
        <f t="shared" si="364"/>
        <v>2.1525000000000003</v>
      </c>
      <c r="AG294" s="97">
        <f t="shared" si="365"/>
        <v>2.4880376303424354</v>
      </c>
      <c r="AH294" s="102">
        <f t="shared" si="366"/>
        <v>0.32080167393166686</v>
      </c>
      <c r="AI294" s="97">
        <f t="shared" si="367"/>
        <v>3.013500000000001</v>
      </c>
      <c r="AJ294" s="103">
        <f t="shared" si="368"/>
        <v>3.3343016739316678</v>
      </c>
      <c r="AK294" s="101">
        <f t="shared" si="369"/>
        <v>0.71750000000000014</v>
      </c>
      <c r="AL294" s="102">
        <f t="shared" si="370"/>
        <v>1.4364691956321238</v>
      </c>
      <c r="AM294" s="102">
        <f t="shared" si="371"/>
        <v>0.24108000000000002</v>
      </c>
      <c r="AN294" s="102">
        <f t="shared" si="372"/>
        <v>0.75525000000000009</v>
      </c>
      <c r="AO294" s="103">
        <f t="shared" si="373"/>
        <v>0.99633000000000016</v>
      </c>
      <c r="AP294" s="99">
        <f t="shared" si="374"/>
        <v>0</v>
      </c>
      <c r="AQ294" s="102">
        <f t="shared" si="350"/>
        <v>8.7499999999999994E-2</v>
      </c>
      <c r="AR294" s="103">
        <f t="shared" si="375"/>
        <v>1.155E-2</v>
      </c>
      <c r="AS294" s="99">
        <f t="shared" si="376"/>
        <v>3.4333516739316678</v>
      </c>
      <c r="AT294" s="215">
        <f t="shared" si="377"/>
        <v>231.00110043590007</v>
      </c>
      <c r="AU294" s="216">
        <f t="shared" si="378"/>
        <v>0.10353026151458471</v>
      </c>
      <c r="AV294" s="102">
        <f t="shared" si="379"/>
        <v>34.440000000000005</v>
      </c>
      <c r="AW294" s="103">
        <f t="shared" si="380"/>
        <v>90.934650559868842</v>
      </c>
      <c r="AX294" s="32"/>
      <c r="AY294" s="101">
        <f t="shared" si="351"/>
        <v>60</v>
      </c>
      <c r="AZ294" s="102">
        <f t="shared" si="381"/>
        <v>0.57400000000000007</v>
      </c>
      <c r="BA294" s="102">
        <f t="shared" si="352"/>
        <v>15</v>
      </c>
      <c r="BB294" s="103">
        <f t="shared" si="382"/>
        <v>2.8700000000000006</v>
      </c>
      <c r="BC294" s="101">
        <f t="shared" si="383"/>
        <v>2</v>
      </c>
      <c r="BD294" s="102">
        <f t="shared" si="384"/>
        <v>0.75</v>
      </c>
      <c r="BE294" s="100">
        <f t="shared" si="385"/>
        <v>0.25</v>
      </c>
      <c r="BF294" s="101">
        <f t="shared" si="386"/>
        <v>0.45000000000000007</v>
      </c>
      <c r="BG294" s="102">
        <f t="shared" si="387"/>
        <v>3.0950000000000006</v>
      </c>
      <c r="BH294" s="102">
        <f t="shared" si="388"/>
        <v>2.8729383912642477</v>
      </c>
      <c r="BI294" s="102">
        <v>0</v>
      </c>
      <c r="BJ294" s="102">
        <f t="shared" si="389"/>
        <v>8.2537750000000035E-2</v>
      </c>
      <c r="BK294" s="103">
        <f t="shared" si="390"/>
        <v>8.2537750000000035E-2</v>
      </c>
      <c r="BL294" s="101">
        <f t="shared" si="391"/>
        <v>2.1525000000000003</v>
      </c>
      <c r="BM294" s="97">
        <f t="shared" si="392"/>
        <v>2.4880376303424354</v>
      </c>
      <c r="BN294" s="97">
        <f t="shared" si="393"/>
        <v>0.64088661317440621</v>
      </c>
      <c r="BO294" s="97">
        <f t="shared" si="394"/>
        <v>3.013500000000001</v>
      </c>
      <c r="BP294" s="103">
        <f t="shared" si="395"/>
        <v>3.6543866131744069</v>
      </c>
      <c r="BQ294" s="101">
        <f t="shared" si="396"/>
        <v>0.71750000000000014</v>
      </c>
      <c r="BR294" s="102">
        <f t="shared" si="397"/>
        <v>1.4364691956321238</v>
      </c>
      <c r="BS294" s="102">
        <f t="shared" si="398"/>
        <v>0.24108000000000002</v>
      </c>
      <c r="BT294" s="102">
        <f t="shared" si="399"/>
        <v>0.75525000000000009</v>
      </c>
      <c r="BU294" s="103">
        <f t="shared" si="400"/>
        <v>0.99633000000000016</v>
      </c>
      <c r="BV294" s="99">
        <f t="shared" si="401"/>
        <v>0</v>
      </c>
      <c r="BW294" s="102">
        <f t="shared" si="353"/>
        <v>8.7499999999999994E-2</v>
      </c>
      <c r="BX294" s="103">
        <f t="shared" si="402"/>
        <v>1.155E-2</v>
      </c>
      <c r="BY294" s="101">
        <f t="shared" si="403"/>
        <v>4.8323043631744076</v>
      </c>
      <c r="BZ294" s="102">
        <f t="shared" si="404"/>
        <v>34.440000000000005</v>
      </c>
      <c r="CA294" s="103">
        <f t="shared" si="405"/>
        <v>87.695388794894214</v>
      </c>
      <c r="CB294" s="51">
        <f t="shared" si="406"/>
        <v>3.753436613174407</v>
      </c>
      <c r="CC294" s="32">
        <f t="shared" si="407"/>
        <v>156.37028146110424</v>
      </c>
    </row>
    <row r="295" spans="17:81" ht="15" thickBot="1" x14ac:dyDescent="0.35">
      <c r="Q295" s="32">
        <v>288</v>
      </c>
      <c r="S295" s="101">
        <f t="shared" si="348"/>
        <v>60</v>
      </c>
      <c r="T295" s="97">
        <f t="shared" si="354"/>
        <v>0.57600000000000007</v>
      </c>
      <c r="U295" s="102">
        <f t="shared" si="349"/>
        <v>15</v>
      </c>
      <c r="V295" s="103">
        <f t="shared" si="355"/>
        <v>2.8800000000000003</v>
      </c>
      <c r="W295" s="101">
        <f t="shared" si="356"/>
        <v>2</v>
      </c>
      <c r="X295" s="102">
        <f t="shared" si="357"/>
        <v>0.75</v>
      </c>
      <c r="Y295" s="100">
        <f t="shared" si="358"/>
        <v>0.25</v>
      </c>
      <c r="Z295" s="101">
        <f t="shared" si="359"/>
        <v>0.45000000000000007</v>
      </c>
      <c r="AA295" s="102">
        <f t="shared" si="360"/>
        <v>3.1050000000000004</v>
      </c>
      <c r="AB295" s="102">
        <f t="shared" si="361"/>
        <v>2.8829281988977806</v>
      </c>
      <c r="AC295" s="102">
        <v>0</v>
      </c>
      <c r="AD295" s="102">
        <f t="shared" si="362"/>
        <v>8.3112750000000027E-2</v>
      </c>
      <c r="AE295" s="103">
        <f t="shared" si="363"/>
        <v>8.3112750000000027E-2</v>
      </c>
      <c r="AF295" s="101">
        <f t="shared" si="364"/>
        <v>2.16</v>
      </c>
      <c r="AG295" s="97">
        <f t="shared" si="365"/>
        <v>2.4966890575319955</v>
      </c>
      <c r="AH295" s="102">
        <f t="shared" si="366"/>
        <v>0.3230365417650003</v>
      </c>
      <c r="AI295" s="97">
        <f t="shared" si="367"/>
        <v>3.024</v>
      </c>
      <c r="AJ295" s="103">
        <f t="shared" si="368"/>
        <v>3.3470365417650001</v>
      </c>
      <c r="AK295" s="101">
        <f t="shared" si="369"/>
        <v>0.72000000000000008</v>
      </c>
      <c r="AL295" s="102">
        <f t="shared" si="370"/>
        <v>1.4414640994488905</v>
      </c>
      <c r="AM295" s="102">
        <f t="shared" si="371"/>
        <v>0.24192000000000002</v>
      </c>
      <c r="AN295" s="102">
        <f t="shared" si="372"/>
        <v>0.75525000000000009</v>
      </c>
      <c r="AO295" s="103">
        <f t="shared" si="373"/>
        <v>0.99717000000000011</v>
      </c>
      <c r="AP295" s="99">
        <f t="shared" si="374"/>
        <v>0</v>
      </c>
      <c r="AQ295" s="102">
        <f t="shared" si="350"/>
        <v>8.7499999999999994E-2</v>
      </c>
      <c r="AR295" s="103">
        <f t="shared" si="375"/>
        <v>1.155E-2</v>
      </c>
      <c r="AS295" s="99">
        <f t="shared" si="376"/>
        <v>3.4460865417650002</v>
      </c>
      <c r="AT295" s="215">
        <f t="shared" si="377"/>
        <v>231.76519250590002</v>
      </c>
      <c r="AU295" s="216">
        <f t="shared" si="378"/>
        <v>0.10371678284120472</v>
      </c>
      <c r="AV295" s="102">
        <f t="shared" si="379"/>
        <v>34.56</v>
      </c>
      <c r="AW295" s="103">
        <f t="shared" si="380"/>
        <v>90.932803518252044</v>
      </c>
      <c r="AX295" s="32"/>
      <c r="AY295" s="101">
        <f t="shared" si="351"/>
        <v>60</v>
      </c>
      <c r="AZ295" s="102">
        <f t="shared" si="381"/>
        <v>0.57600000000000007</v>
      </c>
      <c r="BA295" s="102">
        <f t="shared" si="352"/>
        <v>15</v>
      </c>
      <c r="BB295" s="103">
        <f t="shared" si="382"/>
        <v>2.8800000000000003</v>
      </c>
      <c r="BC295" s="101">
        <f t="shared" si="383"/>
        <v>2</v>
      </c>
      <c r="BD295" s="102">
        <f t="shared" si="384"/>
        <v>0.75</v>
      </c>
      <c r="BE295" s="100">
        <f t="shared" si="385"/>
        <v>0.25</v>
      </c>
      <c r="BF295" s="101">
        <f t="shared" si="386"/>
        <v>0.45000000000000007</v>
      </c>
      <c r="BG295" s="102">
        <f t="shared" si="387"/>
        <v>3.1050000000000004</v>
      </c>
      <c r="BH295" s="102">
        <f t="shared" si="388"/>
        <v>2.8829281988977806</v>
      </c>
      <c r="BI295" s="102">
        <v>0</v>
      </c>
      <c r="BJ295" s="102">
        <f t="shared" si="389"/>
        <v>8.3112750000000027E-2</v>
      </c>
      <c r="BK295" s="103">
        <f t="shared" si="390"/>
        <v>8.3112750000000027E-2</v>
      </c>
      <c r="BL295" s="101">
        <f t="shared" si="391"/>
        <v>2.16</v>
      </c>
      <c r="BM295" s="97">
        <f t="shared" si="392"/>
        <v>2.4966890575319955</v>
      </c>
      <c r="BN295" s="97">
        <f t="shared" si="393"/>
        <v>0.64651402823140081</v>
      </c>
      <c r="BO295" s="97">
        <f t="shared" si="394"/>
        <v>3.024</v>
      </c>
      <c r="BP295" s="103">
        <f t="shared" si="395"/>
        <v>3.670514028231401</v>
      </c>
      <c r="BQ295" s="101">
        <f t="shared" si="396"/>
        <v>0.72000000000000008</v>
      </c>
      <c r="BR295" s="102">
        <f t="shared" si="397"/>
        <v>1.4414640994488905</v>
      </c>
      <c r="BS295" s="102">
        <f t="shared" si="398"/>
        <v>0.24192000000000002</v>
      </c>
      <c r="BT295" s="102">
        <f t="shared" si="399"/>
        <v>0.75525000000000009</v>
      </c>
      <c r="BU295" s="103">
        <f t="shared" si="400"/>
        <v>0.99717000000000011</v>
      </c>
      <c r="BV295" s="99">
        <f t="shared" si="401"/>
        <v>0</v>
      </c>
      <c r="BW295" s="102">
        <f t="shared" si="353"/>
        <v>8.7499999999999994E-2</v>
      </c>
      <c r="BX295" s="103">
        <f t="shared" si="402"/>
        <v>1.155E-2</v>
      </c>
      <c r="BY295" s="101">
        <f t="shared" si="403"/>
        <v>4.8498467782314005</v>
      </c>
      <c r="BZ295" s="102">
        <f t="shared" si="404"/>
        <v>34.56</v>
      </c>
      <c r="CA295" s="103">
        <f t="shared" si="405"/>
        <v>87.693819756461764</v>
      </c>
      <c r="CB295" s="51">
        <f t="shared" si="406"/>
        <v>3.7695640282314011</v>
      </c>
      <c r="CC295" s="32">
        <f t="shared" si="407"/>
        <v>156.93474098809904</v>
      </c>
    </row>
    <row r="296" spans="17:81" ht="15" thickBot="1" x14ac:dyDescent="0.35">
      <c r="Q296" s="32">
        <v>289</v>
      </c>
      <c r="S296" s="101">
        <f t="shared" si="348"/>
        <v>60</v>
      </c>
      <c r="T296" s="97">
        <f t="shared" si="354"/>
        <v>0.57799999999999996</v>
      </c>
      <c r="U296" s="102">
        <f t="shared" si="349"/>
        <v>15</v>
      </c>
      <c r="V296" s="103">
        <f t="shared" si="355"/>
        <v>2.89</v>
      </c>
      <c r="W296" s="101">
        <f t="shared" si="356"/>
        <v>2</v>
      </c>
      <c r="X296" s="102">
        <f t="shared" si="357"/>
        <v>0.75</v>
      </c>
      <c r="Y296" s="100">
        <f t="shared" si="358"/>
        <v>0.25</v>
      </c>
      <c r="Z296" s="101">
        <f t="shared" si="359"/>
        <v>0.45000000000000007</v>
      </c>
      <c r="AA296" s="102">
        <f t="shared" si="360"/>
        <v>3.1150000000000002</v>
      </c>
      <c r="AB296" s="102">
        <f t="shared" si="361"/>
        <v>2.8929180769596639</v>
      </c>
      <c r="AC296" s="102">
        <v>0</v>
      </c>
      <c r="AD296" s="102">
        <f t="shared" si="362"/>
        <v>8.3689749999999993E-2</v>
      </c>
      <c r="AE296" s="103">
        <f t="shared" si="363"/>
        <v>8.3689749999999993E-2</v>
      </c>
      <c r="AF296" s="101">
        <f t="shared" si="364"/>
        <v>2.1675</v>
      </c>
      <c r="AG296" s="97">
        <f t="shared" si="365"/>
        <v>2.505340545714295</v>
      </c>
      <c r="AH296" s="102">
        <f t="shared" si="366"/>
        <v>0.32527918305166681</v>
      </c>
      <c r="AI296" s="97">
        <f t="shared" si="367"/>
        <v>3.0345</v>
      </c>
      <c r="AJ296" s="103">
        <f t="shared" si="368"/>
        <v>3.3597791830516668</v>
      </c>
      <c r="AK296" s="101">
        <f t="shared" si="369"/>
        <v>0.72250000000000003</v>
      </c>
      <c r="AL296" s="102">
        <f t="shared" si="370"/>
        <v>1.4464590384798321</v>
      </c>
      <c r="AM296" s="102">
        <f t="shared" si="371"/>
        <v>0.24275999999999998</v>
      </c>
      <c r="AN296" s="102">
        <f t="shared" si="372"/>
        <v>0.75525000000000009</v>
      </c>
      <c r="AO296" s="103">
        <f t="shared" si="373"/>
        <v>0.99801000000000006</v>
      </c>
      <c r="AP296" s="99">
        <f t="shared" si="374"/>
        <v>0</v>
      </c>
      <c r="AQ296" s="102">
        <f t="shared" si="350"/>
        <v>8.7499999999999994E-2</v>
      </c>
      <c r="AR296" s="103">
        <f t="shared" si="375"/>
        <v>1.155E-2</v>
      </c>
      <c r="AS296" s="99">
        <f t="shared" si="376"/>
        <v>3.4588291830516669</v>
      </c>
      <c r="AT296" s="215">
        <f t="shared" si="377"/>
        <v>232.5297509831</v>
      </c>
      <c r="AU296" s="216">
        <f t="shared" si="378"/>
        <v>0.10390341802176083</v>
      </c>
      <c r="AV296" s="102">
        <f t="shared" si="379"/>
        <v>34.68</v>
      </c>
      <c r="AW296" s="103">
        <f t="shared" si="380"/>
        <v>90.930950799641437</v>
      </c>
      <c r="AX296" s="32"/>
      <c r="AY296" s="101">
        <f t="shared" si="351"/>
        <v>60</v>
      </c>
      <c r="AZ296" s="102">
        <f t="shared" si="381"/>
        <v>0.57799999999999996</v>
      </c>
      <c r="BA296" s="102">
        <f t="shared" si="352"/>
        <v>15</v>
      </c>
      <c r="BB296" s="103">
        <f t="shared" si="382"/>
        <v>2.89</v>
      </c>
      <c r="BC296" s="101">
        <f t="shared" si="383"/>
        <v>2</v>
      </c>
      <c r="BD296" s="102">
        <f t="shared" si="384"/>
        <v>0.75</v>
      </c>
      <c r="BE296" s="100">
        <f t="shared" si="385"/>
        <v>0.25</v>
      </c>
      <c r="BF296" s="101">
        <f t="shared" si="386"/>
        <v>0.45000000000000007</v>
      </c>
      <c r="BG296" s="102">
        <f t="shared" si="387"/>
        <v>3.1150000000000002</v>
      </c>
      <c r="BH296" s="102">
        <f t="shared" si="388"/>
        <v>2.8929180769596639</v>
      </c>
      <c r="BI296" s="102">
        <v>0</v>
      </c>
      <c r="BJ296" s="102">
        <f t="shared" si="389"/>
        <v>8.3689749999999993E-2</v>
      </c>
      <c r="BK296" s="103">
        <f t="shared" si="390"/>
        <v>8.3689749999999993E-2</v>
      </c>
      <c r="BL296" s="101">
        <f t="shared" si="391"/>
        <v>2.1675</v>
      </c>
      <c r="BM296" s="97">
        <f t="shared" si="392"/>
        <v>2.505340545714295</v>
      </c>
      <c r="BN296" s="97">
        <f t="shared" si="393"/>
        <v>0.65217383087899949</v>
      </c>
      <c r="BO296" s="97">
        <f t="shared" si="394"/>
        <v>3.0345</v>
      </c>
      <c r="BP296" s="103">
        <f t="shared" si="395"/>
        <v>3.6866738308789992</v>
      </c>
      <c r="BQ296" s="101">
        <f t="shared" si="396"/>
        <v>0.72250000000000003</v>
      </c>
      <c r="BR296" s="102">
        <f t="shared" si="397"/>
        <v>1.4464590384798321</v>
      </c>
      <c r="BS296" s="102">
        <f t="shared" si="398"/>
        <v>0.24275999999999998</v>
      </c>
      <c r="BT296" s="102">
        <f t="shared" si="399"/>
        <v>0.75525000000000009</v>
      </c>
      <c r="BU296" s="103">
        <f t="shared" si="400"/>
        <v>0.99801000000000006</v>
      </c>
      <c r="BV296" s="99">
        <f t="shared" si="401"/>
        <v>0</v>
      </c>
      <c r="BW296" s="102">
        <f t="shared" si="353"/>
        <v>8.7499999999999994E-2</v>
      </c>
      <c r="BX296" s="103">
        <f t="shared" si="402"/>
        <v>1.155E-2</v>
      </c>
      <c r="BY296" s="101">
        <f t="shared" si="403"/>
        <v>4.8674235808789987</v>
      </c>
      <c r="BZ296" s="102">
        <f t="shared" si="404"/>
        <v>34.68</v>
      </c>
      <c r="CA296" s="103">
        <f t="shared" si="405"/>
        <v>87.692185381117028</v>
      </c>
      <c r="CB296" s="51">
        <f t="shared" si="406"/>
        <v>3.7857238308789993</v>
      </c>
      <c r="CC296" s="32">
        <f t="shared" si="407"/>
        <v>157.50033408076499</v>
      </c>
    </row>
    <row r="297" spans="17:81" ht="15" thickBot="1" x14ac:dyDescent="0.35">
      <c r="Q297" s="32">
        <v>290</v>
      </c>
      <c r="S297" s="101">
        <f t="shared" si="348"/>
        <v>60</v>
      </c>
      <c r="T297" s="97">
        <f t="shared" si="354"/>
        <v>0.57999999999999996</v>
      </c>
      <c r="U297" s="102">
        <f t="shared" si="349"/>
        <v>15</v>
      </c>
      <c r="V297" s="103">
        <f t="shared" si="355"/>
        <v>2.9</v>
      </c>
      <c r="W297" s="101">
        <f t="shared" si="356"/>
        <v>2</v>
      </c>
      <c r="X297" s="102">
        <f t="shared" si="357"/>
        <v>0.75</v>
      </c>
      <c r="Y297" s="100">
        <f t="shared" si="358"/>
        <v>0.25</v>
      </c>
      <c r="Z297" s="101">
        <f t="shared" si="359"/>
        <v>0.45000000000000007</v>
      </c>
      <c r="AA297" s="102">
        <f t="shared" si="360"/>
        <v>3.125</v>
      </c>
      <c r="AB297" s="102">
        <f t="shared" si="361"/>
        <v>2.9029080247227954</v>
      </c>
      <c r="AC297" s="102">
        <v>0</v>
      </c>
      <c r="AD297" s="102">
        <f t="shared" si="362"/>
        <v>8.4268750000000031E-2</v>
      </c>
      <c r="AE297" s="103">
        <f t="shared" si="363"/>
        <v>8.4268750000000031E-2</v>
      </c>
      <c r="AF297" s="101">
        <f t="shared" si="364"/>
        <v>2.1749999999999998</v>
      </c>
      <c r="AG297" s="97">
        <f t="shared" si="365"/>
        <v>2.5139920942596459</v>
      </c>
      <c r="AH297" s="102">
        <f t="shared" si="366"/>
        <v>0.32752959779166679</v>
      </c>
      <c r="AI297" s="97">
        <f t="shared" si="367"/>
        <v>3.0449999999999999</v>
      </c>
      <c r="AJ297" s="103">
        <f t="shared" si="368"/>
        <v>3.3725295977916669</v>
      </c>
      <c r="AK297" s="101">
        <f t="shared" si="369"/>
        <v>0.72499999999999998</v>
      </c>
      <c r="AL297" s="102">
        <f t="shared" si="370"/>
        <v>1.4514540123613977</v>
      </c>
      <c r="AM297" s="102">
        <f t="shared" si="371"/>
        <v>0.24359999999999998</v>
      </c>
      <c r="AN297" s="102">
        <f t="shared" si="372"/>
        <v>0.75525000000000009</v>
      </c>
      <c r="AO297" s="103">
        <f t="shared" si="373"/>
        <v>0.99885000000000002</v>
      </c>
      <c r="AP297" s="99">
        <f t="shared" si="374"/>
        <v>0</v>
      </c>
      <c r="AQ297" s="102">
        <f t="shared" si="350"/>
        <v>8.7499999999999994E-2</v>
      </c>
      <c r="AR297" s="103">
        <f t="shared" si="375"/>
        <v>1.155E-2</v>
      </c>
      <c r="AS297" s="99">
        <f t="shared" si="376"/>
        <v>3.471579597791667</v>
      </c>
      <c r="AT297" s="215">
        <f t="shared" si="377"/>
        <v>233.29477586750002</v>
      </c>
      <c r="AU297" s="216">
        <f t="shared" si="378"/>
        <v>0.104090167056253</v>
      </c>
      <c r="AV297" s="102">
        <f t="shared" si="379"/>
        <v>34.799999999999997</v>
      </c>
      <c r="AW297" s="103">
        <f t="shared" si="380"/>
        <v>90.929092464236874</v>
      </c>
      <c r="AX297" s="32"/>
      <c r="AY297" s="101">
        <f t="shared" si="351"/>
        <v>60</v>
      </c>
      <c r="AZ297" s="102">
        <f t="shared" si="381"/>
        <v>0.57999999999999996</v>
      </c>
      <c r="BA297" s="102">
        <f t="shared" si="352"/>
        <v>15</v>
      </c>
      <c r="BB297" s="103">
        <f t="shared" si="382"/>
        <v>2.9</v>
      </c>
      <c r="BC297" s="101">
        <f t="shared" si="383"/>
        <v>2</v>
      </c>
      <c r="BD297" s="102">
        <f t="shared" si="384"/>
        <v>0.75</v>
      </c>
      <c r="BE297" s="100">
        <f t="shared" si="385"/>
        <v>0.25</v>
      </c>
      <c r="BF297" s="101">
        <f t="shared" si="386"/>
        <v>0.45000000000000007</v>
      </c>
      <c r="BG297" s="102">
        <f t="shared" si="387"/>
        <v>3.125</v>
      </c>
      <c r="BH297" s="102">
        <f t="shared" si="388"/>
        <v>2.9029080247227954</v>
      </c>
      <c r="BI297" s="102">
        <v>0</v>
      </c>
      <c r="BJ297" s="102">
        <f t="shared" si="389"/>
        <v>8.4268750000000031E-2</v>
      </c>
      <c r="BK297" s="103">
        <f t="shared" si="390"/>
        <v>8.4268750000000031E-2</v>
      </c>
      <c r="BL297" s="101">
        <f t="shared" si="391"/>
        <v>2.1749999999999998</v>
      </c>
      <c r="BM297" s="97">
        <f t="shared" si="392"/>
        <v>2.5139920942596459</v>
      </c>
      <c r="BN297" s="97">
        <f t="shared" si="393"/>
        <v>0.65786611988412147</v>
      </c>
      <c r="BO297" s="97">
        <f t="shared" si="394"/>
        <v>3.0449999999999999</v>
      </c>
      <c r="BP297" s="103">
        <f t="shared" si="395"/>
        <v>3.7028661198841215</v>
      </c>
      <c r="BQ297" s="101">
        <f t="shared" si="396"/>
        <v>0.72499999999999998</v>
      </c>
      <c r="BR297" s="102">
        <f t="shared" si="397"/>
        <v>1.4514540123613977</v>
      </c>
      <c r="BS297" s="102">
        <f t="shared" si="398"/>
        <v>0.24359999999999998</v>
      </c>
      <c r="BT297" s="102">
        <f t="shared" si="399"/>
        <v>0.75525000000000009</v>
      </c>
      <c r="BU297" s="103">
        <f t="shared" si="400"/>
        <v>0.99885000000000002</v>
      </c>
      <c r="BV297" s="99">
        <f t="shared" si="401"/>
        <v>0</v>
      </c>
      <c r="BW297" s="102">
        <f t="shared" si="353"/>
        <v>8.7499999999999994E-2</v>
      </c>
      <c r="BX297" s="103">
        <f t="shared" si="402"/>
        <v>1.155E-2</v>
      </c>
      <c r="BY297" s="101">
        <f t="shared" si="403"/>
        <v>4.8850348698841213</v>
      </c>
      <c r="BZ297" s="102">
        <f t="shared" si="404"/>
        <v>34.799999999999997</v>
      </c>
      <c r="CA297" s="103">
        <f t="shared" si="405"/>
        <v>87.69048613438099</v>
      </c>
      <c r="CB297" s="51">
        <f t="shared" si="406"/>
        <v>3.8019161198841216</v>
      </c>
      <c r="CC297" s="32">
        <f t="shared" si="407"/>
        <v>158.06706419594425</v>
      </c>
    </row>
    <row r="298" spans="17:81" ht="15" thickBot="1" x14ac:dyDescent="0.35">
      <c r="Q298" s="32">
        <v>291</v>
      </c>
      <c r="S298" s="101">
        <f t="shared" si="348"/>
        <v>60</v>
      </c>
      <c r="T298" s="97">
        <f t="shared" si="354"/>
        <v>0.58199999999999996</v>
      </c>
      <c r="U298" s="102">
        <f t="shared" si="349"/>
        <v>15</v>
      </c>
      <c r="V298" s="103">
        <f t="shared" si="355"/>
        <v>2.9099999999999997</v>
      </c>
      <c r="W298" s="101">
        <f t="shared" si="356"/>
        <v>2</v>
      </c>
      <c r="X298" s="102">
        <f t="shared" si="357"/>
        <v>0.75</v>
      </c>
      <c r="Y298" s="100">
        <f t="shared" si="358"/>
        <v>0.25</v>
      </c>
      <c r="Z298" s="101">
        <f t="shared" si="359"/>
        <v>0.45000000000000007</v>
      </c>
      <c r="AA298" s="102">
        <f t="shared" si="360"/>
        <v>3.1349999999999998</v>
      </c>
      <c r="AB298" s="102">
        <f t="shared" si="361"/>
        <v>2.9128980414700405</v>
      </c>
      <c r="AC298" s="102">
        <v>0</v>
      </c>
      <c r="AD298" s="102">
        <f t="shared" si="362"/>
        <v>8.4849749999999988E-2</v>
      </c>
      <c r="AE298" s="103">
        <f t="shared" si="363"/>
        <v>8.4849749999999988E-2</v>
      </c>
      <c r="AF298" s="101">
        <f t="shared" si="364"/>
        <v>2.1824999999999997</v>
      </c>
      <c r="AG298" s="97">
        <f t="shared" si="365"/>
        <v>2.5226437025469926</v>
      </c>
      <c r="AH298" s="102">
        <f t="shared" si="366"/>
        <v>0.32978778598500008</v>
      </c>
      <c r="AI298" s="97">
        <f t="shared" si="367"/>
        <v>3.0554999999999999</v>
      </c>
      <c r="AJ298" s="103">
        <f t="shared" si="368"/>
        <v>3.3852877859850001</v>
      </c>
      <c r="AK298" s="101">
        <f t="shared" si="369"/>
        <v>0.72749999999999992</v>
      </c>
      <c r="AL298" s="102">
        <f t="shared" si="370"/>
        <v>1.4564490207350202</v>
      </c>
      <c r="AM298" s="102">
        <f t="shared" si="371"/>
        <v>0.24443999999999996</v>
      </c>
      <c r="AN298" s="102">
        <f t="shared" si="372"/>
        <v>0.75525000000000009</v>
      </c>
      <c r="AO298" s="103">
        <f t="shared" si="373"/>
        <v>0.99969000000000008</v>
      </c>
      <c r="AP298" s="99">
        <f t="shared" si="374"/>
        <v>0</v>
      </c>
      <c r="AQ298" s="102">
        <f t="shared" si="350"/>
        <v>8.7499999999999994E-2</v>
      </c>
      <c r="AR298" s="103">
        <f t="shared" si="375"/>
        <v>1.155E-2</v>
      </c>
      <c r="AS298" s="99">
        <f t="shared" si="376"/>
        <v>3.4843377859850002</v>
      </c>
      <c r="AT298" s="215">
        <f t="shared" si="377"/>
        <v>234.06026715910002</v>
      </c>
      <c r="AU298" s="216">
        <f t="shared" si="378"/>
        <v>0.10427702994468126</v>
      </c>
      <c r="AV298" s="102">
        <f t="shared" si="379"/>
        <v>34.919999999999995</v>
      </c>
      <c r="AW298" s="103">
        <f t="shared" si="380"/>
        <v>90.927228571412712</v>
      </c>
      <c r="AX298" s="32"/>
      <c r="AY298" s="101">
        <f t="shared" si="351"/>
        <v>60</v>
      </c>
      <c r="AZ298" s="102">
        <f t="shared" si="381"/>
        <v>0.58199999999999996</v>
      </c>
      <c r="BA298" s="102">
        <f t="shared" si="352"/>
        <v>15</v>
      </c>
      <c r="BB298" s="103">
        <f t="shared" si="382"/>
        <v>2.9099999999999997</v>
      </c>
      <c r="BC298" s="101">
        <f t="shared" si="383"/>
        <v>2</v>
      </c>
      <c r="BD298" s="102">
        <f t="shared" si="384"/>
        <v>0.75</v>
      </c>
      <c r="BE298" s="100">
        <f t="shared" si="385"/>
        <v>0.25</v>
      </c>
      <c r="BF298" s="101">
        <f t="shared" si="386"/>
        <v>0.45000000000000007</v>
      </c>
      <c r="BG298" s="102">
        <f t="shared" si="387"/>
        <v>3.1349999999999998</v>
      </c>
      <c r="BH298" s="102">
        <f t="shared" si="388"/>
        <v>2.9128980414700405</v>
      </c>
      <c r="BI298" s="102">
        <v>0</v>
      </c>
      <c r="BJ298" s="102">
        <f t="shared" si="389"/>
        <v>8.4849749999999988E-2</v>
      </c>
      <c r="BK298" s="103">
        <f t="shared" si="390"/>
        <v>8.4849749999999988E-2</v>
      </c>
      <c r="BL298" s="101">
        <f t="shared" si="391"/>
        <v>2.1824999999999997</v>
      </c>
      <c r="BM298" s="97">
        <f t="shared" si="392"/>
        <v>2.5226437025469926</v>
      </c>
      <c r="BN298" s="97">
        <f t="shared" si="393"/>
        <v>0.66359099411615385</v>
      </c>
      <c r="BO298" s="97">
        <f t="shared" si="394"/>
        <v>3.0554999999999999</v>
      </c>
      <c r="BP298" s="103">
        <f t="shared" si="395"/>
        <v>3.7190909941161538</v>
      </c>
      <c r="BQ298" s="101">
        <f t="shared" si="396"/>
        <v>0.72749999999999992</v>
      </c>
      <c r="BR298" s="102">
        <f t="shared" si="397"/>
        <v>1.4564490207350202</v>
      </c>
      <c r="BS298" s="102">
        <f t="shared" si="398"/>
        <v>0.24443999999999996</v>
      </c>
      <c r="BT298" s="102">
        <f t="shared" si="399"/>
        <v>0.75525000000000009</v>
      </c>
      <c r="BU298" s="103">
        <f t="shared" si="400"/>
        <v>0.99969000000000008</v>
      </c>
      <c r="BV298" s="99">
        <f t="shared" si="401"/>
        <v>0</v>
      </c>
      <c r="BW298" s="102">
        <f t="shared" si="353"/>
        <v>8.7499999999999994E-2</v>
      </c>
      <c r="BX298" s="103">
        <f t="shared" si="402"/>
        <v>1.155E-2</v>
      </c>
      <c r="BY298" s="101">
        <f t="shared" si="403"/>
        <v>4.9026807441161537</v>
      </c>
      <c r="BZ298" s="102">
        <f t="shared" si="404"/>
        <v>34.919999999999995</v>
      </c>
      <c r="CA298" s="103">
        <f t="shared" si="405"/>
        <v>87.688722475468879</v>
      </c>
      <c r="CB298" s="51">
        <f t="shared" si="406"/>
        <v>3.8181409941161539</v>
      </c>
      <c r="CC298" s="32">
        <f t="shared" si="407"/>
        <v>158.6349347940654</v>
      </c>
    </row>
    <row r="299" spans="17:81" ht="15" thickBot="1" x14ac:dyDescent="0.35">
      <c r="Q299" s="32">
        <v>292</v>
      </c>
      <c r="S299" s="101">
        <f t="shared" si="348"/>
        <v>60</v>
      </c>
      <c r="T299" s="97">
        <f t="shared" si="354"/>
        <v>0.58399999999999996</v>
      </c>
      <c r="U299" s="102">
        <f t="shared" si="349"/>
        <v>15</v>
      </c>
      <c r="V299" s="103">
        <f t="shared" si="355"/>
        <v>2.92</v>
      </c>
      <c r="W299" s="101">
        <f t="shared" si="356"/>
        <v>2</v>
      </c>
      <c r="X299" s="102">
        <f t="shared" si="357"/>
        <v>0.75</v>
      </c>
      <c r="Y299" s="100">
        <f t="shared" si="358"/>
        <v>0.25</v>
      </c>
      <c r="Z299" s="101">
        <f t="shared" si="359"/>
        <v>0.45000000000000007</v>
      </c>
      <c r="AA299" s="102">
        <f t="shared" si="360"/>
        <v>3.145</v>
      </c>
      <c r="AB299" s="102">
        <f t="shared" si="361"/>
        <v>2.9228881264940676</v>
      </c>
      <c r="AC299" s="102">
        <v>0</v>
      </c>
      <c r="AD299" s="102">
        <f t="shared" si="362"/>
        <v>8.5432750000000016E-2</v>
      </c>
      <c r="AE299" s="103">
        <f t="shared" si="363"/>
        <v>8.5432750000000016E-2</v>
      </c>
      <c r="AF299" s="101">
        <f t="shared" si="364"/>
        <v>2.19</v>
      </c>
      <c r="AG299" s="97">
        <f t="shared" si="365"/>
        <v>2.5312953699637664</v>
      </c>
      <c r="AH299" s="102">
        <f t="shared" si="366"/>
        <v>0.33205374763166678</v>
      </c>
      <c r="AI299" s="97">
        <f t="shared" si="367"/>
        <v>3.0659999999999998</v>
      </c>
      <c r="AJ299" s="103">
        <f t="shared" si="368"/>
        <v>3.3980537476316668</v>
      </c>
      <c r="AK299" s="101">
        <f t="shared" si="369"/>
        <v>0.73</v>
      </c>
      <c r="AL299" s="102">
        <f t="shared" si="370"/>
        <v>1.4614440632470338</v>
      </c>
      <c r="AM299" s="102">
        <f t="shared" si="371"/>
        <v>0.24527999999999997</v>
      </c>
      <c r="AN299" s="102">
        <f t="shared" si="372"/>
        <v>0.75525000000000009</v>
      </c>
      <c r="AO299" s="103">
        <f t="shared" si="373"/>
        <v>1.0005300000000001</v>
      </c>
      <c r="AP299" s="99">
        <f t="shared" si="374"/>
        <v>0</v>
      </c>
      <c r="AQ299" s="102">
        <f t="shared" si="350"/>
        <v>8.7499999999999994E-2</v>
      </c>
      <c r="AR299" s="103">
        <f t="shared" si="375"/>
        <v>1.155E-2</v>
      </c>
      <c r="AS299" s="99">
        <f t="shared" si="376"/>
        <v>3.4971037476316669</v>
      </c>
      <c r="AT299" s="215">
        <f t="shared" si="377"/>
        <v>234.8262248579</v>
      </c>
      <c r="AU299" s="216">
        <f t="shared" si="378"/>
        <v>0.10446400668704556</v>
      </c>
      <c r="AV299" s="102">
        <f t="shared" si="379"/>
        <v>35.04</v>
      </c>
      <c r="AW299" s="103">
        <f t="shared" si="380"/>
        <v>90.925359179731856</v>
      </c>
      <c r="AX299" s="32"/>
      <c r="AY299" s="101">
        <f t="shared" si="351"/>
        <v>60</v>
      </c>
      <c r="AZ299" s="102">
        <f t="shared" si="381"/>
        <v>0.58399999999999996</v>
      </c>
      <c r="BA299" s="102">
        <f t="shared" si="352"/>
        <v>15</v>
      </c>
      <c r="BB299" s="103">
        <f t="shared" si="382"/>
        <v>2.92</v>
      </c>
      <c r="BC299" s="101">
        <f t="shared" si="383"/>
        <v>2</v>
      </c>
      <c r="BD299" s="102">
        <f t="shared" si="384"/>
        <v>0.75</v>
      </c>
      <c r="BE299" s="100">
        <f t="shared" si="385"/>
        <v>0.25</v>
      </c>
      <c r="BF299" s="101">
        <f t="shared" si="386"/>
        <v>0.45000000000000007</v>
      </c>
      <c r="BG299" s="102">
        <f t="shared" si="387"/>
        <v>3.145</v>
      </c>
      <c r="BH299" s="102">
        <f t="shared" si="388"/>
        <v>2.9228881264940676</v>
      </c>
      <c r="BI299" s="102">
        <v>0</v>
      </c>
      <c r="BJ299" s="102">
        <f t="shared" si="389"/>
        <v>8.5432750000000016E-2</v>
      </c>
      <c r="BK299" s="103">
        <f t="shared" si="390"/>
        <v>8.5432750000000016E-2</v>
      </c>
      <c r="BL299" s="101">
        <f t="shared" si="391"/>
        <v>2.19</v>
      </c>
      <c r="BM299" s="97">
        <f t="shared" si="392"/>
        <v>2.5312953699637664</v>
      </c>
      <c r="BN299" s="97">
        <f t="shared" si="393"/>
        <v>0.66934855254695191</v>
      </c>
      <c r="BO299" s="97">
        <f t="shared" si="394"/>
        <v>3.0659999999999998</v>
      </c>
      <c r="BP299" s="103">
        <f t="shared" si="395"/>
        <v>3.7353485525469519</v>
      </c>
      <c r="BQ299" s="101">
        <f t="shared" si="396"/>
        <v>0.73</v>
      </c>
      <c r="BR299" s="102">
        <f t="shared" si="397"/>
        <v>1.4614440632470338</v>
      </c>
      <c r="BS299" s="102">
        <f t="shared" si="398"/>
        <v>0.24527999999999997</v>
      </c>
      <c r="BT299" s="102">
        <f t="shared" si="399"/>
        <v>0.75525000000000009</v>
      </c>
      <c r="BU299" s="103">
        <f t="shared" si="400"/>
        <v>1.0005300000000001</v>
      </c>
      <c r="BV299" s="99">
        <f t="shared" si="401"/>
        <v>0</v>
      </c>
      <c r="BW299" s="102">
        <f t="shared" si="353"/>
        <v>8.7499999999999994E-2</v>
      </c>
      <c r="BX299" s="103">
        <f t="shared" si="402"/>
        <v>1.155E-2</v>
      </c>
      <c r="BY299" s="101">
        <f t="shared" si="403"/>
        <v>4.9203613025469517</v>
      </c>
      <c r="BZ299" s="102">
        <f t="shared" si="404"/>
        <v>35.04</v>
      </c>
      <c r="CA299" s="103">
        <f t="shared" si="405"/>
        <v>87.68689485739624</v>
      </c>
      <c r="CB299" s="51">
        <f t="shared" si="406"/>
        <v>3.8343985525469519</v>
      </c>
      <c r="CC299" s="32">
        <f t="shared" si="407"/>
        <v>159.20394933914332</v>
      </c>
    </row>
    <row r="300" spans="17:81" ht="15" thickBot="1" x14ac:dyDescent="0.35">
      <c r="Q300" s="32">
        <v>293</v>
      </c>
      <c r="S300" s="101">
        <f t="shared" si="348"/>
        <v>60</v>
      </c>
      <c r="T300" s="97">
        <f t="shared" si="354"/>
        <v>0.58599999999999997</v>
      </c>
      <c r="U300" s="102">
        <f t="shared" si="349"/>
        <v>15</v>
      </c>
      <c r="V300" s="103">
        <f t="shared" si="355"/>
        <v>2.9299999999999997</v>
      </c>
      <c r="W300" s="101">
        <f t="shared" si="356"/>
        <v>2</v>
      </c>
      <c r="X300" s="102">
        <f t="shared" si="357"/>
        <v>0.75</v>
      </c>
      <c r="Y300" s="100">
        <f t="shared" si="358"/>
        <v>0.25</v>
      </c>
      <c r="Z300" s="101">
        <f t="shared" si="359"/>
        <v>0.45000000000000007</v>
      </c>
      <c r="AA300" s="102">
        <f t="shared" si="360"/>
        <v>3.1549999999999998</v>
      </c>
      <c r="AB300" s="102">
        <f t="shared" si="361"/>
        <v>2.9328782790971735</v>
      </c>
      <c r="AC300" s="102">
        <v>0</v>
      </c>
      <c r="AD300" s="102">
        <f t="shared" si="362"/>
        <v>8.601774999999999E-2</v>
      </c>
      <c r="AE300" s="103">
        <f t="shared" si="363"/>
        <v>8.601774999999999E-2</v>
      </c>
      <c r="AF300" s="101">
        <f t="shared" si="364"/>
        <v>2.1974999999999998</v>
      </c>
      <c r="AG300" s="97">
        <f t="shared" si="365"/>
        <v>2.5399470959057395</v>
      </c>
      <c r="AH300" s="102">
        <f t="shared" si="366"/>
        <v>0.33432748273166674</v>
      </c>
      <c r="AI300" s="97">
        <f t="shared" si="367"/>
        <v>3.0764999999999993</v>
      </c>
      <c r="AJ300" s="103">
        <f t="shared" si="368"/>
        <v>3.410827482731666</v>
      </c>
      <c r="AK300" s="101">
        <f t="shared" si="369"/>
        <v>0.73249999999999993</v>
      </c>
      <c r="AL300" s="102">
        <f t="shared" si="370"/>
        <v>1.4664391395485867</v>
      </c>
      <c r="AM300" s="102">
        <f t="shared" si="371"/>
        <v>0.24611999999999998</v>
      </c>
      <c r="AN300" s="102">
        <f t="shared" si="372"/>
        <v>0.75525000000000009</v>
      </c>
      <c r="AO300" s="103">
        <f t="shared" si="373"/>
        <v>1.0013700000000001</v>
      </c>
      <c r="AP300" s="99">
        <f t="shared" si="374"/>
        <v>0</v>
      </c>
      <c r="AQ300" s="102">
        <f t="shared" si="350"/>
        <v>8.7499999999999994E-2</v>
      </c>
      <c r="AR300" s="103">
        <f t="shared" si="375"/>
        <v>1.155E-2</v>
      </c>
      <c r="AS300" s="99">
        <f t="shared" si="376"/>
        <v>3.5098774827316661</v>
      </c>
      <c r="AT300" s="215">
        <f t="shared" si="377"/>
        <v>235.59264896389996</v>
      </c>
      <c r="AU300" s="216">
        <f t="shared" si="378"/>
        <v>0.10465109728334593</v>
      </c>
      <c r="AV300" s="102">
        <f t="shared" si="379"/>
        <v>35.159999999999997</v>
      </c>
      <c r="AW300" s="103">
        <f t="shared" si="380"/>
        <v>90.923484346959654</v>
      </c>
      <c r="AX300" s="32"/>
      <c r="AY300" s="101">
        <f t="shared" si="351"/>
        <v>60</v>
      </c>
      <c r="AZ300" s="102">
        <f t="shared" si="381"/>
        <v>0.58599999999999997</v>
      </c>
      <c r="BA300" s="102">
        <f t="shared" si="352"/>
        <v>15</v>
      </c>
      <c r="BB300" s="103">
        <f t="shared" si="382"/>
        <v>2.9299999999999997</v>
      </c>
      <c r="BC300" s="101">
        <f t="shared" si="383"/>
        <v>2</v>
      </c>
      <c r="BD300" s="102">
        <f t="shared" si="384"/>
        <v>0.75</v>
      </c>
      <c r="BE300" s="100">
        <f t="shared" si="385"/>
        <v>0.25</v>
      </c>
      <c r="BF300" s="101">
        <f t="shared" si="386"/>
        <v>0.45000000000000007</v>
      </c>
      <c r="BG300" s="102">
        <f t="shared" si="387"/>
        <v>3.1549999999999998</v>
      </c>
      <c r="BH300" s="102">
        <f t="shared" si="388"/>
        <v>2.9328782790971735</v>
      </c>
      <c r="BI300" s="102">
        <v>0</v>
      </c>
      <c r="BJ300" s="102">
        <f t="shared" si="389"/>
        <v>8.601774999999999E-2</v>
      </c>
      <c r="BK300" s="103">
        <f t="shared" si="390"/>
        <v>8.601774999999999E-2</v>
      </c>
      <c r="BL300" s="101">
        <f t="shared" si="391"/>
        <v>2.1974999999999998</v>
      </c>
      <c r="BM300" s="97">
        <f t="shared" si="392"/>
        <v>2.5399470959057395</v>
      </c>
      <c r="BN300" s="97">
        <f t="shared" si="393"/>
        <v>0.67513889425083973</v>
      </c>
      <c r="BO300" s="97">
        <f t="shared" si="394"/>
        <v>3.0764999999999993</v>
      </c>
      <c r="BP300" s="103">
        <f t="shared" si="395"/>
        <v>3.751638894250839</v>
      </c>
      <c r="BQ300" s="101">
        <f t="shared" si="396"/>
        <v>0.73249999999999993</v>
      </c>
      <c r="BR300" s="102">
        <f t="shared" si="397"/>
        <v>1.4664391395485867</v>
      </c>
      <c r="BS300" s="102">
        <f t="shared" si="398"/>
        <v>0.24611999999999998</v>
      </c>
      <c r="BT300" s="102">
        <f t="shared" si="399"/>
        <v>0.75525000000000009</v>
      </c>
      <c r="BU300" s="103">
        <f t="shared" si="400"/>
        <v>1.0013700000000001</v>
      </c>
      <c r="BV300" s="99">
        <f t="shared" si="401"/>
        <v>0</v>
      </c>
      <c r="BW300" s="102">
        <f t="shared" si="353"/>
        <v>8.7499999999999994E-2</v>
      </c>
      <c r="BX300" s="103">
        <f t="shared" si="402"/>
        <v>1.155E-2</v>
      </c>
      <c r="BY300" s="101">
        <f t="shared" si="403"/>
        <v>4.938076644250839</v>
      </c>
      <c r="BZ300" s="102">
        <f t="shared" si="404"/>
        <v>35.159999999999997</v>
      </c>
      <c r="CA300" s="103">
        <f t="shared" si="405"/>
        <v>87.685003727083128</v>
      </c>
      <c r="CB300" s="51">
        <f t="shared" si="406"/>
        <v>3.850688894250839</v>
      </c>
      <c r="CC300" s="32">
        <f t="shared" si="407"/>
        <v>159.77411129877936</v>
      </c>
    </row>
    <row r="301" spans="17:81" ht="15" thickBot="1" x14ac:dyDescent="0.35">
      <c r="Q301" s="32">
        <v>294</v>
      </c>
      <c r="S301" s="101">
        <f t="shared" si="348"/>
        <v>60</v>
      </c>
      <c r="T301" s="97">
        <f t="shared" si="354"/>
        <v>0.58799999999999997</v>
      </c>
      <c r="U301" s="102">
        <f t="shared" si="349"/>
        <v>15</v>
      </c>
      <c r="V301" s="103">
        <f t="shared" si="355"/>
        <v>2.94</v>
      </c>
      <c r="W301" s="101">
        <f t="shared" si="356"/>
        <v>2</v>
      </c>
      <c r="X301" s="102">
        <f t="shared" si="357"/>
        <v>0.75</v>
      </c>
      <c r="Y301" s="100">
        <f t="shared" si="358"/>
        <v>0.25</v>
      </c>
      <c r="Z301" s="101">
        <f t="shared" si="359"/>
        <v>0.45000000000000007</v>
      </c>
      <c r="AA301" s="102">
        <f t="shared" si="360"/>
        <v>3.165</v>
      </c>
      <c r="AB301" s="102">
        <f t="shared" si="361"/>
        <v>2.9428684985911282</v>
      </c>
      <c r="AC301" s="102">
        <v>0</v>
      </c>
      <c r="AD301" s="102">
        <f t="shared" si="362"/>
        <v>8.6604750000000022E-2</v>
      </c>
      <c r="AE301" s="103">
        <f t="shared" si="363"/>
        <v>8.6604750000000022E-2</v>
      </c>
      <c r="AF301" s="101">
        <f t="shared" si="364"/>
        <v>2.2050000000000001</v>
      </c>
      <c r="AG301" s="97">
        <f t="shared" si="365"/>
        <v>2.5485988797768866</v>
      </c>
      <c r="AH301" s="102">
        <f t="shared" si="366"/>
        <v>0.33660899128500016</v>
      </c>
      <c r="AI301" s="97">
        <f t="shared" si="367"/>
        <v>3.0869999999999997</v>
      </c>
      <c r="AJ301" s="103">
        <f t="shared" si="368"/>
        <v>3.4236089912850001</v>
      </c>
      <c r="AK301" s="101">
        <f t="shared" si="369"/>
        <v>0.73499999999999999</v>
      </c>
      <c r="AL301" s="102">
        <f t="shared" si="370"/>
        <v>1.4714342492955641</v>
      </c>
      <c r="AM301" s="102">
        <f t="shared" si="371"/>
        <v>0.24695999999999999</v>
      </c>
      <c r="AN301" s="102">
        <f t="shared" si="372"/>
        <v>0.75525000000000009</v>
      </c>
      <c r="AO301" s="103">
        <f t="shared" si="373"/>
        <v>1.00221</v>
      </c>
      <c r="AP301" s="99">
        <f t="shared" si="374"/>
        <v>0</v>
      </c>
      <c r="AQ301" s="102">
        <f t="shared" si="350"/>
        <v>8.7499999999999994E-2</v>
      </c>
      <c r="AR301" s="103">
        <f t="shared" si="375"/>
        <v>1.155E-2</v>
      </c>
      <c r="AS301" s="99">
        <f t="shared" si="376"/>
        <v>3.5226589912850002</v>
      </c>
      <c r="AT301" s="215">
        <f t="shared" si="377"/>
        <v>236.35953947710001</v>
      </c>
      <c r="AU301" s="216">
        <f t="shared" si="378"/>
        <v>0.10483830173358241</v>
      </c>
      <c r="AV301" s="102">
        <f t="shared" si="379"/>
        <v>35.28</v>
      </c>
      <c r="AW301" s="103">
        <f t="shared" si="380"/>
        <v>90.921604130077313</v>
      </c>
      <c r="AX301" s="32"/>
      <c r="AY301" s="101">
        <f t="shared" si="351"/>
        <v>60</v>
      </c>
      <c r="AZ301" s="102">
        <f t="shared" si="381"/>
        <v>0.58799999999999997</v>
      </c>
      <c r="BA301" s="102">
        <f t="shared" si="352"/>
        <v>15</v>
      </c>
      <c r="BB301" s="103">
        <f t="shared" si="382"/>
        <v>2.94</v>
      </c>
      <c r="BC301" s="101">
        <f t="shared" si="383"/>
        <v>2</v>
      </c>
      <c r="BD301" s="102">
        <f t="shared" si="384"/>
        <v>0.75</v>
      </c>
      <c r="BE301" s="100">
        <f t="shared" si="385"/>
        <v>0.25</v>
      </c>
      <c r="BF301" s="101">
        <f t="shared" si="386"/>
        <v>0.45000000000000007</v>
      </c>
      <c r="BG301" s="102">
        <f t="shared" si="387"/>
        <v>3.165</v>
      </c>
      <c r="BH301" s="102">
        <f t="shared" si="388"/>
        <v>2.9428684985911282</v>
      </c>
      <c r="BI301" s="102">
        <v>0</v>
      </c>
      <c r="BJ301" s="102">
        <f t="shared" si="389"/>
        <v>8.6604750000000022E-2</v>
      </c>
      <c r="BK301" s="103">
        <f t="shared" si="390"/>
        <v>8.6604750000000022E-2</v>
      </c>
      <c r="BL301" s="101">
        <f t="shared" si="391"/>
        <v>2.2050000000000001</v>
      </c>
      <c r="BM301" s="97">
        <f t="shared" si="392"/>
        <v>2.5485988797768866</v>
      </c>
      <c r="BN301" s="97">
        <f t="shared" si="393"/>
        <v>0.68096211840461052</v>
      </c>
      <c r="BO301" s="97">
        <f t="shared" si="394"/>
        <v>3.0869999999999997</v>
      </c>
      <c r="BP301" s="103">
        <f t="shared" si="395"/>
        <v>3.7679621184046104</v>
      </c>
      <c r="BQ301" s="101">
        <f t="shared" si="396"/>
        <v>0.73499999999999999</v>
      </c>
      <c r="BR301" s="102">
        <f t="shared" si="397"/>
        <v>1.4714342492955641</v>
      </c>
      <c r="BS301" s="102">
        <f t="shared" si="398"/>
        <v>0.24695999999999999</v>
      </c>
      <c r="BT301" s="102">
        <f t="shared" si="399"/>
        <v>0.75525000000000009</v>
      </c>
      <c r="BU301" s="103">
        <f t="shared" si="400"/>
        <v>1.00221</v>
      </c>
      <c r="BV301" s="99">
        <f t="shared" si="401"/>
        <v>0</v>
      </c>
      <c r="BW301" s="102">
        <f t="shared" si="353"/>
        <v>8.7499999999999994E-2</v>
      </c>
      <c r="BX301" s="103">
        <f t="shared" si="402"/>
        <v>1.155E-2</v>
      </c>
      <c r="BY301" s="101">
        <f t="shared" si="403"/>
        <v>4.9558268684046105</v>
      </c>
      <c r="BZ301" s="102">
        <f t="shared" si="404"/>
        <v>35.28</v>
      </c>
      <c r="CA301" s="103">
        <f t="shared" si="405"/>
        <v>87.683049525456127</v>
      </c>
      <c r="CB301" s="51">
        <f t="shared" si="406"/>
        <v>3.8670121184046105</v>
      </c>
      <c r="CC301" s="32">
        <f t="shared" si="407"/>
        <v>160.34542414416137</v>
      </c>
    </row>
    <row r="302" spans="17:81" ht="15" thickBot="1" x14ac:dyDescent="0.35">
      <c r="Q302" s="32">
        <v>295</v>
      </c>
      <c r="S302" s="101">
        <f t="shared" si="348"/>
        <v>60</v>
      </c>
      <c r="T302" s="97">
        <f t="shared" si="354"/>
        <v>0.59</v>
      </c>
      <c r="U302" s="102">
        <f t="shared" si="349"/>
        <v>15</v>
      </c>
      <c r="V302" s="103">
        <f t="shared" si="355"/>
        <v>2.9499999999999997</v>
      </c>
      <c r="W302" s="101">
        <f t="shared" si="356"/>
        <v>2</v>
      </c>
      <c r="X302" s="102">
        <f t="shared" si="357"/>
        <v>0.75</v>
      </c>
      <c r="Y302" s="100">
        <f t="shared" si="358"/>
        <v>0.25</v>
      </c>
      <c r="Z302" s="101">
        <f t="shared" si="359"/>
        <v>0.45000000000000007</v>
      </c>
      <c r="AA302" s="102">
        <f t="shared" si="360"/>
        <v>3.1749999999999998</v>
      </c>
      <c r="AB302" s="102">
        <f t="shared" si="361"/>
        <v>2.9528587842970073</v>
      </c>
      <c r="AC302" s="102">
        <v>0</v>
      </c>
      <c r="AD302" s="102">
        <f t="shared" si="362"/>
        <v>8.719375E-2</v>
      </c>
      <c r="AE302" s="103">
        <f t="shared" si="363"/>
        <v>8.719375E-2</v>
      </c>
      <c r="AF302" s="101">
        <f t="shared" si="364"/>
        <v>2.2124999999999999</v>
      </c>
      <c r="AG302" s="97">
        <f t="shared" si="365"/>
        <v>2.5572507209892423</v>
      </c>
      <c r="AH302" s="102">
        <f t="shared" si="366"/>
        <v>0.33889827329166672</v>
      </c>
      <c r="AI302" s="97">
        <f t="shared" si="367"/>
        <v>3.0974999999999997</v>
      </c>
      <c r="AJ302" s="103">
        <f t="shared" si="368"/>
        <v>3.4363982732916662</v>
      </c>
      <c r="AK302" s="101">
        <f t="shared" si="369"/>
        <v>0.73749999999999993</v>
      </c>
      <c r="AL302" s="102">
        <f t="shared" si="370"/>
        <v>1.4764293921485037</v>
      </c>
      <c r="AM302" s="102">
        <f t="shared" si="371"/>
        <v>0.24779999999999996</v>
      </c>
      <c r="AN302" s="102">
        <f t="shared" si="372"/>
        <v>0.75525000000000009</v>
      </c>
      <c r="AO302" s="103">
        <f t="shared" si="373"/>
        <v>1.00305</v>
      </c>
      <c r="AP302" s="99">
        <f t="shared" si="374"/>
        <v>0</v>
      </c>
      <c r="AQ302" s="102">
        <f t="shared" si="350"/>
        <v>8.7499999999999994E-2</v>
      </c>
      <c r="AR302" s="103">
        <f t="shared" si="375"/>
        <v>1.155E-2</v>
      </c>
      <c r="AS302" s="99">
        <f t="shared" si="376"/>
        <v>3.5354482732916663</v>
      </c>
      <c r="AT302" s="215">
        <f t="shared" si="377"/>
        <v>237.12689639749999</v>
      </c>
      <c r="AU302" s="216">
        <f t="shared" si="378"/>
        <v>0.10502562003775491</v>
      </c>
      <c r="AV302" s="102">
        <f t="shared" si="379"/>
        <v>35.4</v>
      </c>
      <c r="AW302" s="103">
        <f t="shared" si="380"/>
        <v>90.9197185852953</v>
      </c>
      <c r="AX302" s="32"/>
      <c r="AY302" s="101">
        <f t="shared" si="351"/>
        <v>60</v>
      </c>
      <c r="AZ302" s="102">
        <f t="shared" si="381"/>
        <v>0.59</v>
      </c>
      <c r="BA302" s="102">
        <f t="shared" si="352"/>
        <v>15</v>
      </c>
      <c r="BB302" s="103">
        <f t="shared" si="382"/>
        <v>2.9499999999999997</v>
      </c>
      <c r="BC302" s="101">
        <f t="shared" si="383"/>
        <v>2</v>
      </c>
      <c r="BD302" s="102">
        <f t="shared" si="384"/>
        <v>0.75</v>
      </c>
      <c r="BE302" s="100">
        <f t="shared" si="385"/>
        <v>0.25</v>
      </c>
      <c r="BF302" s="101">
        <f t="shared" si="386"/>
        <v>0.45000000000000007</v>
      </c>
      <c r="BG302" s="102">
        <f t="shared" si="387"/>
        <v>3.1749999999999998</v>
      </c>
      <c r="BH302" s="102">
        <f t="shared" si="388"/>
        <v>2.9528587842970073</v>
      </c>
      <c r="BI302" s="102">
        <v>0</v>
      </c>
      <c r="BJ302" s="102">
        <f t="shared" si="389"/>
        <v>8.719375E-2</v>
      </c>
      <c r="BK302" s="103">
        <f t="shared" si="390"/>
        <v>8.719375E-2</v>
      </c>
      <c r="BL302" s="101">
        <f t="shared" si="391"/>
        <v>2.2124999999999999</v>
      </c>
      <c r="BM302" s="97">
        <f t="shared" si="392"/>
        <v>2.5572507209892423</v>
      </c>
      <c r="BN302" s="97">
        <f t="shared" si="393"/>
        <v>0.68681832428752432</v>
      </c>
      <c r="BO302" s="97">
        <f t="shared" si="394"/>
        <v>3.0974999999999997</v>
      </c>
      <c r="BP302" s="103">
        <f t="shared" si="395"/>
        <v>3.7843183242875238</v>
      </c>
      <c r="BQ302" s="101">
        <f t="shared" si="396"/>
        <v>0.73749999999999993</v>
      </c>
      <c r="BR302" s="102">
        <f t="shared" si="397"/>
        <v>1.4764293921485037</v>
      </c>
      <c r="BS302" s="102">
        <f t="shared" si="398"/>
        <v>0.24779999999999996</v>
      </c>
      <c r="BT302" s="102">
        <f t="shared" si="399"/>
        <v>0.75525000000000009</v>
      </c>
      <c r="BU302" s="103">
        <f t="shared" si="400"/>
        <v>1.00305</v>
      </c>
      <c r="BV302" s="99">
        <f t="shared" si="401"/>
        <v>0</v>
      </c>
      <c r="BW302" s="102">
        <f t="shared" si="353"/>
        <v>8.7499999999999994E-2</v>
      </c>
      <c r="BX302" s="103">
        <f t="shared" si="402"/>
        <v>1.155E-2</v>
      </c>
      <c r="BY302" s="101">
        <f t="shared" si="403"/>
        <v>4.9736120742875238</v>
      </c>
      <c r="BZ302" s="102">
        <f t="shared" si="404"/>
        <v>35.4</v>
      </c>
      <c r="CA302" s="103">
        <f t="shared" si="405"/>
        <v>87.681032687548324</v>
      </c>
      <c r="CB302" s="51">
        <f t="shared" si="406"/>
        <v>3.8833683242875239</v>
      </c>
      <c r="CC302" s="32">
        <f t="shared" si="407"/>
        <v>160.91789135006334</v>
      </c>
    </row>
    <row r="303" spans="17:81" ht="15" thickBot="1" x14ac:dyDescent="0.35">
      <c r="Q303" s="32">
        <v>296</v>
      </c>
      <c r="S303" s="101">
        <f t="shared" si="348"/>
        <v>60</v>
      </c>
      <c r="T303" s="97">
        <f t="shared" si="354"/>
        <v>0.59199999999999997</v>
      </c>
      <c r="U303" s="102">
        <f t="shared" si="349"/>
        <v>15</v>
      </c>
      <c r="V303" s="103">
        <f t="shared" si="355"/>
        <v>2.9599999999999995</v>
      </c>
      <c r="W303" s="101">
        <f t="shared" si="356"/>
        <v>2</v>
      </c>
      <c r="X303" s="102">
        <f t="shared" si="357"/>
        <v>0.75</v>
      </c>
      <c r="Y303" s="100">
        <f t="shared" si="358"/>
        <v>0.25</v>
      </c>
      <c r="Z303" s="101">
        <f t="shared" si="359"/>
        <v>0.45000000000000007</v>
      </c>
      <c r="AA303" s="102">
        <f t="shared" si="360"/>
        <v>3.1849999999999996</v>
      </c>
      <c r="AB303" s="102">
        <f t="shared" si="361"/>
        <v>2.9628491355450413</v>
      </c>
      <c r="AC303" s="102">
        <v>0</v>
      </c>
      <c r="AD303" s="102">
        <f t="shared" si="362"/>
        <v>8.7784749999999981E-2</v>
      </c>
      <c r="AE303" s="103">
        <f t="shared" si="363"/>
        <v>8.7784749999999981E-2</v>
      </c>
      <c r="AF303" s="101">
        <f t="shared" si="364"/>
        <v>2.2199999999999998</v>
      </c>
      <c r="AG303" s="97">
        <f t="shared" si="365"/>
        <v>2.5659026189627689</v>
      </c>
      <c r="AH303" s="102">
        <f t="shared" si="366"/>
        <v>0.34119532875166658</v>
      </c>
      <c r="AI303" s="97">
        <f t="shared" si="367"/>
        <v>3.1079999999999997</v>
      </c>
      <c r="AJ303" s="103">
        <f t="shared" si="368"/>
        <v>3.4491953287516663</v>
      </c>
      <c r="AK303" s="101">
        <f t="shared" si="369"/>
        <v>0.73999999999999988</v>
      </c>
      <c r="AL303" s="102">
        <f t="shared" si="370"/>
        <v>1.4814245677725204</v>
      </c>
      <c r="AM303" s="102">
        <f t="shared" si="371"/>
        <v>0.24863999999999997</v>
      </c>
      <c r="AN303" s="102">
        <f t="shared" si="372"/>
        <v>0.75525000000000009</v>
      </c>
      <c r="AO303" s="103">
        <f t="shared" si="373"/>
        <v>1.0038900000000002</v>
      </c>
      <c r="AP303" s="99">
        <f t="shared" si="374"/>
        <v>0</v>
      </c>
      <c r="AQ303" s="102">
        <f t="shared" si="350"/>
        <v>8.7499999999999994E-2</v>
      </c>
      <c r="AR303" s="103">
        <f t="shared" si="375"/>
        <v>1.155E-2</v>
      </c>
      <c r="AS303" s="99">
        <f t="shared" si="376"/>
        <v>3.5482453287516664</v>
      </c>
      <c r="AT303" s="215">
        <f t="shared" si="377"/>
        <v>237.89471972509997</v>
      </c>
      <c r="AU303" s="216">
        <f t="shared" si="378"/>
        <v>0.10521305219586351</v>
      </c>
      <c r="AV303" s="102">
        <f t="shared" si="379"/>
        <v>35.519999999999996</v>
      </c>
      <c r="AW303" s="103">
        <f t="shared" si="380"/>
        <v>90.917827768066175</v>
      </c>
      <c r="AX303" s="32"/>
      <c r="AY303" s="101">
        <f t="shared" si="351"/>
        <v>60</v>
      </c>
      <c r="AZ303" s="102">
        <f t="shared" si="381"/>
        <v>0.59199999999999997</v>
      </c>
      <c r="BA303" s="102">
        <f t="shared" si="352"/>
        <v>15</v>
      </c>
      <c r="BB303" s="103">
        <f t="shared" si="382"/>
        <v>2.9599999999999995</v>
      </c>
      <c r="BC303" s="101">
        <f t="shared" si="383"/>
        <v>2</v>
      </c>
      <c r="BD303" s="102">
        <f t="shared" si="384"/>
        <v>0.75</v>
      </c>
      <c r="BE303" s="100">
        <f t="shared" si="385"/>
        <v>0.25</v>
      </c>
      <c r="BF303" s="101">
        <f t="shared" si="386"/>
        <v>0.45000000000000007</v>
      </c>
      <c r="BG303" s="102">
        <f t="shared" si="387"/>
        <v>3.1849999999999996</v>
      </c>
      <c r="BH303" s="102">
        <f t="shared" si="388"/>
        <v>2.9628491355450413</v>
      </c>
      <c r="BI303" s="102">
        <v>0</v>
      </c>
      <c r="BJ303" s="102">
        <f t="shared" si="389"/>
        <v>8.7784749999999981E-2</v>
      </c>
      <c r="BK303" s="103">
        <f t="shared" si="390"/>
        <v>8.7784749999999981E-2</v>
      </c>
      <c r="BL303" s="101">
        <f t="shared" si="391"/>
        <v>2.2199999999999998</v>
      </c>
      <c r="BM303" s="97">
        <f t="shared" si="392"/>
        <v>2.5659026189627689</v>
      </c>
      <c r="BN303" s="97">
        <f t="shared" si="393"/>
        <v>0.69270761128131186</v>
      </c>
      <c r="BO303" s="97">
        <f t="shared" si="394"/>
        <v>3.1079999999999997</v>
      </c>
      <c r="BP303" s="103">
        <f t="shared" si="395"/>
        <v>3.8007076112813114</v>
      </c>
      <c r="BQ303" s="101">
        <f t="shared" si="396"/>
        <v>0.73999999999999988</v>
      </c>
      <c r="BR303" s="102">
        <f t="shared" si="397"/>
        <v>1.4814245677725204</v>
      </c>
      <c r="BS303" s="102">
        <f t="shared" si="398"/>
        <v>0.24863999999999997</v>
      </c>
      <c r="BT303" s="102">
        <f t="shared" si="399"/>
        <v>0.75525000000000009</v>
      </c>
      <c r="BU303" s="103">
        <f t="shared" si="400"/>
        <v>1.0038900000000002</v>
      </c>
      <c r="BV303" s="99">
        <f t="shared" si="401"/>
        <v>0</v>
      </c>
      <c r="BW303" s="102">
        <f t="shared" si="353"/>
        <v>8.7499999999999994E-2</v>
      </c>
      <c r="BX303" s="103">
        <f t="shared" si="402"/>
        <v>1.155E-2</v>
      </c>
      <c r="BY303" s="101">
        <f t="shared" si="403"/>
        <v>4.9914323612813112</v>
      </c>
      <c r="BZ303" s="102">
        <f t="shared" si="404"/>
        <v>35.519999999999996</v>
      </c>
      <c r="CA303" s="103">
        <f t="shared" si="405"/>
        <v>87.678953642597293</v>
      </c>
      <c r="CB303" s="51">
        <f t="shared" si="406"/>
        <v>3.8997576112813115</v>
      </c>
      <c r="CC303" s="32">
        <f t="shared" si="407"/>
        <v>161.49151639484589</v>
      </c>
    </row>
    <row r="304" spans="17:81" ht="15" thickBot="1" x14ac:dyDescent="0.35">
      <c r="Q304" s="32">
        <v>297</v>
      </c>
      <c r="S304" s="101">
        <f t="shared" si="348"/>
        <v>60</v>
      </c>
      <c r="T304" s="97">
        <f t="shared" si="354"/>
        <v>0.59399999999999997</v>
      </c>
      <c r="U304" s="102">
        <f t="shared" si="349"/>
        <v>15</v>
      </c>
      <c r="V304" s="103">
        <f t="shared" si="355"/>
        <v>2.97</v>
      </c>
      <c r="W304" s="101">
        <f t="shared" si="356"/>
        <v>2</v>
      </c>
      <c r="X304" s="102">
        <f t="shared" si="357"/>
        <v>0.75</v>
      </c>
      <c r="Y304" s="100">
        <f t="shared" si="358"/>
        <v>0.25</v>
      </c>
      <c r="Z304" s="101">
        <f t="shared" si="359"/>
        <v>0.45000000000000007</v>
      </c>
      <c r="AA304" s="102">
        <f t="shared" si="360"/>
        <v>3.1950000000000003</v>
      </c>
      <c r="AB304" s="102">
        <f t="shared" si="361"/>
        <v>2.9728395516744595</v>
      </c>
      <c r="AC304" s="102">
        <v>0</v>
      </c>
      <c r="AD304" s="102">
        <f t="shared" si="362"/>
        <v>8.8377750000000005E-2</v>
      </c>
      <c r="AE304" s="103">
        <f t="shared" si="363"/>
        <v>8.8377750000000005E-2</v>
      </c>
      <c r="AF304" s="101">
        <f t="shared" si="364"/>
        <v>2.2275</v>
      </c>
      <c r="AG304" s="97">
        <f t="shared" si="365"/>
        <v>2.5745545731252233</v>
      </c>
      <c r="AH304" s="102">
        <f t="shared" si="366"/>
        <v>0.34350015766500014</v>
      </c>
      <c r="AI304" s="97">
        <f t="shared" si="367"/>
        <v>3.1185000000000005</v>
      </c>
      <c r="AJ304" s="103">
        <f t="shared" si="368"/>
        <v>3.4620001576650008</v>
      </c>
      <c r="AK304" s="101">
        <f t="shared" si="369"/>
        <v>0.74250000000000005</v>
      </c>
      <c r="AL304" s="102">
        <f t="shared" si="370"/>
        <v>1.4864197758372297</v>
      </c>
      <c r="AM304" s="102">
        <f t="shared" si="371"/>
        <v>0.24947999999999998</v>
      </c>
      <c r="AN304" s="102">
        <f t="shared" si="372"/>
        <v>0.75525000000000009</v>
      </c>
      <c r="AO304" s="103">
        <f t="shared" si="373"/>
        <v>1.0047300000000001</v>
      </c>
      <c r="AP304" s="99">
        <f t="shared" si="374"/>
        <v>0</v>
      </c>
      <c r="AQ304" s="102">
        <f t="shared" si="350"/>
        <v>8.7499999999999994E-2</v>
      </c>
      <c r="AR304" s="103">
        <f t="shared" si="375"/>
        <v>1.155E-2</v>
      </c>
      <c r="AS304" s="99">
        <f t="shared" si="376"/>
        <v>3.5610501576650009</v>
      </c>
      <c r="AT304" s="215">
        <f t="shared" si="377"/>
        <v>238.66300945990005</v>
      </c>
      <c r="AU304" s="216">
        <f t="shared" si="378"/>
        <v>0.10540059820790819</v>
      </c>
      <c r="AV304" s="102">
        <f t="shared" si="379"/>
        <v>35.64</v>
      </c>
      <c r="AW304" s="103">
        <f t="shared" si="380"/>
        <v>90.915931733097437</v>
      </c>
      <c r="AX304" s="32"/>
      <c r="AY304" s="101">
        <f t="shared" si="351"/>
        <v>60</v>
      </c>
      <c r="AZ304" s="102">
        <f t="shared" si="381"/>
        <v>0.59399999999999997</v>
      </c>
      <c r="BA304" s="102">
        <f t="shared" si="352"/>
        <v>15</v>
      </c>
      <c r="BB304" s="103">
        <f t="shared" si="382"/>
        <v>2.97</v>
      </c>
      <c r="BC304" s="101">
        <f t="shared" si="383"/>
        <v>2</v>
      </c>
      <c r="BD304" s="102">
        <f t="shared" si="384"/>
        <v>0.75</v>
      </c>
      <c r="BE304" s="100">
        <f t="shared" si="385"/>
        <v>0.25</v>
      </c>
      <c r="BF304" s="101">
        <f t="shared" si="386"/>
        <v>0.45000000000000007</v>
      </c>
      <c r="BG304" s="102">
        <f t="shared" si="387"/>
        <v>3.1950000000000003</v>
      </c>
      <c r="BH304" s="102">
        <f t="shared" si="388"/>
        <v>2.9728395516744595</v>
      </c>
      <c r="BI304" s="102">
        <v>0</v>
      </c>
      <c r="BJ304" s="102">
        <f t="shared" si="389"/>
        <v>8.8377750000000005E-2</v>
      </c>
      <c r="BK304" s="103">
        <f t="shared" si="390"/>
        <v>8.8377750000000005E-2</v>
      </c>
      <c r="BL304" s="101">
        <f t="shared" si="391"/>
        <v>2.2275</v>
      </c>
      <c r="BM304" s="97">
        <f t="shared" si="392"/>
        <v>2.5745545731252233</v>
      </c>
      <c r="BN304" s="97">
        <f t="shared" si="393"/>
        <v>0.69863007887017192</v>
      </c>
      <c r="BO304" s="97">
        <f t="shared" si="394"/>
        <v>3.1185000000000005</v>
      </c>
      <c r="BP304" s="103">
        <f t="shared" si="395"/>
        <v>3.8171300788701723</v>
      </c>
      <c r="BQ304" s="101">
        <f t="shared" si="396"/>
        <v>0.74250000000000005</v>
      </c>
      <c r="BR304" s="102">
        <f t="shared" si="397"/>
        <v>1.4864197758372297</v>
      </c>
      <c r="BS304" s="102">
        <f t="shared" si="398"/>
        <v>0.24947999999999998</v>
      </c>
      <c r="BT304" s="102">
        <f t="shared" si="399"/>
        <v>0.75525000000000009</v>
      </c>
      <c r="BU304" s="103">
        <f t="shared" si="400"/>
        <v>1.0047300000000001</v>
      </c>
      <c r="BV304" s="99">
        <f t="shared" si="401"/>
        <v>0</v>
      </c>
      <c r="BW304" s="102">
        <f t="shared" si="353"/>
        <v>8.7499999999999994E-2</v>
      </c>
      <c r="BX304" s="103">
        <f t="shared" si="402"/>
        <v>1.155E-2</v>
      </c>
      <c r="BY304" s="101">
        <f t="shared" si="403"/>
        <v>5.009287828870173</v>
      </c>
      <c r="BZ304" s="102">
        <f t="shared" si="404"/>
        <v>35.64</v>
      </c>
      <c r="CA304" s="103">
        <f t="shared" si="405"/>
        <v>87.676812814141243</v>
      </c>
      <c r="CB304" s="51">
        <f t="shared" si="406"/>
        <v>3.9161800788701724</v>
      </c>
      <c r="CC304" s="32">
        <f t="shared" si="407"/>
        <v>162.06630276045604</v>
      </c>
    </row>
    <row r="305" spans="17:81" ht="15" thickBot="1" x14ac:dyDescent="0.35">
      <c r="Q305" s="32">
        <v>298</v>
      </c>
      <c r="S305" s="101">
        <f t="shared" si="348"/>
        <v>60</v>
      </c>
      <c r="T305" s="97">
        <f t="shared" si="354"/>
        <v>0.59599999999999997</v>
      </c>
      <c r="U305" s="102">
        <f t="shared" si="349"/>
        <v>15</v>
      </c>
      <c r="V305" s="103">
        <f t="shared" si="355"/>
        <v>2.98</v>
      </c>
      <c r="W305" s="101">
        <f t="shared" si="356"/>
        <v>2</v>
      </c>
      <c r="X305" s="102">
        <f t="shared" si="357"/>
        <v>0.75</v>
      </c>
      <c r="Y305" s="100">
        <f t="shared" si="358"/>
        <v>0.25</v>
      </c>
      <c r="Z305" s="101">
        <f t="shared" si="359"/>
        <v>0.45000000000000007</v>
      </c>
      <c r="AA305" s="102">
        <f t="shared" si="360"/>
        <v>3.2050000000000001</v>
      </c>
      <c r="AB305" s="102">
        <f t="shared" si="361"/>
        <v>2.9828300320333372</v>
      </c>
      <c r="AC305" s="102">
        <v>0</v>
      </c>
      <c r="AD305" s="102">
        <f t="shared" si="362"/>
        <v>8.8972749999999989E-2</v>
      </c>
      <c r="AE305" s="103">
        <f t="shared" si="363"/>
        <v>8.8972749999999989E-2</v>
      </c>
      <c r="AF305" s="101">
        <f t="shared" si="364"/>
        <v>2.2349999999999999</v>
      </c>
      <c r="AG305" s="97">
        <f t="shared" si="365"/>
        <v>2.5832065829120214</v>
      </c>
      <c r="AH305" s="102">
        <f t="shared" si="366"/>
        <v>0.34581276003166689</v>
      </c>
      <c r="AI305" s="97">
        <f t="shared" si="367"/>
        <v>3.129</v>
      </c>
      <c r="AJ305" s="103">
        <f t="shared" si="368"/>
        <v>3.4748127600316669</v>
      </c>
      <c r="AK305" s="101">
        <f t="shared" si="369"/>
        <v>0.745</v>
      </c>
      <c r="AL305" s="102">
        <f t="shared" si="370"/>
        <v>1.4914150160166688</v>
      </c>
      <c r="AM305" s="102">
        <f t="shared" si="371"/>
        <v>0.25031999999999999</v>
      </c>
      <c r="AN305" s="102">
        <f t="shared" si="372"/>
        <v>0.75525000000000009</v>
      </c>
      <c r="AO305" s="103">
        <f t="shared" si="373"/>
        <v>1.0055700000000001</v>
      </c>
      <c r="AP305" s="99">
        <f t="shared" si="374"/>
        <v>0</v>
      </c>
      <c r="AQ305" s="102">
        <f t="shared" si="350"/>
        <v>8.7499999999999994E-2</v>
      </c>
      <c r="AR305" s="103">
        <f t="shared" si="375"/>
        <v>1.155E-2</v>
      </c>
      <c r="AS305" s="99">
        <f t="shared" si="376"/>
        <v>3.573862760031667</v>
      </c>
      <c r="AT305" s="215">
        <f t="shared" si="377"/>
        <v>239.43176560190003</v>
      </c>
      <c r="AU305" s="216">
        <f t="shared" si="378"/>
        <v>0.10558825807388893</v>
      </c>
      <c r="AV305" s="102">
        <f t="shared" si="379"/>
        <v>35.76</v>
      </c>
      <c r="AW305" s="103">
        <f t="shared" si="380"/>
        <v>90.91403053436396</v>
      </c>
      <c r="AX305" s="32"/>
      <c r="AY305" s="101">
        <f t="shared" si="351"/>
        <v>60</v>
      </c>
      <c r="AZ305" s="102">
        <f t="shared" si="381"/>
        <v>0.59599999999999997</v>
      </c>
      <c r="BA305" s="102">
        <f t="shared" si="352"/>
        <v>15</v>
      </c>
      <c r="BB305" s="103">
        <f t="shared" si="382"/>
        <v>2.98</v>
      </c>
      <c r="BC305" s="101">
        <f t="shared" si="383"/>
        <v>2</v>
      </c>
      <c r="BD305" s="102">
        <f t="shared" si="384"/>
        <v>0.75</v>
      </c>
      <c r="BE305" s="100">
        <f t="shared" si="385"/>
        <v>0.25</v>
      </c>
      <c r="BF305" s="101">
        <f t="shared" si="386"/>
        <v>0.45000000000000007</v>
      </c>
      <c r="BG305" s="102">
        <f t="shared" si="387"/>
        <v>3.2050000000000001</v>
      </c>
      <c r="BH305" s="102">
        <f t="shared" si="388"/>
        <v>2.9828300320333372</v>
      </c>
      <c r="BI305" s="102">
        <v>0</v>
      </c>
      <c r="BJ305" s="102">
        <f t="shared" si="389"/>
        <v>8.8972749999999989E-2</v>
      </c>
      <c r="BK305" s="103">
        <f t="shared" si="390"/>
        <v>8.8972749999999989E-2</v>
      </c>
      <c r="BL305" s="101">
        <f t="shared" si="391"/>
        <v>2.2349999999999999</v>
      </c>
      <c r="BM305" s="97">
        <f t="shared" si="392"/>
        <v>2.5832065829120214</v>
      </c>
      <c r="BN305" s="97">
        <f t="shared" si="393"/>
        <v>0.7045858266407703</v>
      </c>
      <c r="BO305" s="97">
        <f t="shared" si="394"/>
        <v>3.129</v>
      </c>
      <c r="BP305" s="103">
        <f t="shared" si="395"/>
        <v>3.8335858266407703</v>
      </c>
      <c r="BQ305" s="101">
        <f t="shared" si="396"/>
        <v>0.745</v>
      </c>
      <c r="BR305" s="102">
        <f t="shared" si="397"/>
        <v>1.4914150160166688</v>
      </c>
      <c r="BS305" s="102">
        <f t="shared" si="398"/>
        <v>0.25031999999999999</v>
      </c>
      <c r="BT305" s="102">
        <f t="shared" si="399"/>
        <v>0.75525000000000009</v>
      </c>
      <c r="BU305" s="103">
        <f t="shared" si="400"/>
        <v>1.0055700000000001</v>
      </c>
      <c r="BV305" s="99">
        <f t="shared" si="401"/>
        <v>0</v>
      </c>
      <c r="BW305" s="102">
        <f t="shared" si="353"/>
        <v>8.7499999999999994E-2</v>
      </c>
      <c r="BX305" s="103">
        <f t="shared" si="402"/>
        <v>1.155E-2</v>
      </c>
      <c r="BY305" s="101">
        <f t="shared" si="403"/>
        <v>5.0271785766407699</v>
      </c>
      <c r="BZ305" s="102">
        <f t="shared" si="404"/>
        <v>35.76</v>
      </c>
      <c r="CA305" s="103">
        <f t="shared" si="405"/>
        <v>87.674610620113143</v>
      </c>
      <c r="CB305" s="51">
        <f t="shared" si="406"/>
        <v>3.9326358266407704</v>
      </c>
      <c r="CC305" s="32">
        <f t="shared" si="407"/>
        <v>162.64225393242697</v>
      </c>
    </row>
    <row r="306" spans="17:81" ht="15" thickBot="1" x14ac:dyDescent="0.35">
      <c r="Q306" s="32">
        <v>299</v>
      </c>
      <c r="S306" s="101">
        <f t="shared" si="348"/>
        <v>60</v>
      </c>
      <c r="T306" s="97">
        <f t="shared" si="354"/>
        <v>0.59799999999999998</v>
      </c>
      <c r="U306" s="102">
        <f t="shared" si="349"/>
        <v>15</v>
      </c>
      <c r="V306" s="103">
        <f t="shared" si="355"/>
        <v>2.9899999999999998</v>
      </c>
      <c r="W306" s="101">
        <f t="shared" si="356"/>
        <v>2</v>
      </c>
      <c r="X306" s="102">
        <f t="shared" si="357"/>
        <v>0.75</v>
      </c>
      <c r="Y306" s="100">
        <f t="shared" si="358"/>
        <v>0.25</v>
      </c>
      <c r="Z306" s="101">
        <f t="shared" si="359"/>
        <v>0.45000000000000007</v>
      </c>
      <c r="AA306" s="102">
        <f t="shared" si="360"/>
        <v>3.2149999999999999</v>
      </c>
      <c r="AB306" s="102">
        <f t="shared" si="361"/>
        <v>2.992820575978453</v>
      </c>
      <c r="AC306" s="102">
        <v>0</v>
      </c>
      <c r="AD306" s="102">
        <f t="shared" si="362"/>
        <v>8.956974999999999E-2</v>
      </c>
      <c r="AE306" s="103">
        <f t="shared" si="363"/>
        <v>8.956974999999999E-2</v>
      </c>
      <c r="AF306" s="101">
        <f t="shared" si="364"/>
        <v>2.2424999999999997</v>
      </c>
      <c r="AG306" s="97">
        <f t="shared" si="365"/>
        <v>2.5918586477661161</v>
      </c>
      <c r="AH306" s="102">
        <f t="shared" si="366"/>
        <v>0.34813313585166678</v>
      </c>
      <c r="AI306" s="97">
        <f t="shared" si="367"/>
        <v>3.1394999999999995</v>
      </c>
      <c r="AJ306" s="103">
        <f t="shared" si="368"/>
        <v>3.4876331358516661</v>
      </c>
      <c r="AK306" s="101">
        <f t="shared" si="369"/>
        <v>0.74749999999999994</v>
      </c>
      <c r="AL306" s="102">
        <f t="shared" si="370"/>
        <v>1.4964102879892265</v>
      </c>
      <c r="AM306" s="102">
        <f t="shared" si="371"/>
        <v>0.25115999999999999</v>
      </c>
      <c r="AN306" s="102">
        <f t="shared" si="372"/>
        <v>0.75525000000000009</v>
      </c>
      <c r="AO306" s="103">
        <f t="shared" si="373"/>
        <v>1.00641</v>
      </c>
      <c r="AP306" s="99">
        <f t="shared" si="374"/>
        <v>0</v>
      </c>
      <c r="AQ306" s="102">
        <f t="shared" si="350"/>
        <v>8.7499999999999994E-2</v>
      </c>
      <c r="AR306" s="103">
        <f t="shared" si="375"/>
        <v>1.155E-2</v>
      </c>
      <c r="AS306" s="99">
        <f t="shared" si="376"/>
        <v>3.5866831358516662</v>
      </c>
      <c r="AT306" s="215">
        <f t="shared" si="377"/>
        <v>240.20098815109998</v>
      </c>
      <c r="AU306" s="216">
        <f t="shared" si="378"/>
        <v>0.10577603179380571</v>
      </c>
      <c r="AV306" s="102">
        <f t="shared" si="379"/>
        <v>35.879999999999995</v>
      </c>
      <c r="AW306" s="103">
        <f t="shared" si="380"/>
        <v>90.912124225120124</v>
      </c>
      <c r="AX306" s="32"/>
      <c r="AY306" s="101">
        <f t="shared" si="351"/>
        <v>60</v>
      </c>
      <c r="AZ306" s="102">
        <f t="shared" si="381"/>
        <v>0.59799999999999998</v>
      </c>
      <c r="BA306" s="102">
        <f t="shared" si="352"/>
        <v>15</v>
      </c>
      <c r="BB306" s="103">
        <f t="shared" si="382"/>
        <v>2.9899999999999998</v>
      </c>
      <c r="BC306" s="101">
        <f t="shared" si="383"/>
        <v>2</v>
      </c>
      <c r="BD306" s="102">
        <f t="shared" si="384"/>
        <v>0.75</v>
      </c>
      <c r="BE306" s="100">
        <f t="shared" si="385"/>
        <v>0.25</v>
      </c>
      <c r="BF306" s="101">
        <f t="shared" si="386"/>
        <v>0.45000000000000007</v>
      </c>
      <c r="BG306" s="102">
        <f t="shared" si="387"/>
        <v>3.2149999999999999</v>
      </c>
      <c r="BH306" s="102">
        <f t="shared" si="388"/>
        <v>2.992820575978453</v>
      </c>
      <c r="BI306" s="102">
        <v>0</v>
      </c>
      <c r="BJ306" s="102">
        <f t="shared" si="389"/>
        <v>8.956974999999999E-2</v>
      </c>
      <c r="BK306" s="103">
        <f t="shared" si="390"/>
        <v>8.956974999999999E-2</v>
      </c>
      <c r="BL306" s="101">
        <f t="shared" si="391"/>
        <v>2.2424999999999997</v>
      </c>
      <c r="BM306" s="97">
        <f t="shared" si="392"/>
        <v>2.5918586477661161</v>
      </c>
      <c r="BN306" s="97">
        <f t="shared" si="393"/>
        <v>0.71057495428224215</v>
      </c>
      <c r="BO306" s="97">
        <f t="shared" si="394"/>
        <v>3.1394999999999995</v>
      </c>
      <c r="BP306" s="103">
        <f t="shared" si="395"/>
        <v>3.8500749542822419</v>
      </c>
      <c r="BQ306" s="101">
        <f t="shared" si="396"/>
        <v>0.74749999999999994</v>
      </c>
      <c r="BR306" s="102">
        <f t="shared" si="397"/>
        <v>1.4964102879892265</v>
      </c>
      <c r="BS306" s="102">
        <f t="shared" si="398"/>
        <v>0.25115999999999999</v>
      </c>
      <c r="BT306" s="102">
        <f t="shared" si="399"/>
        <v>0.75525000000000009</v>
      </c>
      <c r="BU306" s="103">
        <f t="shared" si="400"/>
        <v>1.00641</v>
      </c>
      <c r="BV306" s="99">
        <f t="shared" si="401"/>
        <v>0</v>
      </c>
      <c r="BW306" s="102">
        <f t="shared" si="353"/>
        <v>8.7499999999999994E-2</v>
      </c>
      <c r="BX306" s="103">
        <f t="shared" si="402"/>
        <v>1.155E-2</v>
      </c>
      <c r="BY306" s="101">
        <f t="shared" si="403"/>
        <v>5.0451047042822417</v>
      </c>
      <c r="BZ306" s="102">
        <f t="shared" si="404"/>
        <v>35.879999999999995</v>
      </c>
      <c r="CA306" s="103">
        <f t="shared" si="405"/>
        <v>87.672347472933069</v>
      </c>
      <c r="CB306" s="51">
        <f t="shared" si="406"/>
        <v>3.949124954282242</v>
      </c>
      <c r="CC306" s="32">
        <f t="shared" si="407"/>
        <v>163.21937339987846</v>
      </c>
    </row>
    <row r="307" spans="17:81" ht="15" thickBot="1" x14ac:dyDescent="0.35">
      <c r="Q307" s="32">
        <v>300</v>
      </c>
      <c r="S307" s="101">
        <f t="shared" si="348"/>
        <v>60</v>
      </c>
      <c r="T307" s="97">
        <f t="shared" si="354"/>
        <v>0.6</v>
      </c>
      <c r="U307" s="102">
        <f t="shared" si="349"/>
        <v>15</v>
      </c>
      <c r="V307" s="103">
        <f t="shared" si="355"/>
        <v>3</v>
      </c>
      <c r="W307" s="101">
        <f t="shared" si="356"/>
        <v>2</v>
      </c>
      <c r="X307" s="102">
        <f t="shared" si="357"/>
        <v>0.75</v>
      </c>
      <c r="Y307" s="100">
        <f t="shared" si="358"/>
        <v>0.25</v>
      </c>
      <c r="Z307" s="101">
        <f t="shared" si="359"/>
        <v>0.45000000000000007</v>
      </c>
      <c r="AA307" s="102">
        <f t="shared" si="360"/>
        <v>3.2250000000000001</v>
      </c>
      <c r="AB307" s="102">
        <f t="shared" si="361"/>
        <v>3.0028111828751407</v>
      </c>
      <c r="AC307" s="102">
        <v>0</v>
      </c>
      <c r="AD307" s="102">
        <f t="shared" si="362"/>
        <v>9.016875000000002E-2</v>
      </c>
      <c r="AE307" s="103">
        <f t="shared" si="363"/>
        <v>9.016875000000002E-2</v>
      </c>
      <c r="AF307" s="101">
        <f t="shared" si="364"/>
        <v>2.25</v>
      </c>
      <c r="AG307" s="97">
        <f t="shared" si="365"/>
        <v>2.6005107671378713</v>
      </c>
      <c r="AH307" s="102">
        <f t="shared" si="366"/>
        <v>0.35046128512500008</v>
      </c>
      <c r="AI307" s="97">
        <f t="shared" si="367"/>
        <v>3.15</v>
      </c>
      <c r="AJ307" s="103">
        <f t="shared" si="368"/>
        <v>3.5004612851250001</v>
      </c>
      <c r="AK307" s="101">
        <f t="shared" si="369"/>
        <v>0.75</v>
      </c>
      <c r="AL307" s="102">
        <f t="shared" si="370"/>
        <v>1.5014055914375704</v>
      </c>
      <c r="AM307" s="102">
        <f t="shared" si="371"/>
        <v>0.252</v>
      </c>
      <c r="AN307" s="102">
        <f t="shared" si="372"/>
        <v>0.75525000000000009</v>
      </c>
      <c r="AO307" s="103">
        <f t="shared" si="373"/>
        <v>1.00725</v>
      </c>
      <c r="AP307" s="99">
        <f t="shared" si="374"/>
        <v>0</v>
      </c>
      <c r="AQ307" s="102">
        <f t="shared" si="350"/>
        <v>8.7499999999999994E-2</v>
      </c>
      <c r="AR307" s="103">
        <f t="shared" si="375"/>
        <v>1.155E-2</v>
      </c>
      <c r="AS307" s="99">
        <f t="shared" si="376"/>
        <v>3.5995112851250002</v>
      </c>
      <c r="AT307" s="215">
        <f t="shared" si="377"/>
        <v>240.97067710750002</v>
      </c>
      <c r="AU307" s="216">
        <f t="shared" si="378"/>
        <v>0.10596391936765859</v>
      </c>
      <c r="AV307" s="102">
        <f t="shared" si="379"/>
        <v>36</v>
      </c>
      <c r="AW307" s="103">
        <f t="shared" si="380"/>
        <v>90.910212857911958</v>
      </c>
      <c r="AX307" s="32"/>
      <c r="AY307" s="101">
        <f t="shared" si="351"/>
        <v>60</v>
      </c>
      <c r="AZ307" s="102">
        <f t="shared" si="381"/>
        <v>0.6</v>
      </c>
      <c r="BA307" s="102">
        <f t="shared" si="352"/>
        <v>15</v>
      </c>
      <c r="BB307" s="103">
        <f t="shared" si="382"/>
        <v>3</v>
      </c>
      <c r="BC307" s="101">
        <f t="shared" si="383"/>
        <v>2</v>
      </c>
      <c r="BD307" s="102">
        <f t="shared" si="384"/>
        <v>0.75</v>
      </c>
      <c r="BE307" s="100">
        <f t="shared" si="385"/>
        <v>0.25</v>
      </c>
      <c r="BF307" s="101">
        <f t="shared" si="386"/>
        <v>0.45000000000000007</v>
      </c>
      <c r="BG307" s="102">
        <f t="shared" si="387"/>
        <v>3.2250000000000001</v>
      </c>
      <c r="BH307" s="102">
        <f t="shared" si="388"/>
        <v>3.0028111828751407</v>
      </c>
      <c r="BI307" s="102">
        <v>0</v>
      </c>
      <c r="BJ307" s="102">
        <f t="shared" si="389"/>
        <v>9.016875000000002E-2</v>
      </c>
      <c r="BK307" s="103">
        <f t="shared" si="390"/>
        <v>9.016875000000002E-2</v>
      </c>
      <c r="BL307" s="101">
        <f t="shared" si="391"/>
        <v>2.25</v>
      </c>
      <c r="BM307" s="97">
        <f t="shared" si="392"/>
        <v>2.6005107671378713</v>
      </c>
      <c r="BN307" s="97">
        <f t="shared" si="393"/>
        <v>0.71659756158619237</v>
      </c>
      <c r="BO307" s="97">
        <f t="shared" si="394"/>
        <v>3.15</v>
      </c>
      <c r="BP307" s="103">
        <f t="shared" si="395"/>
        <v>3.8665975615861923</v>
      </c>
      <c r="BQ307" s="101">
        <f t="shared" si="396"/>
        <v>0.75</v>
      </c>
      <c r="BR307" s="102">
        <f t="shared" si="397"/>
        <v>1.5014055914375704</v>
      </c>
      <c r="BS307" s="102">
        <f t="shared" si="398"/>
        <v>0.252</v>
      </c>
      <c r="BT307" s="102">
        <f t="shared" si="399"/>
        <v>0.75525000000000009</v>
      </c>
      <c r="BU307" s="103">
        <f t="shared" si="400"/>
        <v>1.00725</v>
      </c>
      <c r="BV307" s="99">
        <f t="shared" si="401"/>
        <v>0</v>
      </c>
      <c r="BW307" s="102">
        <f t="shared" si="353"/>
        <v>8.7499999999999994E-2</v>
      </c>
      <c r="BX307" s="103">
        <f t="shared" si="402"/>
        <v>1.155E-2</v>
      </c>
      <c r="BY307" s="101">
        <f t="shared" si="403"/>
        <v>5.0630663115861925</v>
      </c>
      <c r="BZ307" s="102">
        <f t="shared" si="404"/>
        <v>36</v>
      </c>
      <c r="CA307" s="103">
        <f t="shared" si="405"/>
        <v>87.670023779598708</v>
      </c>
      <c r="CB307" s="51">
        <f t="shared" si="406"/>
        <v>3.9656475615861924</v>
      </c>
      <c r="CC307" s="32">
        <f t="shared" si="407"/>
        <v>163.79766465551674</v>
      </c>
    </row>
    <row r="308" spans="17:81" ht="15" thickBot="1" x14ac:dyDescent="0.35">
      <c r="Q308" s="32">
        <v>301</v>
      </c>
      <c r="S308" s="101">
        <f t="shared" si="348"/>
        <v>60</v>
      </c>
      <c r="T308" s="97">
        <f t="shared" si="354"/>
        <v>0.60199999999999998</v>
      </c>
      <c r="U308" s="102">
        <f t="shared" si="349"/>
        <v>15</v>
      </c>
      <c r="V308" s="103">
        <f t="shared" si="355"/>
        <v>3.01</v>
      </c>
      <c r="W308" s="101">
        <f t="shared" si="356"/>
        <v>2</v>
      </c>
      <c r="X308" s="102">
        <f t="shared" si="357"/>
        <v>0.75</v>
      </c>
      <c r="Y308" s="100">
        <f t="shared" si="358"/>
        <v>0.25</v>
      </c>
      <c r="Z308" s="101">
        <f t="shared" si="359"/>
        <v>0.45000000000000007</v>
      </c>
      <c r="AA308" s="102">
        <f t="shared" si="360"/>
        <v>3.2349999999999999</v>
      </c>
      <c r="AB308" s="102">
        <f t="shared" si="361"/>
        <v>3.0128018520971471</v>
      </c>
      <c r="AC308" s="102">
        <v>0</v>
      </c>
      <c r="AD308" s="102">
        <f t="shared" si="362"/>
        <v>9.0769749999999996E-2</v>
      </c>
      <c r="AE308" s="103">
        <f t="shared" si="363"/>
        <v>9.0769749999999996E-2</v>
      </c>
      <c r="AF308" s="101">
        <f t="shared" si="364"/>
        <v>2.2574999999999998</v>
      </c>
      <c r="AG308" s="97">
        <f t="shared" si="365"/>
        <v>2.6091629404849366</v>
      </c>
      <c r="AH308" s="102">
        <f t="shared" si="366"/>
        <v>0.35279720785166679</v>
      </c>
      <c r="AI308" s="97">
        <f t="shared" si="367"/>
        <v>3.1604999999999999</v>
      </c>
      <c r="AJ308" s="103">
        <f t="shared" si="368"/>
        <v>3.5132972078516667</v>
      </c>
      <c r="AK308" s="101">
        <f t="shared" si="369"/>
        <v>0.75249999999999995</v>
      </c>
      <c r="AL308" s="102">
        <f t="shared" si="370"/>
        <v>1.5064009260485736</v>
      </c>
      <c r="AM308" s="102">
        <f t="shared" si="371"/>
        <v>0.25284000000000001</v>
      </c>
      <c r="AN308" s="102">
        <f t="shared" si="372"/>
        <v>0.75525000000000009</v>
      </c>
      <c r="AO308" s="103">
        <f t="shared" si="373"/>
        <v>1.0080900000000002</v>
      </c>
      <c r="AP308" s="99">
        <f t="shared" si="374"/>
        <v>0</v>
      </c>
      <c r="AQ308" s="102">
        <f t="shared" si="350"/>
        <v>8.7499999999999994E-2</v>
      </c>
      <c r="AR308" s="103">
        <f t="shared" si="375"/>
        <v>1.155E-2</v>
      </c>
      <c r="AS308" s="99">
        <f t="shared" si="376"/>
        <v>3.6123472078516667</v>
      </c>
      <c r="AT308" s="215">
        <f t="shared" si="377"/>
        <v>241.74083247109999</v>
      </c>
      <c r="AU308" s="216">
        <f t="shared" si="378"/>
        <v>0.10615192079544751</v>
      </c>
      <c r="AV308" s="102">
        <f t="shared" si="379"/>
        <v>36.119999999999997</v>
      </c>
      <c r="AW308" s="103">
        <f t="shared" si="380"/>
        <v>90.908296484588718</v>
      </c>
      <c r="AX308" s="32"/>
      <c r="AY308" s="101">
        <f t="shared" si="351"/>
        <v>60</v>
      </c>
      <c r="AZ308" s="102">
        <f t="shared" si="381"/>
        <v>0.60199999999999998</v>
      </c>
      <c r="BA308" s="102">
        <f t="shared" si="352"/>
        <v>15</v>
      </c>
      <c r="BB308" s="103">
        <f t="shared" si="382"/>
        <v>3.01</v>
      </c>
      <c r="BC308" s="101">
        <f t="shared" si="383"/>
        <v>2</v>
      </c>
      <c r="BD308" s="102">
        <f t="shared" si="384"/>
        <v>0.75</v>
      </c>
      <c r="BE308" s="100">
        <f t="shared" si="385"/>
        <v>0.25</v>
      </c>
      <c r="BF308" s="101">
        <f t="shared" si="386"/>
        <v>0.45000000000000007</v>
      </c>
      <c r="BG308" s="102">
        <f t="shared" si="387"/>
        <v>3.2349999999999999</v>
      </c>
      <c r="BH308" s="102">
        <f t="shared" si="388"/>
        <v>3.0128018520971471</v>
      </c>
      <c r="BI308" s="102">
        <v>0</v>
      </c>
      <c r="BJ308" s="102">
        <f t="shared" si="389"/>
        <v>9.0769749999999996E-2</v>
      </c>
      <c r="BK308" s="103">
        <f t="shared" si="390"/>
        <v>9.0769749999999996E-2</v>
      </c>
      <c r="BL308" s="101">
        <f t="shared" si="391"/>
        <v>2.2574999999999998</v>
      </c>
      <c r="BM308" s="97">
        <f t="shared" si="392"/>
        <v>2.6091629404849366</v>
      </c>
      <c r="BN308" s="97">
        <f t="shared" si="393"/>
        <v>0.72265374844669295</v>
      </c>
      <c r="BO308" s="97">
        <f t="shared" si="394"/>
        <v>3.1604999999999999</v>
      </c>
      <c r="BP308" s="103">
        <f t="shared" si="395"/>
        <v>3.8831537484466927</v>
      </c>
      <c r="BQ308" s="101">
        <f t="shared" si="396"/>
        <v>0.75249999999999995</v>
      </c>
      <c r="BR308" s="102">
        <f t="shared" si="397"/>
        <v>1.5064009260485736</v>
      </c>
      <c r="BS308" s="102">
        <f t="shared" si="398"/>
        <v>0.25284000000000001</v>
      </c>
      <c r="BT308" s="102">
        <f t="shared" si="399"/>
        <v>0.75525000000000009</v>
      </c>
      <c r="BU308" s="103">
        <f t="shared" si="400"/>
        <v>1.0080900000000002</v>
      </c>
      <c r="BV308" s="99">
        <f t="shared" si="401"/>
        <v>0</v>
      </c>
      <c r="BW308" s="102">
        <f t="shared" si="353"/>
        <v>8.7499999999999994E-2</v>
      </c>
      <c r="BX308" s="103">
        <f t="shared" si="402"/>
        <v>1.155E-2</v>
      </c>
      <c r="BY308" s="101">
        <f t="shared" si="403"/>
        <v>5.0810634984466923</v>
      </c>
      <c r="BZ308" s="102">
        <f t="shared" si="404"/>
        <v>36.119999999999997</v>
      </c>
      <c r="CA308" s="103">
        <f t="shared" si="405"/>
        <v>87.667639941774198</v>
      </c>
      <c r="CB308" s="51">
        <f t="shared" si="406"/>
        <v>3.9822037484466928</v>
      </c>
      <c r="CC308" s="32">
        <f t="shared" si="407"/>
        <v>164.37713119563423</v>
      </c>
    </row>
    <row r="309" spans="17:81" s="32" customFormat="1" ht="15" thickBot="1" x14ac:dyDescent="0.35">
      <c r="Q309" s="32">
        <v>302</v>
      </c>
      <c r="S309" s="101">
        <f t="shared" si="348"/>
        <v>60</v>
      </c>
      <c r="T309" s="97">
        <f t="shared" ref="T309" si="408">Q309*$O$12</f>
        <v>0.60399999999999998</v>
      </c>
      <c r="U309" s="102">
        <f t="shared" si="349"/>
        <v>15</v>
      </c>
      <c r="V309" s="103">
        <f t="shared" ref="V309" si="409">(S309*T309)/(U309*EFF_est)</f>
        <v>3.02</v>
      </c>
      <c r="W309" s="101">
        <f t="shared" ref="W309" si="410">IF((T309*S309/U309)&lt;((U309*(1-(U309/S309)))/(2*Lm*Fsw)),1,2)</f>
        <v>2</v>
      </c>
      <c r="X309" s="102">
        <f t="shared" ref="X309" si="411">CHOOSE(W309,SQRT((2*T309*Lm*Fsw*(S309-U309))/((U309)^2)),1-(U309/S309))</f>
        <v>0.75</v>
      </c>
      <c r="Y309" s="100">
        <f t="shared" ref="Y309" si="412">CHOOSE(W309,(Lm*AA309*Fsw)/(S309-U309),1-X309)</f>
        <v>0.25</v>
      </c>
      <c r="Z309" s="101">
        <f t="shared" ref="Z309" si="413">(U309*X309)/(Lm*Fsw)</f>
        <v>0.45000000000000007</v>
      </c>
      <c r="AA309" s="102">
        <f t="shared" ref="AA309" si="414">CHOOSE(W309,Z309,V309+(0.5*Z309))</f>
        <v>3.2450000000000001</v>
      </c>
      <c r="AB309" s="102">
        <f t="shared" ref="AB309" si="415">CHOOSE(W309,AA309*SQRT((X309+Y309)/3),SQRT((V309^2)+((Z309^2)/12)))</f>
        <v>3.0227925830264968</v>
      </c>
      <c r="AC309" s="102">
        <v>0</v>
      </c>
      <c r="AD309" s="102">
        <f t="shared" ref="AD309" si="416">(AB309^2)*Rdcr</f>
        <v>9.1372750000000003E-2</v>
      </c>
      <c r="AE309" s="103">
        <f t="shared" ref="AE309" si="417">AC309+AD309</f>
        <v>9.1372750000000003E-2</v>
      </c>
      <c r="AF309" s="101">
        <f t="shared" ref="AF309" si="418">V309*X309</f>
        <v>2.2650000000000001</v>
      </c>
      <c r="AG309" s="97">
        <f t="shared" ref="AG309" si="419">CHOOSE(W309,AA309*SQRT(X309/3),SQRT(X309*((AA309^2)+((Z309^2)/3)-(AA309*Z309))))</f>
        <v>2.6178151672721279</v>
      </c>
      <c r="AH309" s="102">
        <f t="shared" ref="AH309" si="420">(AG309^2)*RDS_on</f>
        <v>0.3551409040316667</v>
      </c>
      <c r="AI309" s="97">
        <f t="shared" ref="AI309" si="421">((S309*V309)/2)*Fsw*(tr_sw_fix+tf_sw_fix)</f>
        <v>3.1709999999999998</v>
      </c>
      <c r="AJ309" s="103">
        <f t="shared" ref="AJ309" si="422">AH309+AI309</f>
        <v>3.5261409040316667</v>
      </c>
      <c r="AK309" s="101">
        <f t="shared" ref="AK309" si="423">Y309*V309</f>
        <v>0.755</v>
      </c>
      <c r="AL309" s="102">
        <f t="shared" ref="AL309" si="424">CHOOSE(W309,AA309*SQRT(Y309/3),SQRT(Y309*((AA309^2)+((Z309^2)/3)-(Z309*AA309))))</f>
        <v>1.5113962915132484</v>
      </c>
      <c r="AM309" s="102">
        <f t="shared" ref="AM309" si="425">T309*Vd_rect</f>
        <v>0.25367999999999996</v>
      </c>
      <c r="AN309" s="102">
        <f t="shared" ref="AN309" si="426">CHOOSE(W309,(S309+Vd_rect)*Qrr*Fsw,(S309+Vd_rect)*Qrr*Fsw)</f>
        <v>0.75525000000000009</v>
      </c>
      <c r="AO309" s="103">
        <f t="shared" ref="AO309" si="427">AM309+AN309</f>
        <v>1.0089300000000001</v>
      </c>
      <c r="AP309" s="99">
        <f t="shared" ref="AP309" si="428">(AG309^2)*0</f>
        <v>0</v>
      </c>
      <c r="AQ309" s="102">
        <f t="shared" si="350"/>
        <v>8.7499999999999994E-2</v>
      </c>
      <c r="AR309" s="103">
        <f t="shared" ref="AR309" si="429">IQ*U309</f>
        <v>1.155E-2</v>
      </c>
      <c r="AS309" s="99">
        <f t="shared" ref="AS309" si="430">AP309+AJ309+AQ309+AR309</f>
        <v>3.6251909040316668</v>
      </c>
      <c r="AT309" s="215">
        <f t="shared" ref="AT309" si="431">Ta+Tk*AS309</f>
        <v>242.5114542419</v>
      </c>
      <c r="AU309" s="216">
        <f t="shared" ref="AU309" si="432">RDS_on/51.8*(47.12+AT309*0.244)</f>
        <v>0.10634003607717253</v>
      </c>
      <c r="AV309" s="102">
        <f t="shared" ref="AV309" si="433">S309*T309</f>
        <v>36.24</v>
      </c>
      <c r="AW309" s="103">
        <f t="shared" ref="AW309" si="434">(AV309/(AV309+AS309))*100</f>
        <v>90.906375156314525</v>
      </c>
      <c r="AY309" s="101">
        <f t="shared" si="351"/>
        <v>60</v>
      </c>
      <c r="AZ309" s="102">
        <f t="shared" ref="AZ309" si="435">Q309*$O$12</f>
        <v>0.60399999999999998</v>
      </c>
      <c r="BA309" s="102">
        <f t="shared" si="352"/>
        <v>15</v>
      </c>
      <c r="BB309" s="103">
        <f t="shared" ref="BB309" si="436">(AY309*AZ309)/(BA309*EFF_est)</f>
        <v>3.02</v>
      </c>
      <c r="BC309" s="101">
        <f t="shared" ref="BC309" si="437">IF((AZ309*AY309/BA309)&lt;((BA309*(1-(BA309/AY309)))/(2*Lm*Fsw)),1,2)</f>
        <v>2</v>
      </c>
      <c r="BD309" s="102">
        <f t="shared" ref="BD309" si="438">CHOOSE(BC309,SQRT((2*AZ309*Lm*Fsw*(AY309-BA309))/((BA309)^2)),1-(BA309/AY309))</f>
        <v>0.75</v>
      </c>
      <c r="BE309" s="100">
        <f t="shared" ref="BE309" si="439">CHOOSE(BC309,(Lm*BG309*Fsw)/(AY309-BA309),1-BD309)</f>
        <v>0.25</v>
      </c>
      <c r="BF309" s="101">
        <f t="shared" ref="BF309" si="440">(BA309*BD309)/(Lm*Fsw)</f>
        <v>0.45000000000000007</v>
      </c>
      <c r="BG309" s="102">
        <f t="shared" ref="BG309" si="441">CHOOSE(BC309,BF309,BB309+(0.5*BF309))</f>
        <v>3.2450000000000001</v>
      </c>
      <c r="BH309" s="102">
        <f t="shared" ref="BH309" si="442">CHOOSE(BC309,BG309*SQRT((BD309+BE309)/3),SQRT((BB309^2)+((BF309^2)/12)))</f>
        <v>3.0227925830264968</v>
      </c>
      <c r="BI309" s="102">
        <v>0</v>
      </c>
      <c r="BJ309" s="102">
        <f t="shared" ref="BJ309" si="443">(BH309^2)*Rdcr</f>
        <v>9.1372750000000003E-2</v>
      </c>
      <c r="BK309" s="103">
        <f t="shared" ref="BK309" si="444">BI309+BJ309</f>
        <v>9.1372750000000003E-2</v>
      </c>
      <c r="BL309" s="101">
        <f t="shared" ref="BL309" si="445">BB309*BD309</f>
        <v>2.2650000000000001</v>
      </c>
      <c r="BM309" s="97">
        <f t="shared" ref="BM309" si="446">CHOOSE(BC309,BG309*SQRT(BD309/3),SQRT(BD309*((BG309^2)+((BF309^2)/3)-(BG309*BF309))))</f>
        <v>2.6178151672721279</v>
      </c>
      <c r="BN309" s="97">
        <f t="shared" ref="BN309" si="447">(BM309^2)*AU309</f>
        <v>0.72874361486028494</v>
      </c>
      <c r="BO309" s="97">
        <f t="shared" ref="BO309" si="448">((AY309*BB309)/2)*Fsw*(tr_sw_fix+tf_sw_fix)</f>
        <v>3.1709999999999998</v>
      </c>
      <c r="BP309" s="103">
        <f t="shared" ref="BP309" si="449">BN309+BO309</f>
        <v>3.8997436148602849</v>
      </c>
      <c r="BQ309" s="101">
        <f t="shared" ref="BQ309" si="450">BE309*BB309</f>
        <v>0.755</v>
      </c>
      <c r="BR309" s="102">
        <f t="shared" ref="BR309" si="451">CHOOSE(BC309,BG309*SQRT(BE309/3),SQRT(BE309*((BG309^2)+((BF309^2)/3)-(BF309*BG309))))</f>
        <v>1.5113962915132484</v>
      </c>
      <c r="BS309" s="102">
        <f t="shared" ref="BS309" si="452">AZ309*Vd_rect</f>
        <v>0.25367999999999996</v>
      </c>
      <c r="BT309" s="102">
        <f t="shared" ref="BT309" si="453">CHOOSE(BC309,(AY309+Vd_rect)*Qrr*Fsw,(AY309+Vd_rect)*Qrr*Fsw)</f>
        <v>0.75525000000000009</v>
      </c>
      <c r="BU309" s="103">
        <f t="shared" ref="BU309" si="454">BS309+BT309</f>
        <v>1.0089300000000001</v>
      </c>
      <c r="BV309" s="99">
        <f t="shared" ref="BV309" si="455">(BM309^2)*0</f>
        <v>0</v>
      </c>
      <c r="BW309" s="102">
        <f t="shared" si="353"/>
        <v>8.7499999999999994E-2</v>
      </c>
      <c r="BX309" s="103">
        <f t="shared" ref="BX309" si="456">IQ*BA309</f>
        <v>1.155E-2</v>
      </c>
      <c r="BY309" s="101">
        <f t="shared" ref="BY309" si="457">BV309+BU309+BP309+BK309+BW309+BX309</f>
        <v>5.0990963648602845</v>
      </c>
      <c r="BZ309" s="102">
        <f t="shared" ref="BZ309" si="458">AY309*AZ309</f>
        <v>36.24</v>
      </c>
      <c r="CA309" s="103">
        <f t="shared" ref="CA309" si="459">(BZ309/(BZ309+BY309))*100</f>
        <v>87.665196355877043</v>
      </c>
      <c r="CB309" s="51">
        <f t="shared" ref="CB309" si="460">BP309+BW309+BX309+BV309</f>
        <v>3.998793614860285</v>
      </c>
      <c r="CC309" s="32">
        <f t="shared" ref="CC309" si="461">Ta+Tk_f*CB309</f>
        <v>164.95777652010997</v>
      </c>
    </row>
    <row r="310" spans="17:81" s="32" customFormat="1" ht="15" thickBot="1" x14ac:dyDescent="0.35">
      <c r="Q310" s="32">
        <v>303</v>
      </c>
      <c r="S310" s="101">
        <f t="shared" si="348"/>
        <v>60</v>
      </c>
      <c r="T310" s="97">
        <f t="shared" ref="T310:T325" si="462">Q310*$O$12</f>
        <v>0.60599999999999998</v>
      </c>
      <c r="U310" s="102">
        <f t="shared" si="349"/>
        <v>15</v>
      </c>
      <c r="V310" s="103">
        <f t="shared" ref="V310:V325" si="463">(S310*T310)/(U310*EFF_est)</f>
        <v>3.03</v>
      </c>
      <c r="W310" s="101">
        <f t="shared" ref="W310:W325" si="464">IF((T310*S310/U310)&lt;((U310*(1-(U310/S310)))/(2*Lm*Fsw)),1,2)</f>
        <v>2</v>
      </c>
      <c r="X310" s="102">
        <f t="shared" ref="X310:X325" si="465">CHOOSE(W310,SQRT((2*T310*Lm*Fsw*(S310-U310))/((U310)^2)),1-(U310/S310))</f>
        <v>0.75</v>
      </c>
      <c r="Y310" s="100">
        <f t="shared" ref="Y310:Y325" si="466">CHOOSE(W310,(Lm*AA310*Fsw)/(S310-U310),1-X310)</f>
        <v>0.25</v>
      </c>
      <c r="Z310" s="101">
        <f t="shared" ref="Z310:Z325" si="467">(U310*X310)/(Lm*Fsw)</f>
        <v>0.45000000000000007</v>
      </c>
      <c r="AA310" s="102">
        <f t="shared" ref="AA310:AA325" si="468">CHOOSE(W310,Z310,V310+(0.5*Z310))</f>
        <v>3.2549999999999999</v>
      </c>
      <c r="AB310" s="102">
        <f t="shared" ref="AB310:AB325" si="469">CHOOSE(W310,AA310*SQRT((X310+Y310)/3),SQRT((V310^2)+((Z310^2)/12)))</f>
        <v>3.0327833750533517</v>
      </c>
      <c r="AC310" s="102">
        <v>0</v>
      </c>
      <c r="AD310" s="102">
        <f t="shared" ref="AD310:AD325" si="470">(AB310^2)*Rdcr</f>
        <v>9.1977749999999983E-2</v>
      </c>
      <c r="AE310" s="103">
        <f t="shared" ref="AE310:AE325" si="471">AC310+AD310</f>
        <v>9.1977749999999983E-2</v>
      </c>
      <c r="AF310" s="101">
        <f t="shared" ref="AF310:AF325" si="472">V310*X310</f>
        <v>2.2725</v>
      </c>
      <c r="AG310" s="97">
        <f t="shared" ref="AG310:AG325" si="473">CHOOSE(W310,AA310*SQRT(X310/3),SQRT(X310*((AA310^2)+((Z310^2)/3)-(AA310*Z310))))</f>
        <v>2.6264674469713118</v>
      </c>
      <c r="AH310" s="102">
        <f t="shared" ref="AH310:AH325" si="474">(AG310^2)*RDS_on</f>
        <v>0.35749237366500014</v>
      </c>
      <c r="AI310" s="97">
        <f t="shared" ref="AI310:AI325" si="475">((S310*V310)/2)*Fsw*(tr_sw_fix+tf_sw_fix)</f>
        <v>3.1814999999999993</v>
      </c>
      <c r="AJ310" s="103">
        <f t="shared" ref="AJ310:AJ325" si="476">AH310+AI310</f>
        <v>3.5389923736649993</v>
      </c>
      <c r="AK310" s="101">
        <f t="shared" ref="AK310:AK325" si="477">Y310*V310</f>
        <v>0.75749999999999995</v>
      </c>
      <c r="AL310" s="102">
        <f t="shared" ref="AL310:AL325" si="478">CHOOSE(W310,AA310*SQRT(Y310/3),SQRT(Y310*((AA310^2)+((Z310^2)/3)-(Z310*AA310))))</f>
        <v>1.5163916875266759</v>
      </c>
      <c r="AM310" s="102">
        <f t="shared" ref="AM310:AM325" si="479">T310*Vd_rect</f>
        <v>0.25451999999999997</v>
      </c>
      <c r="AN310" s="102">
        <f t="shared" ref="AN310:AN325" si="480">CHOOSE(W310,(S310+Vd_rect)*Qrr*Fsw,(S310+Vd_rect)*Qrr*Fsw)</f>
        <v>0.75525000000000009</v>
      </c>
      <c r="AO310" s="103">
        <f t="shared" ref="AO310:AO325" si="481">AM310+AN310</f>
        <v>1.0097700000000001</v>
      </c>
      <c r="AP310" s="99">
        <f t="shared" ref="AP310:AP325" si="482">(AG310^2)*0</f>
        <v>0</v>
      </c>
      <c r="AQ310" s="102">
        <f t="shared" si="350"/>
        <v>8.7499999999999994E-2</v>
      </c>
      <c r="AR310" s="103">
        <f t="shared" ref="AR310:AR325" si="483">IQ*U310</f>
        <v>1.155E-2</v>
      </c>
      <c r="AS310" s="99">
        <f t="shared" ref="AS310:AS325" si="484">AP310+AJ310+AQ310+AR310</f>
        <v>3.6380423736649994</v>
      </c>
      <c r="AT310" s="215">
        <f t="shared" ref="AT310:AT325" si="485">Ta+Tk*AS310</f>
        <v>243.28254241989995</v>
      </c>
      <c r="AU310" s="216">
        <f t="shared" ref="AU310:AU325" si="486">RDS_on/51.8*(47.12+AT310*0.244)</f>
        <v>0.10652826521283361</v>
      </c>
      <c r="AV310" s="102">
        <f t="shared" ref="AV310:AV325" si="487">S310*T310</f>
        <v>36.36</v>
      </c>
      <c r="AW310" s="103">
        <f t="shared" ref="AW310:AW325" si="488">(AV310/(AV310+AS310))*100</f>
        <v>90.904448923579523</v>
      </c>
      <c r="AY310" s="101">
        <f t="shared" si="351"/>
        <v>60</v>
      </c>
      <c r="AZ310" s="102">
        <f t="shared" ref="AZ310:AZ325" si="489">Q310*$O$12</f>
        <v>0.60599999999999998</v>
      </c>
      <c r="BA310" s="102">
        <f t="shared" si="352"/>
        <v>15</v>
      </c>
      <c r="BB310" s="103">
        <f t="shared" ref="BB310:BB325" si="490">(AY310*AZ310)/(BA310*EFF_est)</f>
        <v>3.03</v>
      </c>
      <c r="BC310" s="101">
        <f t="shared" ref="BC310:BC325" si="491">IF((AZ310*AY310/BA310)&lt;((BA310*(1-(BA310/AY310)))/(2*Lm*Fsw)),1,2)</f>
        <v>2</v>
      </c>
      <c r="BD310" s="102">
        <f t="shared" ref="BD310:BD325" si="492">CHOOSE(BC310,SQRT((2*AZ310*Lm*Fsw*(AY310-BA310))/((BA310)^2)),1-(BA310/AY310))</f>
        <v>0.75</v>
      </c>
      <c r="BE310" s="100">
        <f t="shared" ref="BE310:BE325" si="493">CHOOSE(BC310,(Lm*BG310*Fsw)/(AY310-BA310),1-BD310)</f>
        <v>0.25</v>
      </c>
      <c r="BF310" s="101">
        <f t="shared" ref="BF310:BF325" si="494">(BA310*BD310)/(Lm*Fsw)</f>
        <v>0.45000000000000007</v>
      </c>
      <c r="BG310" s="102">
        <f t="shared" ref="BG310:BG325" si="495">CHOOSE(BC310,BF310,BB310+(0.5*BF310))</f>
        <v>3.2549999999999999</v>
      </c>
      <c r="BH310" s="102">
        <f t="shared" ref="BH310:BH325" si="496">CHOOSE(BC310,BG310*SQRT((BD310+BE310)/3),SQRT((BB310^2)+((BF310^2)/12)))</f>
        <v>3.0327833750533517</v>
      </c>
      <c r="BI310" s="102">
        <v>0</v>
      </c>
      <c r="BJ310" s="102">
        <f t="shared" ref="BJ310:BJ325" si="497">(BH310^2)*Rdcr</f>
        <v>9.1977749999999983E-2</v>
      </c>
      <c r="BK310" s="103">
        <f t="shared" ref="BK310:BK325" si="498">BI310+BJ310</f>
        <v>9.1977749999999983E-2</v>
      </c>
      <c r="BL310" s="101">
        <f t="shared" ref="BL310:BL325" si="499">BB310*BD310</f>
        <v>2.2725</v>
      </c>
      <c r="BM310" s="97">
        <f t="shared" ref="BM310:BM325" si="500">CHOOSE(BC310,BG310*SQRT(BD310/3),SQRT(BD310*((BG310^2)+((BF310^2)/3)-(BG310*BF310))))</f>
        <v>2.6264674469713118</v>
      </c>
      <c r="BN310" s="97">
        <f t="shared" ref="BN310:BN325" si="501">(BM310^2)*AU310</f>
        <v>0.73486726092597809</v>
      </c>
      <c r="BO310" s="97">
        <f t="shared" ref="BO310:BO325" si="502">((AY310*BB310)/2)*Fsw*(tr_sw_fix+tf_sw_fix)</f>
        <v>3.1814999999999993</v>
      </c>
      <c r="BP310" s="103">
        <f t="shared" ref="BP310:BP325" si="503">BN310+BO310</f>
        <v>3.9163672609259774</v>
      </c>
      <c r="BQ310" s="101">
        <f t="shared" ref="BQ310:BQ325" si="504">BE310*BB310</f>
        <v>0.75749999999999995</v>
      </c>
      <c r="BR310" s="102">
        <f t="shared" ref="BR310:BR325" si="505">CHOOSE(BC310,BG310*SQRT(BE310/3),SQRT(BE310*((BG310^2)+((BF310^2)/3)-(BF310*BG310))))</f>
        <v>1.5163916875266759</v>
      </c>
      <c r="BS310" s="102">
        <f t="shared" ref="BS310:BS325" si="506">AZ310*Vd_rect</f>
        <v>0.25451999999999997</v>
      </c>
      <c r="BT310" s="102">
        <f t="shared" ref="BT310:BT325" si="507">CHOOSE(BC310,(AY310+Vd_rect)*Qrr*Fsw,(AY310+Vd_rect)*Qrr*Fsw)</f>
        <v>0.75525000000000009</v>
      </c>
      <c r="BU310" s="103">
        <f t="shared" ref="BU310:BU325" si="508">BS310+BT310</f>
        <v>1.0097700000000001</v>
      </c>
      <c r="BV310" s="99">
        <f t="shared" ref="BV310:BV325" si="509">(BM310^2)*0</f>
        <v>0</v>
      </c>
      <c r="BW310" s="102">
        <f t="shared" si="353"/>
        <v>8.7499999999999994E-2</v>
      </c>
      <c r="BX310" s="103">
        <f t="shared" ref="BX310:BX325" si="510">IQ*BA310</f>
        <v>1.155E-2</v>
      </c>
      <c r="BY310" s="101">
        <f t="shared" ref="BY310:BY325" si="511">BV310+BU310+BP310+BK310+BW310+BX310</f>
        <v>5.1171650109259774</v>
      </c>
      <c r="BZ310" s="102">
        <f t="shared" ref="BZ310:BZ325" si="512">AY310*AZ310</f>
        <v>36.36</v>
      </c>
      <c r="CA310" s="103">
        <f t="shared" ref="CA310:CA325" si="513">(BZ310/(BZ310+BY310))*100</f>
        <v>87.662693413163581</v>
      </c>
      <c r="CB310" s="51">
        <f t="shared" ref="CB310:CB325" si="514">BP310+BW310+BX310+BV310</f>
        <v>4.0154172609259771</v>
      </c>
      <c r="CC310" s="32">
        <f t="shared" ref="CC310:CC325" si="515">Ta+Tk_f*CB310</f>
        <v>165.53960413240921</v>
      </c>
    </row>
    <row r="311" spans="17:81" s="32" customFormat="1" ht="15" thickBot="1" x14ac:dyDescent="0.35">
      <c r="Q311" s="32">
        <v>304</v>
      </c>
      <c r="S311" s="101">
        <f t="shared" si="348"/>
        <v>60</v>
      </c>
      <c r="T311" s="97">
        <f t="shared" si="462"/>
        <v>0.60799999999999998</v>
      </c>
      <c r="U311" s="102">
        <f t="shared" si="349"/>
        <v>15</v>
      </c>
      <c r="V311" s="103">
        <f t="shared" si="463"/>
        <v>3.0399999999999996</v>
      </c>
      <c r="W311" s="101">
        <f t="shared" si="464"/>
        <v>2</v>
      </c>
      <c r="X311" s="102">
        <f t="shared" si="465"/>
        <v>0.75</v>
      </c>
      <c r="Y311" s="100">
        <f t="shared" si="466"/>
        <v>0.25</v>
      </c>
      <c r="Z311" s="101">
        <f t="shared" si="467"/>
        <v>0.45000000000000007</v>
      </c>
      <c r="AA311" s="102">
        <f t="shared" si="468"/>
        <v>3.2649999999999997</v>
      </c>
      <c r="AB311" s="102">
        <f t="shared" si="469"/>
        <v>3.0427742275758809</v>
      </c>
      <c r="AC311" s="102">
        <v>0</v>
      </c>
      <c r="AD311" s="102">
        <f t="shared" si="470"/>
        <v>9.2584749999999993E-2</v>
      </c>
      <c r="AE311" s="103">
        <f t="shared" si="471"/>
        <v>9.2584749999999993E-2</v>
      </c>
      <c r="AF311" s="101">
        <f t="shared" si="472"/>
        <v>2.2799999999999998</v>
      </c>
      <c r="AG311" s="97">
        <f t="shared" si="473"/>
        <v>2.6351197790612857</v>
      </c>
      <c r="AH311" s="102">
        <f t="shared" si="474"/>
        <v>0.35985161675166671</v>
      </c>
      <c r="AI311" s="97">
        <f t="shared" si="475"/>
        <v>3.1919999999999993</v>
      </c>
      <c r="AJ311" s="103">
        <f t="shared" si="476"/>
        <v>3.5518516167516658</v>
      </c>
      <c r="AK311" s="101">
        <f t="shared" si="477"/>
        <v>0.7599999999999999</v>
      </c>
      <c r="AL311" s="102">
        <f t="shared" si="478"/>
        <v>1.5213871137879404</v>
      </c>
      <c r="AM311" s="102">
        <f t="shared" si="479"/>
        <v>0.25535999999999998</v>
      </c>
      <c r="AN311" s="102">
        <f t="shared" si="480"/>
        <v>0.75525000000000009</v>
      </c>
      <c r="AO311" s="103">
        <f t="shared" si="481"/>
        <v>1.01061</v>
      </c>
      <c r="AP311" s="99">
        <f t="shared" si="482"/>
        <v>0</v>
      </c>
      <c r="AQ311" s="102">
        <f t="shared" si="350"/>
        <v>8.7499999999999994E-2</v>
      </c>
      <c r="AR311" s="103">
        <f t="shared" si="483"/>
        <v>1.155E-2</v>
      </c>
      <c r="AS311" s="99">
        <f t="shared" si="484"/>
        <v>3.6509016167516659</v>
      </c>
      <c r="AT311" s="215">
        <f t="shared" si="485"/>
        <v>244.05409700509995</v>
      </c>
      <c r="AU311" s="216">
        <f t="shared" si="486"/>
        <v>0.10671660820243077</v>
      </c>
      <c r="AV311" s="102">
        <f t="shared" si="487"/>
        <v>36.479999999999997</v>
      </c>
      <c r="AW311" s="103">
        <f t="shared" si="488"/>
        <v>90.902517836211061</v>
      </c>
      <c r="AY311" s="101">
        <f t="shared" si="351"/>
        <v>60</v>
      </c>
      <c r="AZ311" s="102">
        <f t="shared" si="489"/>
        <v>0.60799999999999998</v>
      </c>
      <c r="BA311" s="102">
        <f t="shared" si="352"/>
        <v>15</v>
      </c>
      <c r="BB311" s="103">
        <f t="shared" si="490"/>
        <v>3.0399999999999996</v>
      </c>
      <c r="BC311" s="101">
        <f t="shared" si="491"/>
        <v>2</v>
      </c>
      <c r="BD311" s="102">
        <f t="shared" si="492"/>
        <v>0.75</v>
      </c>
      <c r="BE311" s="100">
        <f t="shared" si="493"/>
        <v>0.25</v>
      </c>
      <c r="BF311" s="101">
        <f t="shared" si="494"/>
        <v>0.45000000000000007</v>
      </c>
      <c r="BG311" s="102">
        <f t="shared" si="495"/>
        <v>3.2649999999999997</v>
      </c>
      <c r="BH311" s="102">
        <f t="shared" si="496"/>
        <v>3.0427742275758809</v>
      </c>
      <c r="BI311" s="102">
        <v>0</v>
      </c>
      <c r="BJ311" s="102">
        <f t="shared" si="497"/>
        <v>9.2584749999999993E-2</v>
      </c>
      <c r="BK311" s="103">
        <f t="shared" si="498"/>
        <v>9.2584749999999993E-2</v>
      </c>
      <c r="BL311" s="101">
        <f t="shared" si="499"/>
        <v>2.2799999999999998</v>
      </c>
      <c r="BM311" s="97">
        <f t="shared" si="500"/>
        <v>2.6351197790612857</v>
      </c>
      <c r="BN311" s="97">
        <f t="shared" si="501"/>
        <v>0.74102478684525008</v>
      </c>
      <c r="BO311" s="97">
        <f t="shared" si="502"/>
        <v>3.1919999999999993</v>
      </c>
      <c r="BP311" s="103">
        <f t="shared" si="503"/>
        <v>3.9330247868452495</v>
      </c>
      <c r="BQ311" s="101">
        <f t="shared" si="504"/>
        <v>0.7599999999999999</v>
      </c>
      <c r="BR311" s="102">
        <f t="shared" si="505"/>
        <v>1.5213871137879404</v>
      </c>
      <c r="BS311" s="102">
        <f t="shared" si="506"/>
        <v>0.25535999999999998</v>
      </c>
      <c r="BT311" s="102">
        <f t="shared" si="507"/>
        <v>0.75525000000000009</v>
      </c>
      <c r="BU311" s="103">
        <f t="shared" si="508"/>
        <v>1.01061</v>
      </c>
      <c r="BV311" s="99">
        <f t="shared" si="509"/>
        <v>0</v>
      </c>
      <c r="BW311" s="102">
        <f t="shared" si="353"/>
        <v>8.7499999999999994E-2</v>
      </c>
      <c r="BX311" s="103">
        <f t="shared" si="510"/>
        <v>1.155E-2</v>
      </c>
      <c r="BY311" s="101">
        <f t="shared" si="511"/>
        <v>5.1352695368452501</v>
      </c>
      <c r="BZ311" s="102">
        <f t="shared" si="512"/>
        <v>36.479999999999997</v>
      </c>
      <c r="CA311" s="103">
        <f t="shared" si="513"/>
        <v>87.660131499812593</v>
      </c>
      <c r="CB311" s="51">
        <f t="shared" si="514"/>
        <v>4.0320747868452491</v>
      </c>
      <c r="CC311" s="32">
        <f t="shared" si="515"/>
        <v>166.12261753958373</v>
      </c>
    </row>
    <row r="312" spans="17:81" s="32" customFormat="1" ht="15" thickBot="1" x14ac:dyDescent="0.35">
      <c r="Q312" s="32">
        <v>305</v>
      </c>
      <c r="S312" s="101">
        <f t="shared" si="348"/>
        <v>60</v>
      </c>
      <c r="T312" s="97">
        <f t="shared" si="462"/>
        <v>0.61</v>
      </c>
      <c r="U312" s="102">
        <f t="shared" si="349"/>
        <v>15</v>
      </c>
      <c r="V312" s="103">
        <f t="shared" si="463"/>
        <v>3.0500000000000003</v>
      </c>
      <c r="W312" s="101">
        <f t="shared" si="464"/>
        <v>2</v>
      </c>
      <c r="X312" s="102">
        <f t="shared" si="465"/>
        <v>0.75</v>
      </c>
      <c r="Y312" s="100">
        <f t="shared" si="466"/>
        <v>0.25</v>
      </c>
      <c r="Z312" s="101">
        <f t="shared" si="467"/>
        <v>0.45000000000000007</v>
      </c>
      <c r="AA312" s="102">
        <f t="shared" si="468"/>
        <v>3.2750000000000004</v>
      </c>
      <c r="AB312" s="102">
        <f t="shared" si="469"/>
        <v>3.0527651400001283</v>
      </c>
      <c r="AC312" s="102">
        <v>0</v>
      </c>
      <c r="AD312" s="102">
        <f t="shared" si="470"/>
        <v>9.3193750000000034E-2</v>
      </c>
      <c r="AE312" s="103">
        <f t="shared" si="471"/>
        <v>9.3193750000000034E-2</v>
      </c>
      <c r="AF312" s="101">
        <f t="shared" si="472"/>
        <v>2.2875000000000001</v>
      </c>
      <c r="AG312" s="97">
        <f t="shared" si="473"/>
        <v>2.6437721630276694</v>
      </c>
      <c r="AH312" s="102">
        <f t="shared" si="474"/>
        <v>0.36221863329166687</v>
      </c>
      <c r="AI312" s="97">
        <f t="shared" si="475"/>
        <v>3.2025000000000001</v>
      </c>
      <c r="AJ312" s="103">
        <f t="shared" si="476"/>
        <v>3.5647186332916672</v>
      </c>
      <c r="AK312" s="101">
        <f t="shared" si="477"/>
        <v>0.76250000000000007</v>
      </c>
      <c r="AL312" s="102">
        <f t="shared" si="478"/>
        <v>1.5263825700000642</v>
      </c>
      <c r="AM312" s="102">
        <f t="shared" si="479"/>
        <v>0.25619999999999998</v>
      </c>
      <c r="AN312" s="102">
        <f t="shared" si="480"/>
        <v>0.75525000000000009</v>
      </c>
      <c r="AO312" s="103">
        <f t="shared" si="481"/>
        <v>1.01145</v>
      </c>
      <c r="AP312" s="99">
        <f t="shared" si="482"/>
        <v>0</v>
      </c>
      <c r="AQ312" s="102">
        <f t="shared" si="350"/>
        <v>8.7499999999999994E-2</v>
      </c>
      <c r="AR312" s="103">
        <f t="shared" si="483"/>
        <v>1.155E-2</v>
      </c>
      <c r="AS312" s="99">
        <f t="shared" si="484"/>
        <v>3.6637686332916672</v>
      </c>
      <c r="AT312" s="215">
        <f t="shared" si="485"/>
        <v>244.82611799750003</v>
      </c>
      <c r="AU312" s="216">
        <f t="shared" si="486"/>
        <v>0.10690506504596399</v>
      </c>
      <c r="AV312" s="102">
        <f t="shared" si="487"/>
        <v>36.6</v>
      </c>
      <c r="AW312" s="103">
        <f t="shared" si="488"/>
        <v>90.90058194338441</v>
      </c>
      <c r="AY312" s="101">
        <f t="shared" si="351"/>
        <v>60</v>
      </c>
      <c r="AZ312" s="102">
        <f t="shared" si="489"/>
        <v>0.61</v>
      </c>
      <c r="BA312" s="102">
        <f t="shared" si="352"/>
        <v>15</v>
      </c>
      <c r="BB312" s="103">
        <f t="shared" si="490"/>
        <v>3.0500000000000003</v>
      </c>
      <c r="BC312" s="101">
        <f t="shared" si="491"/>
        <v>2</v>
      </c>
      <c r="BD312" s="102">
        <f t="shared" si="492"/>
        <v>0.75</v>
      </c>
      <c r="BE312" s="100">
        <f t="shared" si="493"/>
        <v>0.25</v>
      </c>
      <c r="BF312" s="101">
        <f t="shared" si="494"/>
        <v>0.45000000000000007</v>
      </c>
      <c r="BG312" s="102">
        <f t="shared" si="495"/>
        <v>3.2750000000000004</v>
      </c>
      <c r="BH312" s="102">
        <f t="shared" si="496"/>
        <v>3.0527651400001283</v>
      </c>
      <c r="BI312" s="102">
        <v>0</v>
      </c>
      <c r="BJ312" s="102">
        <f t="shared" si="497"/>
        <v>9.3193750000000034E-2</v>
      </c>
      <c r="BK312" s="103">
        <f t="shared" si="498"/>
        <v>9.3193750000000034E-2</v>
      </c>
      <c r="BL312" s="101">
        <f t="shared" si="499"/>
        <v>2.2875000000000001</v>
      </c>
      <c r="BM312" s="97">
        <f t="shared" si="500"/>
        <v>2.6437721630276694</v>
      </c>
      <c r="BN312" s="97">
        <f t="shared" si="501"/>
        <v>0.74721629292204816</v>
      </c>
      <c r="BO312" s="97">
        <f t="shared" si="502"/>
        <v>3.2025000000000001</v>
      </c>
      <c r="BP312" s="103">
        <f t="shared" si="503"/>
        <v>3.9497162929220484</v>
      </c>
      <c r="BQ312" s="101">
        <f t="shared" si="504"/>
        <v>0.76250000000000007</v>
      </c>
      <c r="BR312" s="102">
        <f t="shared" si="505"/>
        <v>1.5263825700000642</v>
      </c>
      <c r="BS312" s="102">
        <f t="shared" si="506"/>
        <v>0.25619999999999998</v>
      </c>
      <c r="BT312" s="102">
        <f t="shared" si="507"/>
        <v>0.75525000000000009</v>
      </c>
      <c r="BU312" s="103">
        <f t="shared" si="508"/>
        <v>1.01145</v>
      </c>
      <c r="BV312" s="99">
        <f t="shared" si="509"/>
        <v>0</v>
      </c>
      <c r="BW312" s="102">
        <f t="shared" si="353"/>
        <v>8.7499999999999994E-2</v>
      </c>
      <c r="BX312" s="103">
        <f t="shared" si="510"/>
        <v>1.155E-2</v>
      </c>
      <c r="BY312" s="101">
        <f t="shared" si="511"/>
        <v>5.1534100429220482</v>
      </c>
      <c r="BZ312" s="102">
        <f t="shared" si="512"/>
        <v>36.6</v>
      </c>
      <c r="CA312" s="103">
        <f t="shared" si="513"/>
        <v>87.657510997007435</v>
      </c>
      <c r="CB312" s="51">
        <f t="shared" si="514"/>
        <v>4.048766292922048</v>
      </c>
      <c r="CC312" s="32">
        <f t="shared" si="515"/>
        <v>166.70682025227168</v>
      </c>
    </row>
    <row r="313" spans="17:81" s="32" customFormat="1" ht="15" thickBot="1" x14ac:dyDescent="0.35">
      <c r="Q313" s="32">
        <v>306</v>
      </c>
      <c r="S313" s="101">
        <f t="shared" si="348"/>
        <v>60</v>
      </c>
      <c r="T313" s="97">
        <f t="shared" si="462"/>
        <v>0.61199999999999999</v>
      </c>
      <c r="U313" s="102">
        <f t="shared" si="349"/>
        <v>15</v>
      </c>
      <c r="V313" s="103">
        <f t="shared" si="463"/>
        <v>3.06</v>
      </c>
      <c r="W313" s="101">
        <f t="shared" si="464"/>
        <v>2</v>
      </c>
      <c r="X313" s="102">
        <f t="shared" si="465"/>
        <v>0.75</v>
      </c>
      <c r="Y313" s="100">
        <f t="shared" si="466"/>
        <v>0.25</v>
      </c>
      <c r="Z313" s="101">
        <f t="shared" si="467"/>
        <v>0.45000000000000007</v>
      </c>
      <c r="AA313" s="102">
        <f t="shared" si="468"/>
        <v>3.2850000000000001</v>
      </c>
      <c r="AB313" s="102">
        <f t="shared" si="469"/>
        <v>3.062756111739882</v>
      </c>
      <c r="AC313" s="102">
        <v>0</v>
      </c>
      <c r="AD313" s="102">
        <f t="shared" si="470"/>
        <v>9.3804750000000006E-2</v>
      </c>
      <c r="AE313" s="103">
        <f t="shared" si="471"/>
        <v>9.3804750000000006E-2</v>
      </c>
      <c r="AF313" s="101">
        <f t="shared" si="472"/>
        <v>2.2949999999999999</v>
      </c>
      <c r="AG313" s="97">
        <f t="shared" si="473"/>
        <v>2.6524245983627885</v>
      </c>
      <c r="AH313" s="102">
        <f t="shared" si="474"/>
        <v>0.36459342328500011</v>
      </c>
      <c r="AI313" s="97">
        <f t="shared" si="475"/>
        <v>3.2130000000000001</v>
      </c>
      <c r="AJ313" s="103">
        <f t="shared" si="476"/>
        <v>3.5775934232850002</v>
      </c>
      <c r="AK313" s="101">
        <f t="shared" si="477"/>
        <v>0.76500000000000001</v>
      </c>
      <c r="AL313" s="102">
        <f t="shared" si="478"/>
        <v>1.531378055869941</v>
      </c>
      <c r="AM313" s="102">
        <f t="shared" si="479"/>
        <v>0.25703999999999999</v>
      </c>
      <c r="AN313" s="102">
        <f t="shared" si="480"/>
        <v>0.75525000000000009</v>
      </c>
      <c r="AO313" s="103">
        <f t="shared" si="481"/>
        <v>1.0122900000000001</v>
      </c>
      <c r="AP313" s="99">
        <f t="shared" si="482"/>
        <v>0</v>
      </c>
      <c r="AQ313" s="102">
        <f t="shared" si="350"/>
        <v>8.7499999999999994E-2</v>
      </c>
      <c r="AR313" s="103">
        <f t="shared" si="483"/>
        <v>1.155E-2</v>
      </c>
      <c r="AS313" s="99">
        <f t="shared" si="484"/>
        <v>3.6766434232850003</v>
      </c>
      <c r="AT313" s="215">
        <f t="shared" si="485"/>
        <v>245.59860539710002</v>
      </c>
      <c r="AU313" s="216">
        <f t="shared" si="486"/>
        <v>0.10709363574343329</v>
      </c>
      <c r="AV313" s="102">
        <f t="shared" si="487"/>
        <v>36.72</v>
      </c>
      <c r="AW313" s="103">
        <f t="shared" si="488"/>
        <v>90.89864129363346</v>
      </c>
      <c r="AY313" s="101">
        <f t="shared" si="351"/>
        <v>60</v>
      </c>
      <c r="AZ313" s="102">
        <f t="shared" si="489"/>
        <v>0.61199999999999999</v>
      </c>
      <c r="BA313" s="102">
        <f t="shared" si="352"/>
        <v>15</v>
      </c>
      <c r="BB313" s="103">
        <f t="shared" si="490"/>
        <v>3.06</v>
      </c>
      <c r="BC313" s="101">
        <f t="shared" si="491"/>
        <v>2</v>
      </c>
      <c r="BD313" s="102">
        <f t="shared" si="492"/>
        <v>0.75</v>
      </c>
      <c r="BE313" s="100">
        <f t="shared" si="493"/>
        <v>0.25</v>
      </c>
      <c r="BF313" s="101">
        <f t="shared" si="494"/>
        <v>0.45000000000000007</v>
      </c>
      <c r="BG313" s="102">
        <f t="shared" si="495"/>
        <v>3.2850000000000001</v>
      </c>
      <c r="BH313" s="102">
        <f t="shared" si="496"/>
        <v>3.062756111739882</v>
      </c>
      <c r="BI313" s="102">
        <v>0</v>
      </c>
      <c r="BJ313" s="102">
        <f t="shared" si="497"/>
        <v>9.3804750000000006E-2</v>
      </c>
      <c r="BK313" s="103">
        <f t="shared" si="498"/>
        <v>9.3804750000000006E-2</v>
      </c>
      <c r="BL313" s="101">
        <f t="shared" si="499"/>
        <v>2.2949999999999999</v>
      </c>
      <c r="BM313" s="97">
        <f t="shared" si="500"/>
        <v>2.6524245983627885</v>
      </c>
      <c r="BN313" s="97">
        <f t="shared" si="501"/>
        <v>0.75344187956278685</v>
      </c>
      <c r="BO313" s="97">
        <f t="shared" si="502"/>
        <v>3.2130000000000001</v>
      </c>
      <c r="BP313" s="103">
        <f t="shared" si="503"/>
        <v>3.9664418795627867</v>
      </c>
      <c r="BQ313" s="101">
        <f t="shared" si="504"/>
        <v>0.76500000000000001</v>
      </c>
      <c r="BR313" s="102">
        <f t="shared" si="505"/>
        <v>1.531378055869941</v>
      </c>
      <c r="BS313" s="102">
        <f t="shared" si="506"/>
        <v>0.25703999999999999</v>
      </c>
      <c r="BT313" s="102">
        <f t="shared" si="507"/>
        <v>0.75525000000000009</v>
      </c>
      <c r="BU313" s="103">
        <f t="shared" si="508"/>
        <v>1.0122900000000001</v>
      </c>
      <c r="BV313" s="99">
        <f t="shared" si="509"/>
        <v>0</v>
      </c>
      <c r="BW313" s="102">
        <f t="shared" si="353"/>
        <v>8.7499999999999994E-2</v>
      </c>
      <c r="BX313" s="103">
        <f t="shared" si="510"/>
        <v>1.155E-2</v>
      </c>
      <c r="BY313" s="101">
        <f t="shared" si="511"/>
        <v>5.1715866295627873</v>
      </c>
      <c r="BZ313" s="102">
        <f t="shared" si="512"/>
        <v>36.72</v>
      </c>
      <c r="CA313" s="103">
        <f t="shared" si="513"/>
        <v>87.65483228101651</v>
      </c>
      <c r="CB313" s="51">
        <f t="shared" si="514"/>
        <v>4.0654918795627868</v>
      </c>
      <c r="CC313" s="32">
        <f t="shared" si="515"/>
        <v>167.29221578469753</v>
      </c>
    </row>
    <row r="314" spans="17:81" s="32" customFormat="1" ht="15" thickBot="1" x14ac:dyDescent="0.35">
      <c r="Q314" s="32">
        <v>307</v>
      </c>
      <c r="S314" s="101">
        <f t="shared" si="348"/>
        <v>60</v>
      </c>
      <c r="T314" s="97">
        <f t="shared" si="462"/>
        <v>0.61399999999999999</v>
      </c>
      <c r="U314" s="102">
        <f t="shared" si="349"/>
        <v>15</v>
      </c>
      <c r="V314" s="103">
        <f t="shared" si="463"/>
        <v>3.07</v>
      </c>
      <c r="W314" s="101">
        <f t="shared" si="464"/>
        <v>2</v>
      </c>
      <c r="X314" s="102">
        <f t="shared" si="465"/>
        <v>0.75</v>
      </c>
      <c r="Y314" s="100">
        <f t="shared" si="466"/>
        <v>0.25</v>
      </c>
      <c r="Z314" s="101">
        <f t="shared" si="467"/>
        <v>0.45000000000000007</v>
      </c>
      <c r="AA314" s="102">
        <f t="shared" si="468"/>
        <v>3.2949999999999999</v>
      </c>
      <c r="AB314" s="102">
        <f t="shared" si="469"/>
        <v>3.0727471422165542</v>
      </c>
      <c r="AC314" s="102">
        <v>0</v>
      </c>
      <c r="AD314" s="102">
        <f t="shared" si="470"/>
        <v>9.4417750000000022E-2</v>
      </c>
      <c r="AE314" s="103">
        <f t="shared" si="471"/>
        <v>9.4417750000000022E-2</v>
      </c>
      <c r="AF314" s="101">
        <f t="shared" si="472"/>
        <v>2.3024999999999998</v>
      </c>
      <c r="AG314" s="97">
        <f t="shared" si="473"/>
        <v>2.6610770845655711</v>
      </c>
      <c r="AH314" s="102">
        <f t="shared" si="474"/>
        <v>0.36697598673166676</v>
      </c>
      <c r="AI314" s="97">
        <f t="shared" si="475"/>
        <v>3.2235</v>
      </c>
      <c r="AJ314" s="103">
        <f t="shared" si="476"/>
        <v>3.5904759867316667</v>
      </c>
      <c r="AK314" s="101">
        <f t="shared" si="477"/>
        <v>0.76749999999999996</v>
      </c>
      <c r="AL314" s="102">
        <f t="shared" si="478"/>
        <v>1.5363735711082771</v>
      </c>
      <c r="AM314" s="102">
        <f t="shared" si="479"/>
        <v>0.25788</v>
      </c>
      <c r="AN314" s="102">
        <f t="shared" si="480"/>
        <v>0.75525000000000009</v>
      </c>
      <c r="AO314" s="103">
        <f t="shared" si="481"/>
        <v>1.0131300000000001</v>
      </c>
      <c r="AP314" s="99">
        <f t="shared" si="482"/>
        <v>0</v>
      </c>
      <c r="AQ314" s="102">
        <f t="shared" si="350"/>
        <v>8.7499999999999994E-2</v>
      </c>
      <c r="AR314" s="103">
        <f t="shared" si="483"/>
        <v>1.155E-2</v>
      </c>
      <c r="AS314" s="99">
        <f t="shared" si="484"/>
        <v>3.6895259867316668</v>
      </c>
      <c r="AT314" s="215">
        <f t="shared" si="485"/>
        <v>246.37155920390001</v>
      </c>
      <c r="AU314" s="216">
        <f t="shared" si="486"/>
        <v>0.10728232029483864</v>
      </c>
      <c r="AV314" s="102">
        <f t="shared" si="487"/>
        <v>36.839999999999996</v>
      </c>
      <c r="AW314" s="103">
        <f t="shared" si="488"/>
        <v>90.8966959348611</v>
      </c>
      <c r="AY314" s="101">
        <f t="shared" si="351"/>
        <v>60</v>
      </c>
      <c r="AZ314" s="102">
        <f t="shared" si="489"/>
        <v>0.61399999999999999</v>
      </c>
      <c r="BA314" s="102">
        <f t="shared" si="352"/>
        <v>15</v>
      </c>
      <c r="BB314" s="103">
        <f t="shared" si="490"/>
        <v>3.07</v>
      </c>
      <c r="BC314" s="101">
        <f t="shared" si="491"/>
        <v>2</v>
      </c>
      <c r="BD314" s="102">
        <f t="shared" si="492"/>
        <v>0.75</v>
      </c>
      <c r="BE314" s="100">
        <f t="shared" si="493"/>
        <v>0.25</v>
      </c>
      <c r="BF314" s="101">
        <f t="shared" si="494"/>
        <v>0.45000000000000007</v>
      </c>
      <c r="BG314" s="102">
        <f t="shared" si="495"/>
        <v>3.2949999999999999</v>
      </c>
      <c r="BH314" s="102">
        <f t="shared" si="496"/>
        <v>3.0727471422165542</v>
      </c>
      <c r="BI314" s="102">
        <v>0</v>
      </c>
      <c r="BJ314" s="102">
        <f t="shared" si="497"/>
        <v>9.4417750000000022E-2</v>
      </c>
      <c r="BK314" s="103">
        <f t="shared" si="498"/>
        <v>9.4417750000000022E-2</v>
      </c>
      <c r="BL314" s="101">
        <f t="shared" si="499"/>
        <v>2.3024999999999998</v>
      </c>
      <c r="BM314" s="97">
        <f t="shared" si="500"/>
        <v>2.6610770845655711</v>
      </c>
      <c r="BN314" s="97">
        <f t="shared" si="501"/>
        <v>0.75970164727635003</v>
      </c>
      <c r="BO314" s="97">
        <f t="shared" si="502"/>
        <v>3.2235</v>
      </c>
      <c r="BP314" s="103">
        <f t="shared" si="503"/>
        <v>3.9832016472763501</v>
      </c>
      <c r="BQ314" s="101">
        <f t="shared" si="504"/>
        <v>0.76749999999999996</v>
      </c>
      <c r="BR314" s="102">
        <f t="shared" si="505"/>
        <v>1.5363735711082771</v>
      </c>
      <c r="BS314" s="102">
        <f t="shared" si="506"/>
        <v>0.25788</v>
      </c>
      <c r="BT314" s="102">
        <f t="shared" si="507"/>
        <v>0.75525000000000009</v>
      </c>
      <c r="BU314" s="103">
        <f t="shared" si="508"/>
        <v>1.0131300000000001</v>
      </c>
      <c r="BV314" s="99">
        <f t="shared" si="509"/>
        <v>0</v>
      </c>
      <c r="BW314" s="102">
        <f t="shared" si="353"/>
        <v>8.7499999999999994E-2</v>
      </c>
      <c r="BX314" s="103">
        <f t="shared" si="510"/>
        <v>1.155E-2</v>
      </c>
      <c r="BY314" s="101">
        <f t="shared" si="511"/>
        <v>5.1897993972763503</v>
      </c>
      <c r="BZ314" s="102">
        <f t="shared" si="512"/>
        <v>36.839999999999996</v>
      </c>
      <c r="CA314" s="103">
        <f t="shared" si="513"/>
        <v>87.652095723272311</v>
      </c>
      <c r="CB314" s="51">
        <f t="shared" si="514"/>
        <v>4.0822516472763501</v>
      </c>
      <c r="CC314" s="32">
        <f t="shared" si="515"/>
        <v>167.87880765467224</v>
      </c>
    </row>
    <row r="315" spans="17:81" s="32" customFormat="1" ht="15" thickBot="1" x14ac:dyDescent="0.35">
      <c r="Q315" s="32">
        <v>308</v>
      </c>
      <c r="S315" s="101">
        <f t="shared" si="348"/>
        <v>60</v>
      </c>
      <c r="T315" s="97">
        <f t="shared" si="462"/>
        <v>0.61599999999999999</v>
      </c>
      <c r="U315" s="102">
        <f t="shared" si="349"/>
        <v>15</v>
      </c>
      <c r="V315" s="103">
        <f t="shared" si="463"/>
        <v>3.08</v>
      </c>
      <c r="W315" s="101">
        <f t="shared" si="464"/>
        <v>2</v>
      </c>
      <c r="X315" s="102">
        <f t="shared" si="465"/>
        <v>0.75</v>
      </c>
      <c r="Y315" s="100">
        <f t="shared" si="466"/>
        <v>0.25</v>
      </c>
      <c r="Z315" s="101">
        <f t="shared" si="467"/>
        <v>0.45000000000000007</v>
      </c>
      <c r="AA315" s="102">
        <f t="shared" si="468"/>
        <v>3.3050000000000002</v>
      </c>
      <c r="AB315" s="102">
        <f t="shared" si="469"/>
        <v>3.0827382308590523</v>
      </c>
      <c r="AC315" s="102">
        <v>0</v>
      </c>
      <c r="AD315" s="102">
        <f t="shared" si="470"/>
        <v>9.5032749999999999E-2</v>
      </c>
      <c r="AE315" s="103">
        <f t="shared" si="471"/>
        <v>9.5032749999999999E-2</v>
      </c>
      <c r="AF315" s="101">
        <f t="shared" si="472"/>
        <v>2.31</v>
      </c>
      <c r="AG315" s="97">
        <f t="shared" si="473"/>
        <v>2.6697296211414372</v>
      </c>
      <c r="AH315" s="102">
        <f t="shared" si="474"/>
        <v>0.36936632363166688</v>
      </c>
      <c r="AI315" s="97">
        <f t="shared" si="475"/>
        <v>3.234</v>
      </c>
      <c r="AJ315" s="103">
        <f t="shared" si="476"/>
        <v>3.6033663236316666</v>
      </c>
      <c r="AK315" s="101">
        <f t="shared" si="477"/>
        <v>0.77</v>
      </c>
      <c r="AL315" s="102">
        <f t="shared" si="478"/>
        <v>1.5413691154295264</v>
      </c>
      <c r="AM315" s="102">
        <f t="shared" si="479"/>
        <v>0.25872000000000001</v>
      </c>
      <c r="AN315" s="102">
        <f t="shared" si="480"/>
        <v>0.75525000000000009</v>
      </c>
      <c r="AO315" s="103">
        <f t="shared" si="481"/>
        <v>1.01397</v>
      </c>
      <c r="AP315" s="99">
        <f t="shared" si="482"/>
        <v>0</v>
      </c>
      <c r="AQ315" s="102">
        <f t="shared" si="350"/>
        <v>8.7499999999999994E-2</v>
      </c>
      <c r="AR315" s="103">
        <f t="shared" si="483"/>
        <v>1.155E-2</v>
      </c>
      <c r="AS315" s="99">
        <f t="shared" si="484"/>
        <v>3.7024163236316667</v>
      </c>
      <c r="AT315" s="215">
        <f t="shared" si="485"/>
        <v>247.1449794179</v>
      </c>
      <c r="AU315" s="216">
        <f t="shared" si="486"/>
        <v>0.10747111870018007</v>
      </c>
      <c r="AV315" s="102">
        <f t="shared" si="487"/>
        <v>36.96</v>
      </c>
      <c r="AW315" s="103">
        <f t="shared" si="488"/>
        <v>90.894745914349556</v>
      </c>
      <c r="AY315" s="101">
        <f t="shared" si="351"/>
        <v>60</v>
      </c>
      <c r="AZ315" s="102">
        <f t="shared" si="489"/>
        <v>0.61599999999999999</v>
      </c>
      <c r="BA315" s="102">
        <f t="shared" si="352"/>
        <v>15</v>
      </c>
      <c r="BB315" s="103">
        <f t="shared" si="490"/>
        <v>3.08</v>
      </c>
      <c r="BC315" s="101">
        <f t="shared" si="491"/>
        <v>2</v>
      </c>
      <c r="BD315" s="102">
        <f t="shared" si="492"/>
        <v>0.75</v>
      </c>
      <c r="BE315" s="100">
        <f t="shared" si="493"/>
        <v>0.25</v>
      </c>
      <c r="BF315" s="101">
        <f t="shared" si="494"/>
        <v>0.45000000000000007</v>
      </c>
      <c r="BG315" s="102">
        <f t="shared" si="495"/>
        <v>3.3050000000000002</v>
      </c>
      <c r="BH315" s="102">
        <f t="shared" si="496"/>
        <v>3.0827382308590523</v>
      </c>
      <c r="BI315" s="102">
        <v>0</v>
      </c>
      <c r="BJ315" s="102">
        <f t="shared" si="497"/>
        <v>9.5032749999999999E-2</v>
      </c>
      <c r="BK315" s="103">
        <f t="shared" si="498"/>
        <v>9.5032749999999999E-2</v>
      </c>
      <c r="BL315" s="101">
        <f t="shared" si="499"/>
        <v>2.31</v>
      </c>
      <c r="BM315" s="97">
        <f t="shared" si="500"/>
        <v>2.6697296211414372</v>
      </c>
      <c r="BN315" s="97">
        <f t="shared" si="501"/>
        <v>0.76599569667409051</v>
      </c>
      <c r="BO315" s="97">
        <f t="shared" si="502"/>
        <v>3.234</v>
      </c>
      <c r="BP315" s="103">
        <f t="shared" si="503"/>
        <v>3.9999956966740906</v>
      </c>
      <c r="BQ315" s="101">
        <f t="shared" si="504"/>
        <v>0.77</v>
      </c>
      <c r="BR315" s="102">
        <f t="shared" si="505"/>
        <v>1.5413691154295264</v>
      </c>
      <c r="BS315" s="102">
        <f t="shared" si="506"/>
        <v>0.25872000000000001</v>
      </c>
      <c r="BT315" s="102">
        <f t="shared" si="507"/>
        <v>0.75525000000000009</v>
      </c>
      <c r="BU315" s="103">
        <f t="shared" si="508"/>
        <v>1.01397</v>
      </c>
      <c r="BV315" s="99">
        <f t="shared" si="509"/>
        <v>0</v>
      </c>
      <c r="BW315" s="102">
        <f t="shared" si="353"/>
        <v>8.7499999999999994E-2</v>
      </c>
      <c r="BX315" s="103">
        <f t="shared" si="510"/>
        <v>1.155E-2</v>
      </c>
      <c r="BY315" s="101">
        <f t="shared" si="511"/>
        <v>5.2080484466740904</v>
      </c>
      <c r="BZ315" s="102">
        <f t="shared" si="512"/>
        <v>36.96</v>
      </c>
      <c r="CA315" s="103">
        <f t="shared" si="513"/>
        <v>87.649301690448851</v>
      </c>
      <c r="CB315" s="51">
        <f t="shared" si="514"/>
        <v>4.0990456966740902</v>
      </c>
      <c r="CC315" s="32">
        <f t="shared" si="515"/>
        <v>168.46659938359315</v>
      </c>
    </row>
    <row r="316" spans="17:81" s="32" customFormat="1" ht="15" thickBot="1" x14ac:dyDescent="0.35">
      <c r="Q316" s="32">
        <v>309</v>
      </c>
      <c r="S316" s="101">
        <f t="shared" si="348"/>
        <v>60</v>
      </c>
      <c r="T316" s="97">
        <f t="shared" si="462"/>
        <v>0.61799999999999999</v>
      </c>
      <c r="U316" s="102">
        <f t="shared" si="349"/>
        <v>15</v>
      </c>
      <c r="V316" s="103">
        <f t="shared" si="463"/>
        <v>3.09</v>
      </c>
      <c r="W316" s="101">
        <f t="shared" si="464"/>
        <v>2</v>
      </c>
      <c r="X316" s="102">
        <f t="shared" si="465"/>
        <v>0.75</v>
      </c>
      <c r="Y316" s="100">
        <f t="shared" si="466"/>
        <v>0.25</v>
      </c>
      <c r="Z316" s="101">
        <f t="shared" si="467"/>
        <v>0.45000000000000007</v>
      </c>
      <c r="AA316" s="102">
        <f t="shared" si="468"/>
        <v>3.3149999999999999</v>
      </c>
      <c r="AB316" s="102">
        <f t="shared" si="469"/>
        <v>3.092729377103661</v>
      </c>
      <c r="AC316" s="102">
        <v>0</v>
      </c>
      <c r="AD316" s="102">
        <f t="shared" si="470"/>
        <v>9.5649749999999992E-2</v>
      </c>
      <c r="AE316" s="103">
        <f t="shared" si="471"/>
        <v>9.5649749999999992E-2</v>
      </c>
      <c r="AF316" s="101">
        <f t="shared" si="472"/>
        <v>2.3174999999999999</v>
      </c>
      <c r="AG316" s="97">
        <f t="shared" si="473"/>
        <v>2.6783822076021937</v>
      </c>
      <c r="AH316" s="102">
        <f t="shared" si="474"/>
        <v>0.37176443398500014</v>
      </c>
      <c r="AI316" s="97">
        <f t="shared" si="475"/>
        <v>3.2444999999999995</v>
      </c>
      <c r="AJ316" s="103">
        <f t="shared" si="476"/>
        <v>3.6162644339849996</v>
      </c>
      <c r="AK316" s="101">
        <f t="shared" si="477"/>
        <v>0.77249999999999996</v>
      </c>
      <c r="AL316" s="102">
        <f t="shared" si="478"/>
        <v>1.5463646885518305</v>
      </c>
      <c r="AM316" s="102">
        <f t="shared" si="479"/>
        <v>0.25956000000000001</v>
      </c>
      <c r="AN316" s="102">
        <f t="shared" si="480"/>
        <v>0.75525000000000009</v>
      </c>
      <c r="AO316" s="103">
        <f t="shared" si="481"/>
        <v>1.0148100000000002</v>
      </c>
      <c r="AP316" s="99">
        <f t="shared" si="482"/>
        <v>0</v>
      </c>
      <c r="AQ316" s="102">
        <f t="shared" si="350"/>
        <v>8.7499999999999994E-2</v>
      </c>
      <c r="AR316" s="103">
        <f t="shared" si="483"/>
        <v>1.155E-2</v>
      </c>
      <c r="AS316" s="99">
        <f t="shared" si="484"/>
        <v>3.7153144339849997</v>
      </c>
      <c r="AT316" s="215">
        <f t="shared" si="485"/>
        <v>247.91886603909998</v>
      </c>
      <c r="AU316" s="216">
        <f t="shared" si="486"/>
        <v>0.10766003095945756</v>
      </c>
      <c r="AV316" s="102">
        <f t="shared" si="487"/>
        <v>37.08</v>
      </c>
      <c r="AW316" s="103">
        <f t="shared" si="488"/>
        <v>90.892791278770204</v>
      </c>
      <c r="AY316" s="101">
        <f t="shared" si="351"/>
        <v>60</v>
      </c>
      <c r="AZ316" s="102">
        <f t="shared" si="489"/>
        <v>0.61799999999999999</v>
      </c>
      <c r="BA316" s="102">
        <f t="shared" si="352"/>
        <v>15</v>
      </c>
      <c r="BB316" s="103">
        <f t="shared" si="490"/>
        <v>3.09</v>
      </c>
      <c r="BC316" s="101">
        <f t="shared" si="491"/>
        <v>2</v>
      </c>
      <c r="BD316" s="102">
        <f t="shared" si="492"/>
        <v>0.75</v>
      </c>
      <c r="BE316" s="100">
        <f t="shared" si="493"/>
        <v>0.25</v>
      </c>
      <c r="BF316" s="101">
        <f t="shared" si="494"/>
        <v>0.45000000000000007</v>
      </c>
      <c r="BG316" s="102">
        <f t="shared" si="495"/>
        <v>3.3149999999999999</v>
      </c>
      <c r="BH316" s="102">
        <f t="shared" si="496"/>
        <v>3.092729377103661</v>
      </c>
      <c r="BI316" s="102">
        <v>0</v>
      </c>
      <c r="BJ316" s="102">
        <f t="shared" si="497"/>
        <v>9.5649749999999992E-2</v>
      </c>
      <c r="BK316" s="103">
        <f t="shared" si="498"/>
        <v>9.5649749999999992E-2</v>
      </c>
      <c r="BL316" s="101">
        <f t="shared" si="499"/>
        <v>2.3174999999999999</v>
      </c>
      <c r="BM316" s="97">
        <f t="shared" si="500"/>
        <v>2.6783822076021937</v>
      </c>
      <c r="BN316" s="97">
        <f t="shared" si="501"/>
        <v>0.77232412846982823</v>
      </c>
      <c r="BO316" s="97">
        <f t="shared" si="502"/>
        <v>3.2444999999999995</v>
      </c>
      <c r="BP316" s="103">
        <f t="shared" si="503"/>
        <v>4.0168241284698274</v>
      </c>
      <c r="BQ316" s="101">
        <f t="shared" si="504"/>
        <v>0.77249999999999996</v>
      </c>
      <c r="BR316" s="102">
        <f t="shared" si="505"/>
        <v>1.5463646885518305</v>
      </c>
      <c r="BS316" s="102">
        <f t="shared" si="506"/>
        <v>0.25956000000000001</v>
      </c>
      <c r="BT316" s="102">
        <f t="shared" si="507"/>
        <v>0.75525000000000009</v>
      </c>
      <c r="BU316" s="103">
        <f t="shared" si="508"/>
        <v>1.0148100000000002</v>
      </c>
      <c r="BV316" s="99">
        <f t="shared" si="509"/>
        <v>0</v>
      </c>
      <c r="BW316" s="102">
        <f t="shared" si="353"/>
        <v>8.7499999999999994E-2</v>
      </c>
      <c r="BX316" s="103">
        <f t="shared" si="510"/>
        <v>1.155E-2</v>
      </c>
      <c r="BY316" s="101">
        <f t="shared" si="511"/>
        <v>5.226333878469827</v>
      </c>
      <c r="BZ316" s="102">
        <f t="shared" si="512"/>
        <v>37.08</v>
      </c>
      <c r="CA316" s="103">
        <f t="shared" si="513"/>
        <v>87.646450544537558</v>
      </c>
      <c r="CB316" s="51">
        <f t="shared" si="514"/>
        <v>4.1158741284698275</v>
      </c>
      <c r="CC316" s="32">
        <f t="shared" si="515"/>
        <v>169.05559449644397</v>
      </c>
    </row>
    <row r="317" spans="17:81" s="32" customFormat="1" ht="15" thickBot="1" x14ac:dyDescent="0.35">
      <c r="Q317" s="32">
        <v>310</v>
      </c>
      <c r="S317" s="101">
        <f t="shared" si="348"/>
        <v>60</v>
      </c>
      <c r="T317" s="97">
        <f t="shared" si="462"/>
        <v>0.62</v>
      </c>
      <c r="U317" s="102">
        <f t="shared" si="349"/>
        <v>15</v>
      </c>
      <c r="V317" s="103">
        <f t="shared" si="463"/>
        <v>3.1</v>
      </c>
      <c r="W317" s="101">
        <f t="shared" si="464"/>
        <v>2</v>
      </c>
      <c r="X317" s="102">
        <f t="shared" si="465"/>
        <v>0.75</v>
      </c>
      <c r="Y317" s="100">
        <f t="shared" si="466"/>
        <v>0.25</v>
      </c>
      <c r="Z317" s="101">
        <f t="shared" si="467"/>
        <v>0.45000000000000007</v>
      </c>
      <c r="AA317" s="102">
        <f t="shared" si="468"/>
        <v>3.3250000000000002</v>
      </c>
      <c r="AB317" s="102">
        <f t="shared" si="469"/>
        <v>3.1027205803939228</v>
      </c>
      <c r="AC317" s="102">
        <v>0</v>
      </c>
      <c r="AD317" s="102">
        <f t="shared" si="470"/>
        <v>9.6268750000000014E-2</v>
      </c>
      <c r="AE317" s="103">
        <f t="shared" si="471"/>
        <v>9.6268750000000014E-2</v>
      </c>
      <c r="AF317" s="101">
        <f t="shared" si="472"/>
        <v>2.3250000000000002</v>
      </c>
      <c r="AG317" s="97">
        <f t="shared" si="473"/>
        <v>2.687034843465935</v>
      </c>
      <c r="AH317" s="102">
        <f t="shared" si="474"/>
        <v>0.37417031779166687</v>
      </c>
      <c r="AI317" s="97">
        <f t="shared" si="475"/>
        <v>3.2549999999999999</v>
      </c>
      <c r="AJ317" s="103">
        <f t="shared" si="476"/>
        <v>3.629170317791667</v>
      </c>
      <c r="AK317" s="101">
        <f t="shared" si="477"/>
        <v>0.77500000000000002</v>
      </c>
      <c r="AL317" s="102">
        <f t="shared" si="478"/>
        <v>1.5513602901969614</v>
      </c>
      <c r="AM317" s="102">
        <f t="shared" si="479"/>
        <v>0.26039999999999996</v>
      </c>
      <c r="AN317" s="102">
        <f t="shared" si="480"/>
        <v>0.75525000000000009</v>
      </c>
      <c r="AO317" s="103">
        <f t="shared" si="481"/>
        <v>1.0156499999999999</v>
      </c>
      <c r="AP317" s="99">
        <f t="shared" si="482"/>
        <v>0</v>
      </c>
      <c r="AQ317" s="102">
        <f t="shared" si="350"/>
        <v>8.7499999999999994E-2</v>
      </c>
      <c r="AR317" s="103">
        <f t="shared" si="483"/>
        <v>1.155E-2</v>
      </c>
      <c r="AS317" s="99">
        <f t="shared" si="484"/>
        <v>3.7282203177916671</v>
      </c>
      <c r="AT317" s="215">
        <f t="shared" si="485"/>
        <v>248.69321906750002</v>
      </c>
      <c r="AU317" s="216">
        <f t="shared" si="486"/>
        <v>0.10784905707267115</v>
      </c>
      <c r="AV317" s="102">
        <f t="shared" si="487"/>
        <v>37.200000000000003</v>
      </c>
      <c r="AW317" s="103">
        <f t="shared" si="488"/>
        <v>90.890832074193568</v>
      </c>
      <c r="AY317" s="101">
        <f t="shared" si="351"/>
        <v>60</v>
      </c>
      <c r="AZ317" s="102">
        <f t="shared" si="489"/>
        <v>0.62</v>
      </c>
      <c r="BA317" s="102">
        <f t="shared" si="352"/>
        <v>15</v>
      </c>
      <c r="BB317" s="103">
        <f t="shared" si="490"/>
        <v>3.1</v>
      </c>
      <c r="BC317" s="101">
        <f t="shared" si="491"/>
        <v>2</v>
      </c>
      <c r="BD317" s="102">
        <f t="shared" si="492"/>
        <v>0.75</v>
      </c>
      <c r="BE317" s="100">
        <f t="shared" si="493"/>
        <v>0.25</v>
      </c>
      <c r="BF317" s="101">
        <f t="shared" si="494"/>
        <v>0.45000000000000007</v>
      </c>
      <c r="BG317" s="102">
        <f t="shared" si="495"/>
        <v>3.3250000000000002</v>
      </c>
      <c r="BH317" s="102">
        <f t="shared" si="496"/>
        <v>3.1027205803939228</v>
      </c>
      <c r="BI317" s="102">
        <v>0</v>
      </c>
      <c r="BJ317" s="102">
        <f t="shared" si="497"/>
        <v>9.6268750000000014E-2</v>
      </c>
      <c r="BK317" s="103">
        <f t="shared" si="498"/>
        <v>9.6268750000000014E-2</v>
      </c>
      <c r="BL317" s="101">
        <f t="shared" si="499"/>
        <v>2.3250000000000002</v>
      </c>
      <c r="BM317" s="97">
        <f t="shared" si="500"/>
        <v>2.687034843465935</v>
      </c>
      <c r="BN317" s="97">
        <f t="shared" si="501"/>
        <v>0.77868704347985351</v>
      </c>
      <c r="BO317" s="97">
        <f t="shared" si="502"/>
        <v>3.2549999999999999</v>
      </c>
      <c r="BP317" s="103">
        <f t="shared" si="503"/>
        <v>4.0336870434798531</v>
      </c>
      <c r="BQ317" s="101">
        <f t="shared" si="504"/>
        <v>0.77500000000000002</v>
      </c>
      <c r="BR317" s="102">
        <f t="shared" si="505"/>
        <v>1.5513602901969614</v>
      </c>
      <c r="BS317" s="102">
        <f t="shared" si="506"/>
        <v>0.26039999999999996</v>
      </c>
      <c r="BT317" s="102">
        <f t="shared" si="507"/>
        <v>0.75525000000000009</v>
      </c>
      <c r="BU317" s="103">
        <f t="shared" si="508"/>
        <v>1.0156499999999999</v>
      </c>
      <c r="BV317" s="99">
        <f t="shared" si="509"/>
        <v>0</v>
      </c>
      <c r="BW317" s="102">
        <f t="shared" si="353"/>
        <v>8.7499999999999994E-2</v>
      </c>
      <c r="BX317" s="103">
        <f t="shared" si="510"/>
        <v>1.155E-2</v>
      </c>
      <c r="BY317" s="101">
        <f t="shared" si="511"/>
        <v>5.2446557934798532</v>
      </c>
      <c r="BZ317" s="102">
        <f t="shared" si="512"/>
        <v>37.200000000000003</v>
      </c>
      <c r="CA317" s="103">
        <f t="shared" si="513"/>
        <v>87.643542642922057</v>
      </c>
      <c r="CB317" s="51">
        <f t="shared" si="514"/>
        <v>4.1327370434798532</v>
      </c>
      <c r="CC317" s="32">
        <f t="shared" si="515"/>
        <v>169.64579652179486</v>
      </c>
    </row>
    <row r="318" spans="17:81" s="32" customFormat="1" ht="15" thickBot="1" x14ac:dyDescent="0.35">
      <c r="Q318" s="32">
        <v>311</v>
      </c>
      <c r="S318" s="101">
        <f t="shared" si="348"/>
        <v>60</v>
      </c>
      <c r="T318" s="97">
        <f t="shared" si="462"/>
        <v>0.622</v>
      </c>
      <c r="U318" s="102">
        <f t="shared" si="349"/>
        <v>15</v>
      </c>
      <c r="V318" s="103">
        <f t="shared" si="463"/>
        <v>3.11</v>
      </c>
      <c r="W318" s="101">
        <f t="shared" si="464"/>
        <v>2</v>
      </c>
      <c r="X318" s="102">
        <f t="shared" si="465"/>
        <v>0.75</v>
      </c>
      <c r="Y318" s="100">
        <f t="shared" si="466"/>
        <v>0.25</v>
      </c>
      <c r="Z318" s="101">
        <f t="shared" si="467"/>
        <v>0.45000000000000007</v>
      </c>
      <c r="AA318" s="102">
        <f t="shared" si="468"/>
        <v>3.335</v>
      </c>
      <c r="AB318" s="102">
        <f t="shared" si="469"/>
        <v>3.1127118401805198</v>
      </c>
      <c r="AC318" s="102">
        <v>0</v>
      </c>
      <c r="AD318" s="102">
        <f t="shared" si="470"/>
        <v>9.6889749999999983E-2</v>
      </c>
      <c r="AE318" s="103">
        <f t="shared" si="471"/>
        <v>9.6889749999999983E-2</v>
      </c>
      <c r="AF318" s="101">
        <f t="shared" si="472"/>
        <v>2.3325</v>
      </c>
      <c r="AG318" s="97">
        <f t="shared" si="473"/>
        <v>2.6956875282569381</v>
      </c>
      <c r="AH318" s="102">
        <f t="shared" si="474"/>
        <v>0.3765839750516668</v>
      </c>
      <c r="AI318" s="97">
        <f t="shared" si="475"/>
        <v>3.2654999999999998</v>
      </c>
      <c r="AJ318" s="103">
        <f t="shared" si="476"/>
        <v>3.6420839750516665</v>
      </c>
      <c r="AK318" s="101">
        <f t="shared" si="477"/>
        <v>0.77749999999999997</v>
      </c>
      <c r="AL318" s="102">
        <f t="shared" si="478"/>
        <v>1.5563559200902601</v>
      </c>
      <c r="AM318" s="102">
        <f t="shared" si="479"/>
        <v>0.26123999999999997</v>
      </c>
      <c r="AN318" s="102">
        <f t="shared" si="480"/>
        <v>0.75525000000000009</v>
      </c>
      <c r="AO318" s="103">
        <f t="shared" si="481"/>
        <v>1.0164900000000001</v>
      </c>
      <c r="AP318" s="99">
        <f t="shared" si="482"/>
        <v>0</v>
      </c>
      <c r="AQ318" s="102">
        <f t="shared" si="350"/>
        <v>8.7499999999999994E-2</v>
      </c>
      <c r="AR318" s="103">
        <f t="shared" si="483"/>
        <v>1.155E-2</v>
      </c>
      <c r="AS318" s="99">
        <f t="shared" si="484"/>
        <v>3.7411339750516666</v>
      </c>
      <c r="AT318" s="215">
        <f t="shared" si="485"/>
        <v>249.46803850309999</v>
      </c>
      <c r="AU318" s="216">
        <f t="shared" si="486"/>
        <v>0.10803819703982077</v>
      </c>
      <c r="AV318" s="102">
        <f t="shared" si="487"/>
        <v>37.32</v>
      </c>
      <c r="AW318" s="103">
        <f t="shared" si="488"/>
        <v>90.888868346098903</v>
      </c>
      <c r="AY318" s="101">
        <f t="shared" si="351"/>
        <v>60</v>
      </c>
      <c r="AZ318" s="102">
        <f t="shared" si="489"/>
        <v>0.622</v>
      </c>
      <c r="BA318" s="102">
        <f t="shared" si="352"/>
        <v>15</v>
      </c>
      <c r="BB318" s="103">
        <f t="shared" si="490"/>
        <v>3.11</v>
      </c>
      <c r="BC318" s="101">
        <f t="shared" si="491"/>
        <v>2</v>
      </c>
      <c r="BD318" s="102">
        <f t="shared" si="492"/>
        <v>0.75</v>
      </c>
      <c r="BE318" s="100">
        <f t="shared" si="493"/>
        <v>0.25</v>
      </c>
      <c r="BF318" s="101">
        <f t="shared" si="494"/>
        <v>0.45000000000000007</v>
      </c>
      <c r="BG318" s="102">
        <f t="shared" si="495"/>
        <v>3.335</v>
      </c>
      <c r="BH318" s="102">
        <f t="shared" si="496"/>
        <v>3.1127118401805198</v>
      </c>
      <c r="BI318" s="102">
        <v>0</v>
      </c>
      <c r="BJ318" s="102">
        <f t="shared" si="497"/>
        <v>9.6889749999999983E-2</v>
      </c>
      <c r="BK318" s="103">
        <f t="shared" si="498"/>
        <v>9.6889749999999983E-2</v>
      </c>
      <c r="BL318" s="101">
        <f t="shared" si="499"/>
        <v>2.3325</v>
      </c>
      <c r="BM318" s="97">
        <f t="shared" si="500"/>
        <v>2.6956875282569381</v>
      </c>
      <c r="BN318" s="97">
        <f t="shared" si="501"/>
        <v>0.78508454262292315</v>
      </c>
      <c r="BO318" s="97">
        <f t="shared" si="502"/>
        <v>3.2654999999999998</v>
      </c>
      <c r="BP318" s="103">
        <f t="shared" si="503"/>
        <v>4.0505845426229232</v>
      </c>
      <c r="BQ318" s="101">
        <f t="shared" si="504"/>
        <v>0.77749999999999997</v>
      </c>
      <c r="BR318" s="102">
        <f t="shared" si="505"/>
        <v>1.5563559200902601</v>
      </c>
      <c r="BS318" s="102">
        <f t="shared" si="506"/>
        <v>0.26123999999999997</v>
      </c>
      <c r="BT318" s="102">
        <f t="shared" si="507"/>
        <v>0.75525000000000009</v>
      </c>
      <c r="BU318" s="103">
        <f t="shared" si="508"/>
        <v>1.0164900000000001</v>
      </c>
      <c r="BV318" s="99">
        <f t="shared" si="509"/>
        <v>0</v>
      </c>
      <c r="BW318" s="102">
        <f t="shared" si="353"/>
        <v>8.7499999999999994E-2</v>
      </c>
      <c r="BX318" s="103">
        <f t="shared" si="510"/>
        <v>1.155E-2</v>
      </c>
      <c r="BY318" s="101">
        <f t="shared" si="511"/>
        <v>5.2630142926229233</v>
      </c>
      <c r="BZ318" s="102">
        <f t="shared" si="512"/>
        <v>37.32</v>
      </c>
      <c r="CA318" s="103">
        <f t="shared" si="513"/>
        <v>87.640578338451064</v>
      </c>
      <c r="CB318" s="51">
        <f t="shared" si="514"/>
        <v>4.1496345426229233</v>
      </c>
      <c r="CC318" s="32">
        <f t="shared" si="515"/>
        <v>170.23720899180231</v>
      </c>
    </row>
    <row r="319" spans="17:81" s="32" customFormat="1" ht="15" thickBot="1" x14ac:dyDescent="0.35">
      <c r="Q319" s="32">
        <v>312</v>
      </c>
      <c r="S319" s="101">
        <f t="shared" si="348"/>
        <v>60</v>
      </c>
      <c r="T319" s="97">
        <f t="shared" si="462"/>
        <v>0.624</v>
      </c>
      <c r="U319" s="102">
        <f t="shared" si="349"/>
        <v>15</v>
      </c>
      <c r="V319" s="103">
        <f t="shared" si="463"/>
        <v>3.1199999999999997</v>
      </c>
      <c r="W319" s="101">
        <f t="shared" si="464"/>
        <v>2</v>
      </c>
      <c r="X319" s="102">
        <f t="shared" si="465"/>
        <v>0.75</v>
      </c>
      <c r="Y319" s="100">
        <f t="shared" si="466"/>
        <v>0.25</v>
      </c>
      <c r="Z319" s="101">
        <f t="shared" si="467"/>
        <v>0.45000000000000007</v>
      </c>
      <c r="AA319" s="102">
        <f t="shared" si="468"/>
        <v>3.3449999999999998</v>
      </c>
      <c r="AB319" s="102">
        <f t="shared" si="469"/>
        <v>3.122703155921164</v>
      </c>
      <c r="AC319" s="102">
        <v>0</v>
      </c>
      <c r="AD319" s="102">
        <f t="shared" si="470"/>
        <v>9.7512749999999981E-2</v>
      </c>
      <c r="AE319" s="103">
        <f t="shared" si="471"/>
        <v>9.7512749999999981E-2</v>
      </c>
      <c r="AF319" s="101">
        <f t="shared" si="472"/>
        <v>2.34</v>
      </c>
      <c r="AG319" s="97">
        <f t="shared" si="473"/>
        <v>2.7043402615055672</v>
      </c>
      <c r="AH319" s="102">
        <f t="shared" si="474"/>
        <v>0.37900540576500008</v>
      </c>
      <c r="AI319" s="97">
        <f t="shared" si="475"/>
        <v>3.2759999999999998</v>
      </c>
      <c r="AJ319" s="103">
        <f t="shared" si="476"/>
        <v>3.6550054057649999</v>
      </c>
      <c r="AK319" s="101">
        <f t="shared" si="477"/>
        <v>0.77999999999999992</v>
      </c>
      <c r="AL319" s="102">
        <f t="shared" si="478"/>
        <v>1.5613515779605822</v>
      </c>
      <c r="AM319" s="102">
        <f t="shared" si="479"/>
        <v>0.26207999999999998</v>
      </c>
      <c r="AN319" s="102">
        <f t="shared" si="480"/>
        <v>0.75525000000000009</v>
      </c>
      <c r="AO319" s="103">
        <f t="shared" si="481"/>
        <v>1.0173300000000001</v>
      </c>
      <c r="AP319" s="99">
        <f t="shared" si="482"/>
        <v>0</v>
      </c>
      <c r="AQ319" s="102">
        <f t="shared" si="350"/>
        <v>8.7499999999999994E-2</v>
      </c>
      <c r="AR319" s="103">
        <f t="shared" si="483"/>
        <v>1.155E-2</v>
      </c>
      <c r="AS319" s="99">
        <f t="shared" si="484"/>
        <v>3.754055405765</v>
      </c>
      <c r="AT319" s="215">
        <f t="shared" si="485"/>
        <v>250.24332434589999</v>
      </c>
      <c r="AU319" s="216">
        <f t="shared" si="486"/>
        <v>0.10822745086090649</v>
      </c>
      <c r="AV319" s="102">
        <f t="shared" si="487"/>
        <v>37.44</v>
      </c>
      <c r="AW319" s="103">
        <f t="shared" si="488"/>
        <v>90.886900139383627</v>
      </c>
      <c r="AY319" s="101">
        <f t="shared" si="351"/>
        <v>60</v>
      </c>
      <c r="AZ319" s="102">
        <f t="shared" si="489"/>
        <v>0.624</v>
      </c>
      <c r="BA319" s="102">
        <f t="shared" si="352"/>
        <v>15</v>
      </c>
      <c r="BB319" s="103">
        <f t="shared" si="490"/>
        <v>3.1199999999999997</v>
      </c>
      <c r="BC319" s="101">
        <f t="shared" si="491"/>
        <v>2</v>
      </c>
      <c r="BD319" s="102">
        <f t="shared" si="492"/>
        <v>0.75</v>
      </c>
      <c r="BE319" s="100">
        <f t="shared" si="493"/>
        <v>0.25</v>
      </c>
      <c r="BF319" s="101">
        <f t="shared" si="494"/>
        <v>0.45000000000000007</v>
      </c>
      <c r="BG319" s="102">
        <f t="shared" si="495"/>
        <v>3.3449999999999998</v>
      </c>
      <c r="BH319" s="102">
        <f t="shared" si="496"/>
        <v>3.122703155921164</v>
      </c>
      <c r="BI319" s="102">
        <v>0</v>
      </c>
      <c r="BJ319" s="102">
        <f t="shared" si="497"/>
        <v>9.7512749999999981E-2</v>
      </c>
      <c r="BK319" s="103">
        <f t="shared" si="498"/>
        <v>9.7512749999999981E-2</v>
      </c>
      <c r="BL319" s="101">
        <f t="shared" si="499"/>
        <v>2.34</v>
      </c>
      <c r="BM319" s="97">
        <f t="shared" si="500"/>
        <v>2.7043402615055672</v>
      </c>
      <c r="BN319" s="97">
        <f t="shared" si="501"/>
        <v>0.79151672692026442</v>
      </c>
      <c r="BO319" s="97">
        <f t="shared" si="502"/>
        <v>3.2759999999999998</v>
      </c>
      <c r="BP319" s="103">
        <f t="shared" si="503"/>
        <v>4.0675167269202639</v>
      </c>
      <c r="BQ319" s="101">
        <f t="shared" si="504"/>
        <v>0.77999999999999992</v>
      </c>
      <c r="BR319" s="102">
        <f t="shared" si="505"/>
        <v>1.5613515779605822</v>
      </c>
      <c r="BS319" s="102">
        <f t="shared" si="506"/>
        <v>0.26207999999999998</v>
      </c>
      <c r="BT319" s="102">
        <f t="shared" si="507"/>
        <v>0.75525000000000009</v>
      </c>
      <c r="BU319" s="103">
        <f t="shared" si="508"/>
        <v>1.0173300000000001</v>
      </c>
      <c r="BV319" s="99">
        <f t="shared" si="509"/>
        <v>0</v>
      </c>
      <c r="BW319" s="102">
        <f t="shared" si="353"/>
        <v>8.7499999999999994E-2</v>
      </c>
      <c r="BX319" s="103">
        <f t="shared" si="510"/>
        <v>1.155E-2</v>
      </c>
      <c r="BY319" s="101">
        <f t="shared" si="511"/>
        <v>5.2814094769202642</v>
      </c>
      <c r="BZ319" s="102">
        <f t="shared" si="512"/>
        <v>37.44</v>
      </c>
      <c r="CA319" s="103">
        <f t="shared" si="513"/>
        <v>87.637557979510277</v>
      </c>
      <c r="CB319" s="51">
        <f t="shared" si="514"/>
        <v>4.166566726920264</v>
      </c>
      <c r="CC319" s="32">
        <f t="shared" si="515"/>
        <v>170.82983544220923</v>
      </c>
    </row>
    <row r="320" spans="17:81" s="32" customFormat="1" ht="15" thickBot="1" x14ac:dyDescent="0.35">
      <c r="Q320" s="32">
        <v>313</v>
      </c>
      <c r="S320" s="101">
        <f t="shared" si="348"/>
        <v>60</v>
      </c>
      <c r="T320" s="97">
        <f t="shared" si="462"/>
        <v>0.626</v>
      </c>
      <c r="U320" s="102">
        <f t="shared" si="349"/>
        <v>15</v>
      </c>
      <c r="V320" s="103">
        <f t="shared" si="463"/>
        <v>3.1300000000000003</v>
      </c>
      <c r="W320" s="101">
        <f t="shared" si="464"/>
        <v>2</v>
      </c>
      <c r="X320" s="102">
        <f t="shared" si="465"/>
        <v>0.75</v>
      </c>
      <c r="Y320" s="100">
        <f t="shared" si="466"/>
        <v>0.25</v>
      </c>
      <c r="Z320" s="101">
        <f t="shared" si="467"/>
        <v>0.45000000000000007</v>
      </c>
      <c r="AA320" s="102">
        <f t="shared" si="468"/>
        <v>3.3550000000000004</v>
      </c>
      <c r="AB320" s="102">
        <f t="shared" si="469"/>
        <v>3.1326945270804818</v>
      </c>
      <c r="AC320" s="102">
        <v>0</v>
      </c>
      <c r="AD320" s="102">
        <f t="shared" si="470"/>
        <v>9.8137750000000037E-2</v>
      </c>
      <c r="AE320" s="103">
        <f t="shared" si="471"/>
        <v>9.8137750000000037E-2</v>
      </c>
      <c r="AF320" s="101">
        <f t="shared" si="472"/>
        <v>2.3475000000000001</v>
      </c>
      <c r="AG320" s="97">
        <f t="shared" si="473"/>
        <v>2.7129930427481752</v>
      </c>
      <c r="AH320" s="102">
        <f t="shared" si="474"/>
        <v>0.38143460993166689</v>
      </c>
      <c r="AI320" s="97">
        <f t="shared" si="475"/>
        <v>3.2864999999999998</v>
      </c>
      <c r="AJ320" s="103">
        <f t="shared" si="476"/>
        <v>3.6679346099316668</v>
      </c>
      <c r="AK320" s="101">
        <f t="shared" si="477"/>
        <v>0.78250000000000008</v>
      </c>
      <c r="AL320" s="102">
        <f t="shared" si="478"/>
        <v>1.5663472635402409</v>
      </c>
      <c r="AM320" s="102">
        <f t="shared" si="479"/>
        <v>0.26291999999999999</v>
      </c>
      <c r="AN320" s="102">
        <f t="shared" si="480"/>
        <v>0.75525000000000009</v>
      </c>
      <c r="AO320" s="103">
        <f t="shared" si="481"/>
        <v>1.01817</v>
      </c>
      <c r="AP320" s="99">
        <f t="shared" si="482"/>
        <v>0</v>
      </c>
      <c r="AQ320" s="102">
        <f t="shared" si="350"/>
        <v>8.7499999999999994E-2</v>
      </c>
      <c r="AR320" s="103">
        <f t="shared" si="483"/>
        <v>1.155E-2</v>
      </c>
      <c r="AS320" s="99">
        <f t="shared" si="484"/>
        <v>3.7669846099316668</v>
      </c>
      <c r="AT320" s="215">
        <f t="shared" si="485"/>
        <v>251.0190765959</v>
      </c>
      <c r="AU320" s="216">
        <f t="shared" si="486"/>
        <v>0.10841681853592826</v>
      </c>
      <c r="AV320" s="102">
        <f t="shared" si="487"/>
        <v>37.56</v>
      </c>
      <c r="AW320" s="103">
        <f t="shared" si="488"/>
        <v>90.884927498372605</v>
      </c>
      <c r="AY320" s="101">
        <f t="shared" si="351"/>
        <v>60</v>
      </c>
      <c r="AZ320" s="102">
        <f t="shared" si="489"/>
        <v>0.626</v>
      </c>
      <c r="BA320" s="102">
        <f t="shared" si="352"/>
        <v>15</v>
      </c>
      <c r="BB320" s="103">
        <f t="shared" si="490"/>
        <v>3.1300000000000003</v>
      </c>
      <c r="BC320" s="101">
        <f t="shared" si="491"/>
        <v>2</v>
      </c>
      <c r="BD320" s="102">
        <f t="shared" si="492"/>
        <v>0.75</v>
      </c>
      <c r="BE320" s="100">
        <f t="shared" si="493"/>
        <v>0.25</v>
      </c>
      <c r="BF320" s="101">
        <f t="shared" si="494"/>
        <v>0.45000000000000007</v>
      </c>
      <c r="BG320" s="102">
        <f t="shared" si="495"/>
        <v>3.3550000000000004</v>
      </c>
      <c r="BH320" s="102">
        <f t="shared" si="496"/>
        <v>3.1326945270804818</v>
      </c>
      <c r="BI320" s="102">
        <v>0</v>
      </c>
      <c r="BJ320" s="102">
        <f t="shared" si="497"/>
        <v>9.8137750000000037E-2</v>
      </c>
      <c r="BK320" s="103">
        <f t="shared" si="498"/>
        <v>9.8137750000000037E-2</v>
      </c>
      <c r="BL320" s="101">
        <f t="shared" si="499"/>
        <v>2.3475000000000001</v>
      </c>
      <c r="BM320" s="97">
        <f t="shared" si="500"/>
        <v>2.7129930427481752</v>
      </c>
      <c r="BN320" s="97">
        <f t="shared" si="501"/>
        <v>0.7979836974955723</v>
      </c>
      <c r="BO320" s="97">
        <f t="shared" si="502"/>
        <v>3.2864999999999998</v>
      </c>
      <c r="BP320" s="103">
        <f t="shared" si="503"/>
        <v>4.0844836974955721</v>
      </c>
      <c r="BQ320" s="101">
        <f t="shared" si="504"/>
        <v>0.78250000000000008</v>
      </c>
      <c r="BR320" s="102">
        <f t="shared" si="505"/>
        <v>1.5663472635402409</v>
      </c>
      <c r="BS320" s="102">
        <f t="shared" si="506"/>
        <v>0.26291999999999999</v>
      </c>
      <c r="BT320" s="102">
        <f t="shared" si="507"/>
        <v>0.75525000000000009</v>
      </c>
      <c r="BU320" s="103">
        <f t="shared" si="508"/>
        <v>1.01817</v>
      </c>
      <c r="BV320" s="99">
        <f t="shared" si="509"/>
        <v>0</v>
      </c>
      <c r="BW320" s="102">
        <f t="shared" si="353"/>
        <v>8.7499999999999994E-2</v>
      </c>
      <c r="BX320" s="103">
        <f t="shared" si="510"/>
        <v>1.155E-2</v>
      </c>
      <c r="BY320" s="101">
        <f t="shared" si="511"/>
        <v>5.2998414474955728</v>
      </c>
      <c r="BZ320" s="102">
        <f t="shared" si="512"/>
        <v>37.56</v>
      </c>
      <c r="CA320" s="103">
        <f t="shared" si="513"/>
        <v>87.634481910092887</v>
      </c>
      <c r="CB320" s="51">
        <f t="shared" si="514"/>
        <v>4.1835336974955721</v>
      </c>
      <c r="CC320" s="32">
        <f t="shared" si="515"/>
        <v>171.42367941234502</v>
      </c>
    </row>
    <row r="321" spans="17:81" s="32" customFormat="1" ht="15" thickBot="1" x14ac:dyDescent="0.35">
      <c r="Q321" s="32">
        <v>314</v>
      </c>
      <c r="S321" s="101">
        <f t="shared" si="348"/>
        <v>60</v>
      </c>
      <c r="T321" s="97">
        <f t="shared" si="462"/>
        <v>0.628</v>
      </c>
      <c r="U321" s="102">
        <f t="shared" si="349"/>
        <v>15</v>
      </c>
      <c r="V321" s="103">
        <f t="shared" si="463"/>
        <v>3.14</v>
      </c>
      <c r="W321" s="101">
        <f t="shared" si="464"/>
        <v>2</v>
      </c>
      <c r="X321" s="102">
        <f t="shared" si="465"/>
        <v>0.75</v>
      </c>
      <c r="Y321" s="100">
        <f t="shared" si="466"/>
        <v>0.25</v>
      </c>
      <c r="Z321" s="101">
        <f t="shared" si="467"/>
        <v>0.45000000000000007</v>
      </c>
      <c r="AA321" s="102">
        <f t="shared" si="468"/>
        <v>3.3650000000000002</v>
      </c>
      <c r="AB321" s="102">
        <f t="shared" si="469"/>
        <v>3.1426859531299023</v>
      </c>
      <c r="AC321" s="102">
        <v>0</v>
      </c>
      <c r="AD321" s="102">
        <f t="shared" si="470"/>
        <v>9.8764750000000026E-2</v>
      </c>
      <c r="AE321" s="103">
        <f t="shared" si="471"/>
        <v>9.8764750000000026E-2</v>
      </c>
      <c r="AF321" s="101">
        <f t="shared" si="472"/>
        <v>2.355</v>
      </c>
      <c r="AG321" s="97">
        <f t="shared" si="473"/>
        <v>2.7216458715270071</v>
      </c>
      <c r="AH321" s="102">
        <f t="shared" si="474"/>
        <v>0.38387158755166689</v>
      </c>
      <c r="AI321" s="97">
        <f t="shared" si="475"/>
        <v>3.2969999999999997</v>
      </c>
      <c r="AJ321" s="103">
        <f t="shared" si="476"/>
        <v>3.6808715875516667</v>
      </c>
      <c r="AK321" s="101">
        <f t="shared" si="477"/>
        <v>0.78500000000000003</v>
      </c>
      <c r="AL321" s="102">
        <f t="shared" si="478"/>
        <v>1.5713429765649511</v>
      </c>
      <c r="AM321" s="102">
        <f t="shared" si="479"/>
        <v>0.26375999999999999</v>
      </c>
      <c r="AN321" s="102">
        <f t="shared" si="480"/>
        <v>0.75525000000000009</v>
      </c>
      <c r="AO321" s="103">
        <f t="shared" si="481"/>
        <v>1.0190100000000002</v>
      </c>
      <c r="AP321" s="99">
        <f t="shared" si="482"/>
        <v>0</v>
      </c>
      <c r="AQ321" s="102">
        <f t="shared" si="350"/>
        <v>8.7499999999999994E-2</v>
      </c>
      <c r="AR321" s="103">
        <f t="shared" si="483"/>
        <v>1.155E-2</v>
      </c>
      <c r="AS321" s="99">
        <f t="shared" si="484"/>
        <v>3.7799215875516667</v>
      </c>
      <c r="AT321" s="215">
        <f t="shared" si="485"/>
        <v>251.79529525309999</v>
      </c>
      <c r="AU321" s="216">
        <f t="shared" si="486"/>
        <v>0.10860630006488611</v>
      </c>
      <c r="AV321" s="102">
        <f t="shared" si="487"/>
        <v>37.68</v>
      </c>
      <c r="AW321" s="103">
        <f t="shared" si="488"/>
        <v>90.882950466827253</v>
      </c>
      <c r="AY321" s="101">
        <f t="shared" si="351"/>
        <v>60</v>
      </c>
      <c r="AZ321" s="102">
        <f t="shared" si="489"/>
        <v>0.628</v>
      </c>
      <c r="BA321" s="102">
        <f t="shared" si="352"/>
        <v>15</v>
      </c>
      <c r="BB321" s="103">
        <f t="shared" si="490"/>
        <v>3.14</v>
      </c>
      <c r="BC321" s="101">
        <f t="shared" si="491"/>
        <v>2</v>
      </c>
      <c r="BD321" s="102">
        <f t="shared" si="492"/>
        <v>0.75</v>
      </c>
      <c r="BE321" s="100">
        <f t="shared" si="493"/>
        <v>0.25</v>
      </c>
      <c r="BF321" s="101">
        <f t="shared" si="494"/>
        <v>0.45000000000000007</v>
      </c>
      <c r="BG321" s="102">
        <f t="shared" si="495"/>
        <v>3.3650000000000002</v>
      </c>
      <c r="BH321" s="102">
        <f t="shared" si="496"/>
        <v>3.1426859531299023</v>
      </c>
      <c r="BI321" s="102">
        <v>0</v>
      </c>
      <c r="BJ321" s="102">
        <f t="shared" si="497"/>
        <v>9.8764750000000026E-2</v>
      </c>
      <c r="BK321" s="103">
        <f t="shared" si="498"/>
        <v>9.8764750000000026E-2</v>
      </c>
      <c r="BL321" s="101">
        <f t="shared" si="499"/>
        <v>2.355</v>
      </c>
      <c r="BM321" s="97">
        <f t="shared" si="500"/>
        <v>2.7216458715270071</v>
      </c>
      <c r="BN321" s="97">
        <f t="shared" si="501"/>
        <v>0.80448555557500978</v>
      </c>
      <c r="BO321" s="97">
        <f t="shared" si="502"/>
        <v>3.2969999999999997</v>
      </c>
      <c r="BP321" s="103">
        <f t="shared" si="503"/>
        <v>4.1014855555750094</v>
      </c>
      <c r="BQ321" s="101">
        <f t="shared" si="504"/>
        <v>0.78500000000000003</v>
      </c>
      <c r="BR321" s="102">
        <f t="shared" si="505"/>
        <v>1.5713429765649511</v>
      </c>
      <c r="BS321" s="102">
        <f t="shared" si="506"/>
        <v>0.26375999999999999</v>
      </c>
      <c r="BT321" s="102">
        <f t="shared" si="507"/>
        <v>0.75525000000000009</v>
      </c>
      <c r="BU321" s="103">
        <f t="shared" si="508"/>
        <v>1.0190100000000002</v>
      </c>
      <c r="BV321" s="99">
        <f t="shared" si="509"/>
        <v>0</v>
      </c>
      <c r="BW321" s="102">
        <f t="shared" si="353"/>
        <v>8.7499999999999994E-2</v>
      </c>
      <c r="BX321" s="103">
        <f t="shared" si="510"/>
        <v>1.155E-2</v>
      </c>
      <c r="BY321" s="101">
        <f t="shared" si="511"/>
        <v>5.3183103055750101</v>
      </c>
      <c r="BZ321" s="102">
        <f t="shared" si="512"/>
        <v>37.68</v>
      </c>
      <c r="CA321" s="103">
        <f t="shared" si="513"/>
        <v>87.631350469868437</v>
      </c>
      <c r="CB321" s="51">
        <f t="shared" si="514"/>
        <v>4.2005355555750095</v>
      </c>
      <c r="CC321" s="32">
        <f t="shared" si="515"/>
        <v>172.01874444512532</v>
      </c>
    </row>
    <row r="322" spans="17:81" s="32" customFormat="1" ht="15" thickBot="1" x14ac:dyDescent="0.35">
      <c r="Q322" s="32">
        <v>315</v>
      </c>
      <c r="S322" s="101">
        <f t="shared" si="348"/>
        <v>60</v>
      </c>
      <c r="T322" s="97">
        <f t="shared" si="462"/>
        <v>0.63</v>
      </c>
      <c r="U322" s="102">
        <f t="shared" si="349"/>
        <v>15</v>
      </c>
      <c r="V322" s="103">
        <f t="shared" si="463"/>
        <v>3.15</v>
      </c>
      <c r="W322" s="101">
        <f t="shared" si="464"/>
        <v>2</v>
      </c>
      <c r="X322" s="102">
        <f t="shared" si="465"/>
        <v>0.75</v>
      </c>
      <c r="Y322" s="100">
        <f t="shared" si="466"/>
        <v>0.25</v>
      </c>
      <c r="Z322" s="101">
        <f t="shared" si="467"/>
        <v>0.45000000000000007</v>
      </c>
      <c r="AA322" s="102">
        <f t="shared" si="468"/>
        <v>3.375</v>
      </c>
      <c r="AB322" s="102">
        <f t="shared" si="469"/>
        <v>3.1526774335475554</v>
      </c>
      <c r="AC322" s="102">
        <v>0</v>
      </c>
      <c r="AD322" s="102">
        <f t="shared" si="470"/>
        <v>9.9393750000000003E-2</v>
      </c>
      <c r="AE322" s="103">
        <f t="shared" si="471"/>
        <v>9.9393750000000003E-2</v>
      </c>
      <c r="AF322" s="101">
        <f t="shared" si="472"/>
        <v>2.3624999999999998</v>
      </c>
      <c r="AG322" s="97">
        <f t="shared" si="473"/>
        <v>2.7302987473901092</v>
      </c>
      <c r="AH322" s="102">
        <f t="shared" si="474"/>
        <v>0.38631633862500009</v>
      </c>
      <c r="AI322" s="97">
        <f t="shared" si="475"/>
        <v>3.3075000000000001</v>
      </c>
      <c r="AJ322" s="103">
        <f t="shared" si="476"/>
        <v>3.693816338625</v>
      </c>
      <c r="AK322" s="101">
        <f t="shared" si="477"/>
        <v>0.78749999999999998</v>
      </c>
      <c r="AL322" s="102">
        <f t="shared" si="478"/>
        <v>1.5763387167737777</v>
      </c>
      <c r="AM322" s="102">
        <f t="shared" si="479"/>
        <v>0.2646</v>
      </c>
      <c r="AN322" s="102">
        <f t="shared" si="480"/>
        <v>0.75525000000000009</v>
      </c>
      <c r="AO322" s="103">
        <f t="shared" si="481"/>
        <v>1.0198500000000001</v>
      </c>
      <c r="AP322" s="99">
        <f t="shared" si="482"/>
        <v>0</v>
      </c>
      <c r="AQ322" s="102">
        <f t="shared" si="350"/>
        <v>8.7499999999999994E-2</v>
      </c>
      <c r="AR322" s="103">
        <f t="shared" si="483"/>
        <v>1.155E-2</v>
      </c>
      <c r="AS322" s="99">
        <f t="shared" si="484"/>
        <v>3.7928663386250001</v>
      </c>
      <c r="AT322" s="215">
        <f t="shared" si="485"/>
        <v>252.57198031749999</v>
      </c>
      <c r="AU322" s="216">
        <f t="shared" si="486"/>
        <v>0.10879589544778002</v>
      </c>
      <c r="AV322" s="102">
        <f t="shared" si="487"/>
        <v>37.799999999999997</v>
      </c>
      <c r="AW322" s="103">
        <f t="shared" si="488"/>
        <v>90.880969087954441</v>
      </c>
      <c r="AY322" s="101">
        <f t="shared" si="351"/>
        <v>60</v>
      </c>
      <c r="AZ322" s="102">
        <f t="shared" si="489"/>
        <v>0.63</v>
      </c>
      <c r="BA322" s="102">
        <f t="shared" si="352"/>
        <v>15</v>
      </c>
      <c r="BB322" s="103">
        <f t="shared" si="490"/>
        <v>3.15</v>
      </c>
      <c r="BC322" s="101">
        <f t="shared" si="491"/>
        <v>2</v>
      </c>
      <c r="BD322" s="102">
        <f t="shared" si="492"/>
        <v>0.75</v>
      </c>
      <c r="BE322" s="100">
        <f t="shared" si="493"/>
        <v>0.25</v>
      </c>
      <c r="BF322" s="101">
        <f t="shared" si="494"/>
        <v>0.45000000000000007</v>
      </c>
      <c r="BG322" s="102">
        <f t="shared" si="495"/>
        <v>3.375</v>
      </c>
      <c r="BH322" s="102">
        <f t="shared" si="496"/>
        <v>3.1526774335475554</v>
      </c>
      <c r="BI322" s="102">
        <v>0</v>
      </c>
      <c r="BJ322" s="102">
        <f t="shared" si="497"/>
        <v>9.9393750000000003E-2</v>
      </c>
      <c r="BK322" s="103">
        <f t="shared" si="498"/>
        <v>9.9393750000000003E-2</v>
      </c>
      <c r="BL322" s="101">
        <f t="shared" si="499"/>
        <v>2.3624999999999998</v>
      </c>
      <c r="BM322" s="97">
        <f t="shared" si="500"/>
        <v>2.7302987473901092</v>
      </c>
      <c r="BN322" s="97">
        <f t="shared" si="501"/>
        <v>0.81102240248720892</v>
      </c>
      <c r="BO322" s="97">
        <f t="shared" si="502"/>
        <v>3.3075000000000001</v>
      </c>
      <c r="BP322" s="103">
        <f t="shared" si="503"/>
        <v>4.1185224024872094</v>
      </c>
      <c r="BQ322" s="101">
        <f t="shared" si="504"/>
        <v>0.78749999999999998</v>
      </c>
      <c r="BR322" s="102">
        <f t="shared" si="505"/>
        <v>1.5763387167737777</v>
      </c>
      <c r="BS322" s="102">
        <f t="shared" si="506"/>
        <v>0.2646</v>
      </c>
      <c r="BT322" s="102">
        <f t="shared" si="507"/>
        <v>0.75525000000000009</v>
      </c>
      <c r="BU322" s="103">
        <f t="shared" si="508"/>
        <v>1.0198500000000001</v>
      </c>
      <c r="BV322" s="99">
        <f t="shared" si="509"/>
        <v>0</v>
      </c>
      <c r="BW322" s="102">
        <f t="shared" si="353"/>
        <v>8.7499999999999994E-2</v>
      </c>
      <c r="BX322" s="103">
        <f t="shared" si="510"/>
        <v>1.155E-2</v>
      </c>
      <c r="BY322" s="101">
        <f t="shared" si="511"/>
        <v>5.3368161524872093</v>
      </c>
      <c r="BZ322" s="102">
        <f t="shared" si="512"/>
        <v>37.799999999999997</v>
      </c>
      <c r="CA322" s="103">
        <f t="shared" si="513"/>
        <v>87.628163994250897</v>
      </c>
      <c r="CB322" s="51">
        <f t="shared" si="514"/>
        <v>4.2175724024872094</v>
      </c>
      <c r="CC322" s="32">
        <f t="shared" si="515"/>
        <v>172.61503408705232</v>
      </c>
    </row>
    <row r="323" spans="17:81" s="32" customFormat="1" ht="15" thickBot="1" x14ac:dyDescent="0.35">
      <c r="Q323" s="32">
        <v>316</v>
      </c>
      <c r="S323" s="101">
        <f t="shared" si="348"/>
        <v>60</v>
      </c>
      <c r="T323" s="97">
        <f t="shared" si="462"/>
        <v>0.63200000000000001</v>
      </c>
      <c r="U323" s="102">
        <f t="shared" si="349"/>
        <v>15</v>
      </c>
      <c r="V323" s="103">
        <f t="shared" si="463"/>
        <v>3.16</v>
      </c>
      <c r="W323" s="101">
        <f t="shared" si="464"/>
        <v>2</v>
      </c>
      <c r="X323" s="102">
        <f t="shared" si="465"/>
        <v>0.75</v>
      </c>
      <c r="Y323" s="100">
        <f t="shared" si="466"/>
        <v>0.25</v>
      </c>
      <c r="Z323" s="101">
        <f t="shared" si="467"/>
        <v>0.45000000000000007</v>
      </c>
      <c r="AA323" s="102">
        <f t="shared" si="468"/>
        <v>3.3850000000000002</v>
      </c>
      <c r="AB323" s="102">
        <f t="shared" si="469"/>
        <v>3.1626689678181625</v>
      </c>
      <c r="AC323" s="102">
        <v>0</v>
      </c>
      <c r="AD323" s="102">
        <f t="shared" si="470"/>
        <v>0.10002475000000002</v>
      </c>
      <c r="AE323" s="103">
        <f t="shared" si="471"/>
        <v>0.10002475000000002</v>
      </c>
      <c r="AF323" s="101">
        <f t="shared" si="472"/>
        <v>2.37</v>
      </c>
      <c r="AG323" s="97">
        <f t="shared" si="473"/>
        <v>2.7389516698912382</v>
      </c>
      <c r="AH323" s="102">
        <f t="shared" si="474"/>
        <v>0.38876886315166687</v>
      </c>
      <c r="AI323" s="97">
        <f t="shared" si="475"/>
        <v>3.3180000000000005</v>
      </c>
      <c r="AJ323" s="103">
        <f t="shared" si="476"/>
        <v>3.7067688631516673</v>
      </c>
      <c r="AK323" s="101">
        <f t="shared" si="477"/>
        <v>0.79</v>
      </c>
      <c r="AL323" s="102">
        <f t="shared" si="478"/>
        <v>1.5813344839090813</v>
      </c>
      <c r="AM323" s="102">
        <f t="shared" si="479"/>
        <v>0.26544000000000001</v>
      </c>
      <c r="AN323" s="102">
        <f t="shared" si="480"/>
        <v>0.75525000000000009</v>
      </c>
      <c r="AO323" s="103">
        <f t="shared" si="481"/>
        <v>1.0206900000000001</v>
      </c>
      <c r="AP323" s="99">
        <f t="shared" si="482"/>
        <v>0</v>
      </c>
      <c r="AQ323" s="102">
        <f t="shared" si="350"/>
        <v>8.7499999999999994E-2</v>
      </c>
      <c r="AR323" s="103">
        <f t="shared" si="483"/>
        <v>1.155E-2</v>
      </c>
      <c r="AS323" s="99">
        <f t="shared" si="484"/>
        <v>3.8058188631516674</v>
      </c>
      <c r="AT323" s="215">
        <f t="shared" si="485"/>
        <v>253.34913178910006</v>
      </c>
      <c r="AU323" s="216">
        <f t="shared" si="486"/>
        <v>0.10898560468461002</v>
      </c>
      <c r="AV323" s="102">
        <f t="shared" si="487"/>
        <v>37.92</v>
      </c>
      <c r="AW323" s="103">
        <f t="shared" si="488"/>
        <v>90.878983404415322</v>
      </c>
      <c r="AY323" s="101">
        <f t="shared" si="351"/>
        <v>60</v>
      </c>
      <c r="AZ323" s="102">
        <f t="shared" si="489"/>
        <v>0.63200000000000001</v>
      </c>
      <c r="BA323" s="102">
        <f t="shared" si="352"/>
        <v>15</v>
      </c>
      <c r="BB323" s="103">
        <f t="shared" si="490"/>
        <v>3.16</v>
      </c>
      <c r="BC323" s="101">
        <f t="shared" si="491"/>
        <v>2</v>
      </c>
      <c r="BD323" s="102">
        <f t="shared" si="492"/>
        <v>0.75</v>
      </c>
      <c r="BE323" s="100">
        <f t="shared" si="493"/>
        <v>0.25</v>
      </c>
      <c r="BF323" s="101">
        <f t="shared" si="494"/>
        <v>0.45000000000000007</v>
      </c>
      <c r="BG323" s="102">
        <f t="shared" si="495"/>
        <v>3.3850000000000002</v>
      </c>
      <c r="BH323" s="102">
        <f t="shared" si="496"/>
        <v>3.1626689678181625</v>
      </c>
      <c r="BI323" s="102">
        <v>0</v>
      </c>
      <c r="BJ323" s="102">
        <f t="shared" si="497"/>
        <v>0.10002475000000002</v>
      </c>
      <c r="BK323" s="103">
        <f t="shared" si="498"/>
        <v>0.10002475000000002</v>
      </c>
      <c r="BL323" s="101">
        <f t="shared" si="499"/>
        <v>2.37</v>
      </c>
      <c r="BM323" s="97">
        <f t="shared" si="500"/>
        <v>2.7389516698912382</v>
      </c>
      <c r="BN323" s="97">
        <f t="shared" si="501"/>
        <v>0.81759433966327122</v>
      </c>
      <c r="BO323" s="97">
        <f t="shared" si="502"/>
        <v>3.3180000000000005</v>
      </c>
      <c r="BP323" s="103">
        <f t="shared" si="503"/>
        <v>4.1355943396632719</v>
      </c>
      <c r="BQ323" s="101">
        <f t="shared" si="504"/>
        <v>0.79</v>
      </c>
      <c r="BR323" s="102">
        <f t="shared" si="505"/>
        <v>1.5813344839090813</v>
      </c>
      <c r="BS323" s="102">
        <f t="shared" si="506"/>
        <v>0.26544000000000001</v>
      </c>
      <c r="BT323" s="102">
        <f t="shared" si="507"/>
        <v>0.75525000000000009</v>
      </c>
      <c r="BU323" s="103">
        <f t="shared" si="508"/>
        <v>1.0206900000000001</v>
      </c>
      <c r="BV323" s="99">
        <f t="shared" si="509"/>
        <v>0</v>
      </c>
      <c r="BW323" s="102">
        <f t="shared" si="353"/>
        <v>8.7499999999999994E-2</v>
      </c>
      <c r="BX323" s="103">
        <f t="shared" si="510"/>
        <v>1.155E-2</v>
      </c>
      <c r="BY323" s="101">
        <f t="shared" si="511"/>
        <v>5.3553590896632723</v>
      </c>
      <c r="BZ323" s="102">
        <f t="shared" si="512"/>
        <v>37.92</v>
      </c>
      <c r="CA323" s="103">
        <f t="shared" si="513"/>
        <v>87.624922814464981</v>
      </c>
      <c r="CB323" s="51">
        <f t="shared" si="514"/>
        <v>4.234644339663272</v>
      </c>
      <c r="CC323" s="32">
        <f t="shared" si="515"/>
        <v>173.21255188821453</v>
      </c>
    </row>
    <row r="324" spans="17:81" s="32" customFormat="1" ht="15" thickBot="1" x14ac:dyDescent="0.35">
      <c r="Q324" s="32">
        <v>317</v>
      </c>
      <c r="S324" s="101">
        <f t="shared" si="348"/>
        <v>60</v>
      </c>
      <c r="T324" s="97">
        <f t="shared" si="462"/>
        <v>0.63400000000000001</v>
      </c>
      <c r="U324" s="102">
        <f t="shared" si="349"/>
        <v>15</v>
      </c>
      <c r="V324" s="103">
        <f t="shared" si="463"/>
        <v>3.17</v>
      </c>
      <c r="W324" s="101">
        <f t="shared" si="464"/>
        <v>2</v>
      </c>
      <c r="X324" s="102">
        <f t="shared" si="465"/>
        <v>0.75</v>
      </c>
      <c r="Y324" s="100">
        <f t="shared" si="466"/>
        <v>0.25</v>
      </c>
      <c r="Z324" s="101">
        <f t="shared" si="467"/>
        <v>0.45000000000000007</v>
      </c>
      <c r="AA324" s="102">
        <f t="shared" si="468"/>
        <v>3.395</v>
      </c>
      <c r="AB324" s="102">
        <f t="shared" si="469"/>
        <v>3.1726605554329321</v>
      </c>
      <c r="AC324" s="102">
        <v>0</v>
      </c>
      <c r="AD324" s="102">
        <f t="shared" si="470"/>
        <v>0.10065775000000002</v>
      </c>
      <c r="AE324" s="103">
        <f t="shared" si="471"/>
        <v>0.10065775000000002</v>
      </c>
      <c r="AF324" s="101">
        <f t="shared" si="472"/>
        <v>2.3774999999999999</v>
      </c>
      <c r="AG324" s="97">
        <f t="shared" si="473"/>
        <v>2.7476046385897663</v>
      </c>
      <c r="AH324" s="102">
        <f t="shared" si="474"/>
        <v>0.39122916113166684</v>
      </c>
      <c r="AI324" s="97">
        <f t="shared" si="475"/>
        <v>3.3285</v>
      </c>
      <c r="AJ324" s="103">
        <f t="shared" si="476"/>
        <v>3.7197291611316667</v>
      </c>
      <c r="AK324" s="101">
        <f t="shared" si="477"/>
        <v>0.79249999999999998</v>
      </c>
      <c r="AL324" s="102">
        <f t="shared" si="478"/>
        <v>1.5863302777164661</v>
      </c>
      <c r="AM324" s="102">
        <f t="shared" si="479"/>
        <v>0.26628000000000002</v>
      </c>
      <c r="AN324" s="102">
        <f t="shared" si="480"/>
        <v>0.75525000000000009</v>
      </c>
      <c r="AO324" s="103">
        <f t="shared" si="481"/>
        <v>1.02153</v>
      </c>
      <c r="AP324" s="99">
        <f t="shared" si="482"/>
        <v>0</v>
      </c>
      <c r="AQ324" s="102">
        <f t="shared" si="350"/>
        <v>8.7499999999999994E-2</v>
      </c>
      <c r="AR324" s="103">
        <f t="shared" si="483"/>
        <v>1.155E-2</v>
      </c>
      <c r="AS324" s="99">
        <f t="shared" si="484"/>
        <v>3.8187791611316668</v>
      </c>
      <c r="AT324" s="215">
        <f t="shared" si="485"/>
        <v>254.12674966790001</v>
      </c>
      <c r="AU324" s="216">
        <f t="shared" si="486"/>
        <v>0.10917542777537607</v>
      </c>
      <c r="AV324" s="102">
        <f t="shared" si="487"/>
        <v>38.04</v>
      </c>
      <c r="AW324" s="103">
        <f t="shared" si="488"/>
        <v>90.876993458333772</v>
      </c>
      <c r="AY324" s="101">
        <f t="shared" si="351"/>
        <v>60</v>
      </c>
      <c r="AZ324" s="102">
        <f t="shared" si="489"/>
        <v>0.63400000000000001</v>
      </c>
      <c r="BA324" s="102">
        <f t="shared" si="352"/>
        <v>15</v>
      </c>
      <c r="BB324" s="103">
        <f t="shared" si="490"/>
        <v>3.17</v>
      </c>
      <c r="BC324" s="101">
        <f t="shared" si="491"/>
        <v>2</v>
      </c>
      <c r="BD324" s="102">
        <f t="shared" si="492"/>
        <v>0.75</v>
      </c>
      <c r="BE324" s="100">
        <f t="shared" si="493"/>
        <v>0.25</v>
      </c>
      <c r="BF324" s="101">
        <f t="shared" si="494"/>
        <v>0.45000000000000007</v>
      </c>
      <c r="BG324" s="102">
        <f t="shared" si="495"/>
        <v>3.395</v>
      </c>
      <c r="BH324" s="102">
        <f t="shared" si="496"/>
        <v>3.1726605554329321</v>
      </c>
      <c r="BI324" s="102">
        <v>0</v>
      </c>
      <c r="BJ324" s="102">
        <f t="shared" si="497"/>
        <v>0.10065775000000002</v>
      </c>
      <c r="BK324" s="103">
        <f t="shared" si="498"/>
        <v>0.10065775000000002</v>
      </c>
      <c r="BL324" s="101">
        <f t="shared" si="499"/>
        <v>2.3774999999999999</v>
      </c>
      <c r="BM324" s="97">
        <f t="shared" si="500"/>
        <v>2.7476046385897663</v>
      </c>
      <c r="BN324" s="97">
        <f t="shared" si="501"/>
        <v>0.82420146863676469</v>
      </c>
      <c r="BO324" s="97">
        <f t="shared" si="502"/>
        <v>3.3285</v>
      </c>
      <c r="BP324" s="103">
        <f t="shared" si="503"/>
        <v>4.1527014686367645</v>
      </c>
      <c r="BQ324" s="101">
        <f t="shared" si="504"/>
        <v>0.79249999999999998</v>
      </c>
      <c r="BR324" s="102">
        <f t="shared" si="505"/>
        <v>1.5863302777164661</v>
      </c>
      <c r="BS324" s="102">
        <f t="shared" si="506"/>
        <v>0.26628000000000002</v>
      </c>
      <c r="BT324" s="102">
        <f t="shared" si="507"/>
        <v>0.75525000000000009</v>
      </c>
      <c r="BU324" s="103">
        <f t="shared" si="508"/>
        <v>1.02153</v>
      </c>
      <c r="BV324" s="99">
        <f t="shared" si="509"/>
        <v>0</v>
      </c>
      <c r="BW324" s="102">
        <f t="shared" si="353"/>
        <v>8.7499999999999994E-2</v>
      </c>
      <c r="BX324" s="103">
        <f t="shared" si="510"/>
        <v>1.155E-2</v>
      </c>
      <c r="BY324" s="101">
        <f t="shared" si="511"/>
        <v>5.3739392186367647</v>
      </c>
      <c r="BZ324" s="102">
        <f t="shared" si="512"/>
        <v>38.04</v>
      </c>
      <c r="CA324" s="103">
        <f t="shared" si="513"/>
        <v>87.621627257611692</v>
      </c>
      <c r="CB324" s="51">
        <f t="shared" si="514"/>
        <v>4.2517514686367646</v>
      </c>
      <c r="CC324" s="32">
        <f t="shared" si="515"/>
        <v>173.81130140228677</v>
      </c>
    </row>
    <row r="325" spans="17:81" s="32" customFormat="1" ht="15" thickBot="1" x14ac:dyDescent="0.35">
      <c r="Q325" s="32">
        <v>318</v>
      </c>
      <c r="S325" s="101">
        <f t="shared" si="348"/>
        <v>60</v>
      </c>
      <c r="T325" s="97">
        <f t="shared" si="462"/>
        <v>0.63600000000000001</v>
      </c>
      <c r="U325" s="102">
        <f t="shared" si="349"/>
        <v>15</v>
      </c>
      <c r="V325" s="103">
        <f t="shared" si="463"/>
        <v>3.18</v>
      </c>
      <c r="W325" s="101">
        <f t="shared" si="464"/>
        <v>2</v>
      </c>
      <c r="X325" s="102">
        <f t="shared" si="465"/>
        <v>0.75</v>
      </c>
      <c r="Y325" s="100">
        <f t="shared" si="466"/>
        <v>0.25</v>
      </c>
      <c r="Z325" s="101">
        <f t="shared" si="467"/>
        <v>0.45000000000000007</v>
      </c>
      <c r="AA325" s="102">
        <f t="shared" si="468"/>
        <v>3.4050000000000002</v>
      </c>
      <c r="AB325" s="102">
        <f t="shared" si="469"/>
        <v>3.1826521958894598</v>
      </c>
      <c r="AC325" s="102">
        <v>0</v>
      </c>
      <c r="AD325" s="102">
        <f t="shared" si="470"/>
        <v>0.10129275</v>
      </c>
      <c r="AE325" s="103">
        <f t="shared" si="471"/>
        <v>0.10129275</v>
      </c>
      <c r="AF325" s="101">
        <f t="shared" si="472"/>
        <v>2.3850000000000002</v>
      </c>
      <c r="AG325" s="97">
        <f t="shared" si="473"/>
        <v>2.7562576530506</v>
      </c>
      <c r="AH325" s="102">
        <f t="shared" si="474"/>
        <v>0.39369723256500022</v>
      </c>
      <c r="AI325" s="97">
        <f t="shared" si="475"/>
        <v>3.339</v>
      </c>
      <c r="AJ325" s="103">
        <f t="shared" si="476"/>
        <v>3.7326972325650001</v>
      </c>
      <c r="AK325" s="101">
        <f t="shared" si="477"/>
        <v>0.79500000000000004</v>
      </c>
      <c r="AL325" s="102">
        <f t="shared" si="478"/>
        <v>1.5913260979447301</v>
      </c>
      <c r="AM325" s="102">
        <f t="shared" si="479"/>
        <v>0.26711999999999997</v>
      </c>
      <c r="AN325" s="102">
        <f t="shared" si="480"/>
        <v>0.75525000000000009</v>
      </c>
      <c r="AO325" s="103">
        <f t="shared" si="481"/>
        <v>1.02237</v>
      </c>
      <c r="AP325" s="99">
        <f t="shared" si="482"/>
        <v>0</v>
      </c>
      <c r="AQ325" s="102">
        <f t="shared" si="350"/>
        <v>8.7499999999999994E-2</v>
      </c>
      <c r="AR325" s="103">
        <f t="shared" si="483"/>
        <v>1.155E-2</v>
      </c>
      <c r="AS325" s="99">
        <f t="shared" si="484"/>
        <v>3.8317472325650002</v>
      </c>
      <c r="AT325" s="215">
        <f t="shared" si="485"/>
        <v>254.90483395390001</v>
      </c>
      <c r="AU325" s="216">
        <f t="shared" si="486"/>
        <v>0.10936536472007821</v>
      </c>
      <c r="AV325" s="102">
        <f t="shared" si="487"/>
        <v>38.160000000000004</v>
      </c>
      <c r="AW325" s="103">
        <f t="shared" si="488"/>
        <v>90.874999291304931</v>
      </c>
      <c r="AY325" s="101">
        <f t="shared" si="351"/>
        <v>60</v>
      </c>
      <c r="AZ325" s="102">
        <f t="shared" si="489"/>
        <v>0.63600000000000001</v>
      </c>
      <c r="BA325" s="102">
        <f t="shared" si="352"/>
        <v>15</v>
      </c>
      <c r="BB325" s="103">
        <f t="shared" si="490"/>
        <v>3.18</v>
      </c>
      <c r="BC325" s="101">
        <f t="shared" si="491"/>
        <v>2</v>
      </c>
      <c r="BD325" s="102">
        <f t="shared" si="492"/>
        <v>0.75</v>
      </c>
      <c r="BE325" s="100">
        <f t="shared" si="493"/>
        <v>0.25</v>
      </c>
      <c r="BF325" s="101">
        <f t="shared" si="494"/>
        <v>0.45000000000000007</v>
      </c>
      <c r="BG325" s="102">
        <f t="shared" si="495"/>
        <v>3.4050000000000002</v>
      </c>
      <c r="BH325" s="102">
        <f t="shared" si="496"/>
        <v>3.1826521958894598</v>
      </c>
      <c r="BI325" s="102">
        <v>0</v>
      </c>
      <c r="BJ325" s="102">
        <f t="shared" si="497"/>
        <v>0.10129275</v>
      </c>
      <c r="BK325" s="103">
        <f t="shared" si="498"/>
        <v>0.10129275</v>
      </c>
      <c r="BL325" s="101">
        <f t="shared" si="499"/>
        <v>2.3850000000000002</v>
      </c>
      <c r="BM325" s="97">
        <f t="shared" si="500"/>
        <v>2.7562576530506</v>
      </c>
      <c r="BN325" s="97">
        <f t="shared" si="501"/>
        <v>0.8308438910437278</v>
      </c>
      <c r="BO325" s="97">
        <f t="shared" si="502"/>
        <v>3.339</v>
      </c>
      <c r="BP325" s="103">
        <f t="shared" si="503"/>
        <v>4.1698438910437279</v>
      </c>
      <c r="BQ325" s="101">
        <f t="shared" si="504"/>
        <v>0.79500000000000004</v>
      </c>
      <c r="BR325" s="102">
        <f t="shared" si="505"/>
        <v>1.5913260979447301</v>
      </c>
      <c r="BS325" s="102">
        <f t="shared" si="506"/>
        <v>0.26711999999999997</v>
      </c>
      <c r="BT325" s="102">
        <f t="shared" si="507"/>
        <v>0.75525000000000009</v>
      </c>
      <c r="BU325" s="103">
        <f t="shared" si="508"/>
        <v>1.02237</v>
      </c>
      <c r="BV325" s="99">
        <f t="shared" si="509"/>
        <v>0</v>
      </c>
      <c r="BW325" s="102">
        <f t="shared" si="353"/>
        <v>8.7499999999999994E-2</v>
      </c>
      <c r="BX325" s="103">
        <f t="shared" si="510"/>
        <v>1.155E-2</v>
      </c>
      <c r="BY325" s="101">
        <f t="shared" si="511"/>
        <v>5.3925566410437282</v>
      </c>
      <c r="BZ325" s="102">
        <f t="shared" si="512"/>
        <v>38.160000000000004</v>
      </c>
      <c r="CA325" s="103">
        <f t="shared" si="513"/>
        <v>87.61827764673221</v>
      </c>
      <c r="CB325" s="51">
        <f t="shared" si="514"/>
        <v>4.268893891043728</v>
      </c>
      <c r="CC325" s="32">
        <f t="shared" si="515"/>
        <v>174.41128618653048</v>
      </c>
    </row>
  </sheetData>
  <mergeCells count="14">
    <mergeCell ref="BV5:BX5"/>
    <mergeCell ref="A1:M1"/>
    <mergeCell ref="AY5:BB5"/>
    <mergeCell ref="BC5:BE5"/>
    <mergeCell ref="BF5:BK5"/>
    <mergeCell ref="BL5:BP5"/>
    <mergeCell ref="BQ5:BU5"/>
    <mergeCell ref="S5:V5"/>
    <mergeCell ref="W5:Y5"/>
    <mergeCell ref="Z5:AE5"/>
    <mergeCell ref="AF5:AJ5"/>
    <mergeCell ref="AK5:AO5"/>
    <mergeCell ref="AP5:AR5"/>
    <mergeCell ref="S2:AW3"/>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Z708"/>
  <sheetViews>
    <sheetView zoomScale="70" zoomScaleNormal="70" workbookViewId="0">
      <selection activeCell="A118" sqref="A118:XFD118"/>
    </sheetView>
  </sheetViews>
  <sheetFormatPr defaultRowHeight="14.4" x14ac:dyDescent="0.3"/>
  <cols>
    <col min="1" max="1" width="13.109375" customWidth="1"/>
    <col min="2" max="2" width="25" customWidth="1"/>
    <col min="4" max="4" width="12.88671875" customWidth="1"/>
    <col min="8" max="10" width="8.88671875" style="32"/>
    <col min="14" max="14" width="12.44140625" customWidth="1"/>
    <col min="15" max="15" width="16.6640625" style="52" bestFit="1" customWidth="1"/>
    <col min="16" max="16" width="16.6640625" customWidth="1"/>
    <col min="20" max="20" width="12.5546875" customWidth="1"/>
    <col min="26" max="26" width="32.88671875" customWidth="1"/>
    <col min="29" max="29" width="9.5546875" style="32" customWidth="1"/>
    <col min="33" max="33" width="10.109375" customWidth="1"/>
    <col min="34" max="34" width="12" bestFit="1" customWidth="1"/>
    <col min="42" max="42" width="8.88671875" style="32"/>
    <col min="45" max="45" width="8.88671875" style="32"/>
    <col min="46" max="46" width="10" bestFit="1" customWidth="1"/>
  </cols>
  <sheetData>
    <row r="1" spans="1:52" s="32" customFormat="1" ht="28.2" x14ac:dyDescent="0.5">
      <c r="A1" s="263" t="s">
        <v>16</v>
      </c>
      <c r="B1" s="263"/>
      <c r="C1" s="263"/>
      <c r="D1" s="263"/>
      <c r="E1" s="263"/>
      <c r="F1" s="263"/>
      <c r="G1" s="263"/>
      <c r="H1" s="263"/>
      <c r="I1" s="263"/>
      <c r="J1" s="263"/>
      <c r="K1" s="263"/>
      <c r="L1" s="263"/>
      <c r="M1" s="263"/>
      <c r="N1" s="263" t="s">
        <v>223</v>
      </c>
      <c r="O1" s="263"/>
      <c r="P1" s="263"/>
      <c r="Q1" s="263"/>
      <c r="R1" s="263"/>
      <c r="S1" s="263"/>
      <c r="T1" s="263"/>
      <c r="U1" s="263"/>
      <c r="V1" s="263"/>
      <c r="W1" s="263"/>
      <c r="X1" s="263"/>
    </row>
    <row r="2" spans="1:52" s="32" customFormat="1" ht="14.4" customHeight="1" x14ac:dyDescent="0.3">
      <c r="A2" s="12"/>
      <c r="B2" s="12" t="s">
        <v>17</v>
      </c>
      <c r="C2" s="13"/>
      <c r="D2" s="18"/>
      <c r="E2" s="12"/>
      <c r="F2" s="12"/>
      <c r="G2" s="12"/>
      <c r="H2" s="12"/>
      <c r="I2" s="12"/>
      <c r="J2" s="12"/>
      <c r="K2" s="12"/>
      <c r="L2" s="12"/>
      <c r="M2" s="12"/>
      <c r="AC2" s="32" t="str">
        <f>(IMDIV(IMPRODUCT(T7,W7),IMPRODUCT(Q7,Z7)))</f>
        <v>-0.000992906843497199-0.00705053830961912i</v>
      </c>
      <c r="AD2" s="32">
        <f>IMABS(AC2)</f>
        <v>7.1201091603479228E-3</v>
      </c>
    </row>
    <row r="3" spans="1:52" s="32" customFormat="1" ht="15" thickBot="1" x14ac:dyDescent="0.35">
      <c r="A3" s="12"/>
      <c r="B3" s="12" t="s">
        <v>18</v>
      </c>
      <c r="C3" s="14"/>
      <c r="D3" s="18"/>
      <c r="E3" s="12"/>
      <c r="F3" s="24"/>
      <c r="G3" s="25"/>
      <c r="H3" s="25"/>
      <c r="I3" s="25"/>
      <c r="J3" s="25"/>
      <c r="K3" s="41"/>
      <c r="L3" s="12"/>
      <c r="M3" s="12"/>
    </row>
    <row r="4" spans="1:52" s="32" customFormat="1" ht="15" thickBot="1" x14ac:dyDescent="0.35">
      <c r="A4" s="12"/>
      <c r="B4" s="12" t="s">
        <v>19</v>
      </c>
      <c r="C4" s="15"/>
      <c r="D4" s="18"/>
      <c r="E4" s="12"/>
      <c r="F4" s="24"/>
      <c r="G4" s="25"/>
      <c r="H4" s="25"/>
      <c r="I4" s="25"/>
      <c r="J4" s="25"/>
      <c r="K4" s="41"/>
      <c r="L4" s="12"/>
      <c r="M4" s="12"/>
      <c r="N4" s="86"/>
      <c r="O4" s="92"/>
      <c r="P4" s="279" t="s">
        <v>254</v>
      </c>
      <c r="Q4" s="279"/>
      <c r="R4" s="279"/>
      <c r="S4" s="279"/>
      <c r="T4" s="279"/>
      <c r="U4" s="279"/>
      <c r="V4" s="279"/>
      <c r="W4" s="279"/>
      <c r="X4" s="279"/>
      <c r="Y4" s="279"/>
      <c r="Z4" s="279"/>
      <c r="AA4" s="279"/>
      <c r="AB4" s="279"/>
      <c r="AC4" s="279"/>
      <c r="AD4" s="279"/>
      <c r="AE4" s="280"/>
      <c r="AF4" s="281" t="s">
        <v>255</v>
      </c>
      <c r="AG4" s="279"/>
      <c r="AH4" s="279"/>
      <c r="AI4" s="279"/>
      <c r="AJ4" s="279"/>
      <c r="AK4" s="279"/>
      <c r="AL4" s="279"/>
      <c r="AM4" s="279"/>
      <c r="AN4" s="279"/>
      <c r="AO4" s="279"/>
      <c r="AP4" s="279"/>
      <c r="AQ4" s="279"/>
      <c r="AR4" s="280"/>
      <c r="AS4" s="281" t="s">
        <v>266</v>
      </c>
      <c r="AT4" s="279"/>
      <c r="AU4" s="280"/>
    </row>
    <row r="5" spans="1:52" s="32" customFormat="1" x14ac:dyDescent="0.3">
      <c r="A5" s="12"/>
      <c r="D5" s="18"/>
      <c r="E5" s="12"/>
      <c r="F5" s="12"/>
      <c r="G5" s="12"/>
      <c r="H5" s="12"/>
      <c r="I5" s="12"/>
      <c r="J5" s="12"/>
      <c r="K5" s="12"/>
      <c r="L5" s="12"/>
      <c r="M5" s="12"/>
      <c r="N5" s="60"/>
      <c r="O5" s="63"/>
      <c r="P5" s="51"/>
      <c r="Q5" s="277" t="s">
        <v>246</v>
      </c>
      <c r="R5" s="277"/>
      <c r="S5" s="277"/>
      <c r="T5" s="278" t="s">
        <v>248</v>
      </c>
      <c r="U5" s="278"/>
      <c r="V5" s="278"/>
      <c r="W5" s="278" t="s">
        <v>248</v>
      </c>
      <c r="X5" s="278"/>
      <c r="Y5" s="278"/>
      <c r="Z5" s="278" t="s">
        <v>251</v>
      </c>
      <c r="AA5" s="278"/>
      <c r="AB5" s="278"/>
      <c r="AC5" s="282" t="s">
        <v>253</v>
      </c>
      <c r="AD5" s="278"/>
      <c r="AE5" s="283"/>
      <c r="AF5" s="51"/>
      <c r="AG5" s="278" t="s">
        <v>262</v>
      </c>
      <c r="AH5" s="278"/>
      <c r="AI5" s="278"/>
      <c r="AJ5" s="278" t="s">
        <v>263</v>
      </c>
      <c r="AK5" s="278"/>
      <c r="AL5" s="278"/>
      <c r="AM5" s="278" t="s">
        <v>257</v>
      </c>
      <c r="AN5" s="278"/>
      <c r="AO5" s="278"/>
      <c r="AP5" s="282" t="s">
        <v>253</v>
      </c>
      <c r="AQ5" s="278"/>
      <c r="AR5" s="283"/>
      <c r="AS5" s="282" t="s">
        <v>253</v>
      </c>
      <c r="AT5" s="278"/>
      <c r="AU5" s="283"/>
    </row>
    <row r="6" spans="1:52" s="32" customFormat="1" ht="15" thickBot="1" x14ac:dyDescent="0.35">
      <c r="A6" s="11" t="s">
        <v>20</v>
      </c>
      <c r="B6" s="11" t="s">
        <v>21</v>
      </c>
      <c r="C6" s="11" t="s">
        <v>22</v>
      </c>
      <c r="D6" s="18"/>
      <c r="E6" s="264" t="s">
        <v>23</v>
      </c>
      <c r="F6" s="264"/>
      <c r="G6" s="264"/>
      <c r="H6" s="264"/>
      <c r="I6" s="264"/>
      <c r="J6" s="264"/>
      <c r="K6" s="264"/>
      <c r="L6" s="36"/>
      <c r="M6" s="26"/>
      <c r="N6" s="60"/>
      <c r="O6" s="63"/>
      <c r="P6" s="81" t="s">
        <v>229</v>
      </c>
      <c r="Q6" s="51" t="s">
        <v>252</v>
      </c>
      <c r="R6" s="81" t="s">
        <v>249</v>
      </c>
      <c r="S6" s="81" t="s">
        <v>250</v>
      </c>
      <c r="T6" s="81" t="s">
        <v>252</v>
      </c>
      <c r="U6" s="81" t="s">
        <v>249</v>
      </c>
      <c r="V6" s="81" t="s">
        <v>250</v>
      </c>
      <c r="W6" s="83" t="s">
        <v>252</v>
      </c>
      <c r="X6" s="81" t="s">
        <v>249</v>
      </c>
      <c r="Y6" s="81" t="s">
        <v>250</v>
      </c>
      <c r="Z6" s="83" t="s">
        <v>252</v>
      </c>
      <c r="AA6" s="83" t="s">
        <v>249</v>
      </c>
      <c r="AB6" s="83" t="s">
        <v>250</v>
      </c>
      <c r="AC6" s="84" t="s">
        <v>267</v>
      </c>
      <c r="AD6" s="83" t="s">
        <v>249</v>
      </c>
      <c r="AE6" s="85" t="s">
        <v>250</v>
      </c>
      <c r="AF6" s="81" t="s">
        <v>264</v>
      </c>
      <c r="AG6" s="83" t="s">
        <v>252</v>
      </c>
      <c r="AH6" s="83" t="s">
        <v>265</v>
      </c>
      <c r="AI6" s="83" t="s">
        <v>250</v>
      </c>
      <c r="AJ6" s="83" t="s">
        <v>252</v>
      </c>
      <c r="AK6" s="83" t="s">
        <v>265</v>
      </c>
      <c r="AL6" s="83" t="s">
        <v>250</v>
      </c>
      <c r="AM6" s="83" t="s">
        <v>252</v>
      </c>
      <c r="AN6" s="83" t="s">
        <v>265</v>
      </c>
      <c r="AO6" s="83" t="s">
        <v>250</v>
      </c>
      <c r="AP6" s="84" t="s">
        <v>267</v>
      </c>
      <c r="AQ6" s="83" t="s">
        <v>249</v>
      </c>
      <c r="AR6" s="85" t="s">
        <v>250</v>
      </c>
      <c r="AS6" s="84" t="s">
        <v>267</v>
      </c>
      <c r="AT6" s="83" t="s">
        <v>249</v>
      </c>
      <c r="AU6" s="85" t="s">
        <v>250</v>
      </c>
    </row>
    <row r="7" spans="1:52" s="32" customFormat="1" ht="15" thickBot="1" x14ac:dyDescent="0.35">
      <c r="A7" s="11"/>
      <c r="B7" s="11"/>
      <c r="C7" s="11"/>
      <c r="D7" s="18"/>
      <c r="E7" s="47"/>
      <c r="F7" s="47"/>
      <c r="G7" s="47"/>
      <c r="H7" s="47"/>
      <c r="I7" s="47"/>
      <c r="J7" s="47"/>
      <c r="K7" s="47"/>
      <c r="L7" s="47"/>
      <c r="M7" s="26"/>
      <c r="N7" s="32" t="s">
        <v>459</v>
      </c>
      <c r="O7" s="92">
        <f>fcross</f>
        <v>15000</v>
      </c>
      <c r="P7" s="88" t="str">
        <f>COMPLEX(ADC_VINmin,0)</f>
        <v>105.263157894737</v>
      </c>
      <c r="Q7" s="89" t="str">
        <f>IMSUM(COMPLEX(1,0),IMDIV(COMPLEX(0,2*PI()*O7),COMPLEX(wp_lf_VINmin,0)))</f>
        <v>1+141.371669411541i</v>
      </c>
      <c r="R7" s="89">
        <f t="shared" ref="R7:R13" si="0">IMABS(Q7)</f>
        <v>141.37520614381449</v>
      </c>
      <c r="S7" s="89">
        <f t="shared" ref="S7:S13" si="1">IMARGUMENT(Q7)</f>
        <v>1.5637228917404831</v>
      </c>
      <c r="T7" s="89" t="str">
        <f>IMSUM(COMPLEX(1,0),IMDIV(COMPLEX(0,2*PI()*O7),COMPLEX(wz_esr_VINmin,0)))</f>
        <v>1+0.00031101767270539i</v>
      </c>
      <c r="U7" s="89">
        <f t="shared" ref="U7:U13" si="2">IMABS(T7)</f>
        <v>1.0000000483659952</v>
      </c>
      <c r="V7" s="89">
        <f t="shared" ref="V7:V13" si="3">IMARGUMENT(T7)</f>
        <v>3.1101766267693749E-4</v>
      </c>
      <c r="W7" s="87" t="str">
        <f>IMSUB(COMPLEX(1,0),IMDIV(COMPLEX(0,2*PI()*O7),COMPLEX(wz_RHP_VINmin,0)))</f>
        <v>1-0.117809724509617i</v>
      </c>
      <c r="X7" s="89">
        <f t="shared" ref="X7:X13" si="4">IMABS(W7)</f>
        <v>1.0069156524699732</v>
      </c>
      <c r="Y7" s="89">
        <f t="shared" ref="Y7:Y13" si="5">IMARGUMENT(W7)</f>
        <v>-0.1172691865311314</v>
      </c>
      <c r="Z7" s="87" t="str">
        <f>IMSUM(COMPLEX(1,0),IMDIV(COMPLEX(0,2*PI()*O7),COMPLEX(Q_VINmin*(wsl_VINmin/2),0)),IMDIV(IMPOWER(COMPLEX(0,2*PI()*O7),2),IMPOWER(COMPLEX(wsl_VINmin/2,0),2)))</f>
        <v>0.999856+0.0300270118890477i</v>
      </c>
      <c r="AA7" s="89">
        <f t="shared" ref="AA7:AA13" si="6">IMABS(Z7)</f>
        <v>1.0003067740343385</v>
      </c>
      <c r="AB7" s="89">
        <f t="shared" ref="AB7:AB13" si="7">IMARGUMENT(Z7)</f>
        <v>3.0022313051549385E-2</v>
      </c>
      <c r="AC7" s="90" t="str">
        <f t="shared" ref="AC7:AC13" si="8">(IMDIV(IMPRODUCT(P7,T7,W7),IMPRODUCT(Q7,Z7)))</f>
        <v>-0.10451650984181-0.742161927328326i</v>
      </c>
      <c r="AD7" s="91">
        <f t="shared" ref="AD7:AD13" si="9">20*LOG(IMABS(AC7))</f>
        <v>-2.5047390662608304</v>
      </c>
      <c r="AE7" s="92">
        <f t="shared" ref="AE7:AE13" si="10">(180/PI())*IMARGUMENT(AC7)</f>
        <v>-98.01608330953735</v>
      </c>
      <c r="AF7" s="87" t="str">
        <f t="shared" ref="AF7:AF13" si="11">COMPLEX(Adc_ea,0)</f>
        <v>-0.434440565864413</v>
      </c>
      <c r="AG7" s="87" t="str">
        <f t="shared" ref="AG7:AG13" si="12">IMDIV(COMPLEX(0,2*PI()*O7),COMPLEX(wp0_ea,0))</f>
        <v>2.45986704776081i</v>
      </c>
      <c r="AH7" s="87">
        <f t="shared" ref="AH7:AH13" si="13">IMABS(AG7)</f>
        <v>2.45986704776081</v>
      </c>
      <c r="AI7" s="87">
        <f t="shared" ref="AI7:AI13" si="14">IMARGUMENT(AG7)</f>
        <v>1.5707963267948966</v>
      </c>
      <c r="AJ7" s="87" t="str">
        <f t="shared" ref="AJ7:AJ13" si="15">IMSUM(COMPLEX(1,0),IMDIV(COMPLEX(0,2*PI()*O7),COMPLEX(wp1_ea,0)))</f>
        <v>1+0.0243551192847605i</v>
      </c>
      <c r="AK7" s="87">
        <f t="shared" ref="AK7:AK13" si="16">IMABS(AJ7)</f>
        <v>1.0002965419491237</v>
      </c>
      <c r="AL7" s="87">
        <f t="shared" ref="AL7:AL13" si="17">IMARGUMENT(AJ7)</f>
        <v>2.4350305407649212E-2</v>
      </c>
      <c r="AM7" s="87" t="str">
        <f t="shared" ref="AM7:AM13" si="18">IMSUM(COMPLEX(1,0),IMDIV(COMPLEX(0,2*PI()*O7),COMPLEX(wz_ea,0)))</f>
        <v>1+2.45986704776081i</v>
      </c>
      <c r="AN7" s="87">
        <f t="shared" ref="AN7:AN13" si="19">IMABS(AM7)</f>
        <v>2.6553617253887434</v>
      </c>
      <c r="AO7" s="87">
        <f t="shared" ref="AO7:AO13" si="20">IMARGUMENT(AM7)</f>
        <v>1.184676747381233</v>
      </c>
      <c r="AP7" s="86" t="str">
        <f t="shared" ref="AP7:AP13" si="21">IMPRODUCT(AF7,IMDIV(AM7,IMPRODUCT(AG7,AJ7)))</f>
        <v>-0.429884178935763+0.187081281572733i</v>
      </c>
      <c r="AQ7" s="87">
        <f t="shared" ref="AQ7:AQ13" si="22">20*LOG(IMABS(AP7))</f>
        <v>-6.5797268097571839</v>
      </c>
      <c r="AR7" s="92">
        <f t="shared" ref="AR7:AR13" si="23">(180/PI())*IMARGUMENT(AP7)</f>
        <v>156.48180798251775</v>
      </c>
      <c r="AS7" s="86" t="str">
        <f t="shared" ref="AS7:AS13" si="24">IMPRODUCT(AC7,AP7)</f>
        <v>0.183774598517651+0.299490588160206i</v>
      </c>
      <c r="AT7" s="91">
        <f t="shared" ref="AT7:AT13" si="25">20*LOG(IMABS(AS7))</f>
        <v>-9.0844658760180081</v>
      </c>
      <c r="AU7" s="92">
        <f t="shared" ref="AU7:AU13" si="26">(180/PI())*IMARGUMENT(AS7)</f>
        <v>58.465724672980386</v>
      </c>
    </row>
    <row r="8" spans="1:52" s="32" customFormat="1" ht="15" thickBot="1" x14ac:dyDescent="0.35">
      <c r="A8" s="11"/>
      <c r="B8" s="11"/>
      <c r="C8" s="11"/>
      <c r="D8" s="18"/>
      <c r="E8" s="106"/>
      <c r="F8" s="106"/>
      <c r="G8" s="106"/>
      <c r="H8" s="106"/>
      <c r="I8" s="106"/>
      <c r="J8" s="106"/>
      <c r="K8" s="106"/>
      <c r="L8" s="106"/>
      <c r="M8" s="26"/>
      <c r="N8" s="86" t="s">
        <v>296</v>
      </c>
      <c r="O8" s="92">
        <f>fcross</f>
        <v>15000</v>
      </c>
      <c r="P8" s="88" t="str">
        <f t="shared" ref="P8:P13" si="27">COMPLEX(Adc,0)</f>
        <v>131.578947368421</v>
      </c>
      <c r="Q8" s="89" t="str">
        <f t="shared" ref="Q8:Q13" si="28">IMSUM(COMPLEX(1,0),IMDIV(COMPLEX(0,2*PI()*O8),COMPLEX(wp_lf,0)))</f>
        <v>1+141.371669411541i</v>
      </c>
      <c r="R8" s="89">
        <f t="shared" si="0"/>
        <v>141.37520614381449</v>
      </c>
      <c r="S8" s="89">
        <f t="shared" si="1"/>
        <v>1.5637228917404831</v>
      </c>
      <c r="T8" s="89" t="str">
        <f t="shared" ref="T8:T13" si="29">IMSUM(COMPLEX(1,0),IMDIV(COMPLEX(0,2*PI()*O8),COMPLEX(wz_esr,0)))</f>
        <v>1+0.00031101767270539i</v>
      </c>
      <c r="U8" s="89">
        <f t="shared" si="2"/>
        <v>1.0000000483659952</v>
      </c>
      <c r="V8" s="89">
        <f t="shared" si="3"/>
        <v>3.1101766267693749E-4</v>
      </c>
      <c r="W8" s="87" t="str">
        <f t="shared" ref="W8:W13" si="30">IMSUB(COMPLEX(1,0),IMDIV(COMPLEX(0,2*PI()*O8),COMPLEX(wz_rhp,0)))</f>
        <v>1-0.075398223686155i</v>
      </c>
      <c r="X8" s="89">
        <f t="shared" si="4"/>
        <v>1.002838417759824</v>
      </c>
      <c r="Y8" s="89">
        <f t="shared" si="5"/>
        <v>-7.525583213693203E-2</v>
      </c>
      <c r="Z8" s="87" t="str">
        <f t="shared" ref="Z8:Z13" si="31">IMSUM(COMPLEX(1,0),IMDIV(COMPLEX(0,2*PI()*O8),COMPLEX(Q*(wsl/2),0)),IMDIV(IMPOWER(COMPLEX(0,2*PI()*O8),2),IMPOWER(COMPLEX(wsl/2,0),2)))</f>
        <v>0.999856+0.0319119674812016i</v>
      </c>
      <c r="AA8" s="89">
        <f t="shared" si="6"/>
        <v>1.0003651305421042</v>
      </c>
      <c r="AB8" s="89">
        <f t="shared" si="7"/>
        <v>3.1905732635141286E-2</v>
      </c>
      <c r="AC8" s="90" t="str">
        <f t="shared" si="8"/>
        <v>-0.0929385054961748-0.928368070927615i</v>
      </c>
      <c r="AD8" s="91">
        <f t="shared" si="9"/>
        <v>-0.60228809406217809</v>
      </c>
      <c r="AE8" s="92">
        <f t="shared" si="10"/>
        <v>-95.716807412754378</v>
      </c>
      <c r="AF8" s="87" t="str">
        <f t="shared" si="11"/>
        <v>-0.434440565864413</v>
      </c>
      <c r="AG8" s="87" t="str">
        <f t="shared" si="12"/>
        <v>2.45986704776081i</v>
      </c>
      <c r="AH8" s="87">
        <f t="shared" si="13"/>
        <v>2.45986704776081</v>
      </c>
      <c r="AI8" s="87">
        <f t="shared" si="14"/>
        <v>1.5707963267948966</v>
      </c>
      <c r="AJ8" s="87" t="str">
        <f t="shared" si="15"/>
        <v>1+0.0243551192847605i</v>
      </c>
      <c r="AK8" s="87">
        <f t="shared" si="16"/>
        <v>1.0002965419491237</v>
      </c>
      <c r="AL8" s="87">
        <f t="shared" si="17"/>
        <v>2.4350305407649212E-2</v>
      </c>
      <c r="AM8" s="87" t="str">
        <f t="shared" si="18"/>
        <v>1+2.45986704776081i</v>
      </c>
      <c r="AN8" s="87">
        <f t="shared" si="19"/>
        <v>2.6553617253887434</v>
      </c>
      <c r="AO8" s="87">
        <f t="shared" si="20"/>
        <v>1.184676747381233</v>
      </c>
      <c r="AP8" s="86" t="str">
        <f t="shared" si="21"/>
        <v>-0.429884178935763+0.187081281572733i</v>
      </c>
      <c r="AQ8" s="87">
        <f t="shared" si="22"/>
        <v>-6.5797268097571839</v>
      </c>
      <c r="AR8" s="92">
        <f t="shared" si="23"/>
        <v>156.48180798251775</v>
      </c>
      <c r="AS8" s="86" t="str">
        <f t="shared" si="24"/>
        <v>0.213633081607084+0.381703691205217i</v>
      </c>
      <c r="AT8" s="91">
        <f t="shared" si="25"/>
        <v>-7.1820149038193639</v>
      </c>
      <c r="AU8" s="92">
        <f t="shared" si="26"/>
        <v>60.765000569763366</v>
      </c>
    </row>
    <row r="9" spans="1:52" s="32" customFormat="1" x14ac:dyDescent="0.3">
      <c r="A9" s="71" t="s">
        <v>200</v>
      </c>
      <c r="B9" s="11"/>
      <c r="C9" s="11"/>
      <c r="D9" s="18"/>
      <c r="E9" s="36"/>
      <c r="F9" s="36"/>
      <c r="G9" s="36"/>
      <c r="H9" s="47"/>
      <c r="I9" s="47"/>
      <c r="J9" s="47"/>
      <c r="K9" s="36"/>
      <c r="L9" s="36"/>
      <c r="M9" s="26"/>
      <c r="N9" s="73" t="s">
        <v>297</v>
      </c>
      <c r="O9" s="93">
        <f>wz_rhp/(2*PI())</f>
        <v>198943.67886486917</v>
      </c>
      <c r="P9" s="74" t="str">
        <f t="shared" si="27"/>
        <v>131.578947368421</v>
      </c>
      <c r="Q9" s="75" t="str">
        <f t="shared" si="28"/>
        <v>1+1875i</v>
      </c>
      <c r="R9" s="75">
        <f t="shared" si="0"/>
        <v>1875.0002666666476</v>
      </c>
      <c r="S9" s="75">
        <f t="shared" si="1"/>
        <v>1.5702629935121313</v>
      </c>
      <c r="T9" s="75" t="str">
        <f t="shared" si="29"/>
        <v>1+0.004125i</v>
      </c>
      <c r="U9" s="75">
        <f t="shared" si="2"/>
        <v>1.0000085077763088</v>
      </c>
      <c r="V9" s="75">
        <f t="shared" si="3"/>
        <v>4.1249766037544855E-3</v>
      </c>
      <c r="W9" s="76" t="str">
        <f t="shared" si="30"/>
        <v>1-i</v>
      </c>
      <c r="X9" s="75">
        <f t="shared" si="4"/>
        <v>1.4142135623730951</v>
      </c>
      <c r="Y9" s="75">
        <f t="shared" si="5"/>
        <v>-0.78539816339744828</v>
      </c>
      <c r="Z9" s="76" t="str">
        <f t="shared" si="31"/>
        <v>0.974669704089416+0.423245614035087i</v>
      </c>
      <c r="AA9" s="75">
        <f t="shared" si="6"/>
        <v>1.062599586801015</v>
      </c>
      <c r="AB9" s="75">
        <f t="shared" si="7"/>
        <v>0.40967525870814231</v>
      </c>
      <c r="AC9" s="77" t="str">
        <f t="shared" si="8"/>
        <v>-0.0867215174021696-0.0346760166204328i</v>
      </c>
      <c r="AD9" s="78">
        <f t="shared" si="9"/>
        <v>-20.593317522193896</v>
      </c>
      <c r="AE9" s="79">
        <f t="shared" si="10"/>
        <v>-158.20576179874493</v>
      </c>
      <c r="AF9" s="76" t="str">
        <f t="shared" si="11"/>
        <v>-0.434440565864413</v>
      </c>
      <c r="AG9" s="76" t="str">
        <f t="shared" si="12"/>
        <v>32.625i</v>
      </c>
      <c r="AH9" s="76">
        <f t="shared" si="13"/>
        <v>32.625</v>
      </c>
      <c r="AI9" s="76">
        <f t="shared" si="14"/>
        <v>1.5707963267948966</v>
      </c>
      <c r="AJ9" s="76" t="str">
        <f t="shared" si="15"/>
        <v>1+0.323019801980198i</v>
      </c>
      <c r="AK9" s="76">
        <f t="shared" si="16"/>
        <v>1.0508766780509149</v>
      </c>
      <c r="AL9" s="76">
        <f t="shared" si="17"/>
        <v>0.31243983648841428</v>
      </c>
      <c r="AM9" s="76" t="str">
        <f t="shared" si="18"/>
        <v>1+32.625i</v>
      </c>
      <c r="AN9" s="76">
        <f t="shared" si="19"/>
        <v>32.640322072553147</v>
      </c>
      <c r="AO9" s="76">
        <f t="shared" si="20"/>
        <v>1.5401545794177172</v>
      </c>
      <c r="AP9" s="73" t="str">
        <f t="shared" si="21"/>
        <v>-0.389498230580049+0.139131827240484i</v>
      </c>
      <c r="AQ9" s="76">
        <f t="shared" si="22"/>
        <v>-7.6683493626763184</v>
      </c>
      <c r="AR9" s="79">
        <f t="shared" si="23"/>
        <v>160.34287321583778</v>
      </c>
      <c r="AS9" s="73" t="str">
        <f t="shared" si="24"/>
        <v>0.0386024151351842+0.00144052393999166i</v>
      </c>
      <c r="AT9" s="78">
        <f t="shared" si="25"/>
        <v>-28.261666884870213</v>
      </c>
      <c r="AU9" s="79">
        <f t="shared" si="26"/>
        <v>2.1371114170928904</v>
      </c>
    </row>
    <row r="10" spans="1:52" s="32" customFormat="1" x14ac:dyDescent="0.3">
      <c r="A10" s="32" t="s">
        <v>26</v>
      </c>
      <c r="B10" s="3">
        <f>VIN_min</f>
        <v>12</v>
      </c>
      <c r="C10" s="32" t="s">
        <v>11</v>
      </c>
      <c r="E10" s="32" t="s">
        <v>29</v>
      </c>
      <c r="N10" s="60" t="s">
        <v>248</v>
      </c>
      <c r="O10" s="94">
        <f>wz_esr/(2*PI())</f>
        <v>48228770.633907683</v>
      </c>
      <c r="P10" s="80" t="str">
        <f t="shared" si="27"/>
        <v>131.578947368421</v>
      </c>
      <c r="Q10" s="81" t="str">
        <f t="shared" si="28"/>
        <v>1+454545.454545454i</v>
      </c>
      <c r="R10" s="81">
        <f t="shared" si="0"/>
        <v>454545.45454655396</v>
      </c>
      <c r="S10" s="81">
        <f t="shared" si="1"/>
        <v>1.5707941267948966</v>
      </c>
      <c r="T10" s="81" t="str">
        <f t="shared" si="29"/>
        <v>1+i</v>
      </c>
      <c r="U10" s="81">
        <f t="shared" si="2"/>
        <v>1.4142135623730951</v>
      </c>
      <c r="V10" s="81">
        <f t="shared" si="3"/>
        <v>0.78539816339744828</v>
      </c>
      <c r="W10" s="51" t="str">
        <f t="shared" si="30"/>
        <v>1-242.424242424242i</v>
      </c>
      <c r="X10" s="81">
        <f t="shared" si="4"/>
        <v>242.42630491546839</v>
      </c>
      <c r="Y10" s="81">
        <f t="shared" si="5"/>
        <v>-1.5666713501911422</v>
      </c>
      <c r="Z10" s="51" t="str">
        <f t="shared" si="31"/>
        <v>-1487.64916278917+102.604997341839i</v>
      </c>
      <c r="AA10" s="81">
        <f t="shared" si="6"/>
        <v>1491.1833613029746</v>
      </c>
      <c r="AB10" s="81">
        <f t="shared" si="7"/>
        <v>3.0727304753799012</v>
      </c>
      <c r="AC10" s="68" t="str">
        <f t="shared" si="8"/>
        <v>0.0000435034576915442+0.0000503672102700629i</v>
      </c>
      <c r="AD10" s="66">
        <f t="shared" si="9"/>
        <v>-83.536544416136621</v>
      </c>
      <c r="AE10" s="63">
        <f t="shared" si="10"/>
        <v>49.181981980204796</v>
      </c>
      <c r="AF10" s="51" t="str">
        <f t="shared" si="11"/>
        <v>-0.434440565864413</v>
      </c>
      <c r="AG10" s="51" t="str">
        <f t="shared" si="12"/>
        <v>7909.09090909091i</v>
      </c>
      <c r="AH10" s="51">
        <f t="shared" si="13"/>
        <v>7909.0909090909099</v>
      </c>
      <c r="AI10" s="51">
        <f t="shared" si="14"/>
        <v>1.5707963267948966</v>
      </c>
      <c r="AJ10" s="51" t="str">
        <f t="shared" si="15"/>
        <v>1+78.3078307830784i</v>
      </c>
      <c r="AK10" s="51">
        <f t="shared" si="16"/>
        <v>78.314215580258747</v>
      </c>
      <c r="AL10" s="51">
        <f t="shared" si="17"/>
        <v>1.5580269059501766</v>
      </c>
      <c r="AM10" s="51" t="str">
        <f t="shared" si="18"/>
        <v>1+7909.09090909091i</v>
      </c>
      <c r="AN10" s="51">
        <f t="shared" si="19"/>
        <v>7909.0909723092991</v>
      </c>
      <c r="AO10" s="51">
        <f t="shared" si="20"/>
        <v>1.5706698900139611</v>
      </c>
      <c r="AP10" s="60" t="str">
        <f t="shared" si="21"/>
        <v>-0.0000701338681248064+0.00554696034422845i</v>
      </c>
      <c r="AQ10" s="51">
        <f t="shared" si="22"/>
        <v>-45.11820456178144</v>
      </c>
      <c r="AR10" s="63">
        <f t="shared" si="23"/>
        <v>90.72438962730601</v>
      </c>
      <c r="AS10" s="60" t="str">
        <f t="shared" si="24"/>
        <v>-2.82435983782167E-07+2.37779507368921E-07i</v>
      </c>
      <c r="AT10" s="66">
        <f t="shared" si="25"/>
        <v>-128.65474897791808</v>
      </c>
      <c r="AU10" s="63">
        <f t="shared" si="26"/>
        <v>139.90637160751081</v>
      </c>
    </row>
    <row r="11" spans="1:52" s="32" customFormat="1" ht="15" thickBot="1" x14ac:dyDescent="0.35">
      <c r="A11" s="32" t="s">
        <v>27</v>
      </c>
      <c r="B11" s="3">
        <f>VIN_nom</f>
        <v>15</v>
      </c>
      <c r="C11" s="32" t="s">
        <v>11</v>
      </c>
      <c r="E11" s="32" t="s">
        <v>30</v>
      </c>
      <c r="N11" s="64" t="s">
        <v>246</v>
      </c>
      <c r="O11" s="95">
        <f>wp_lf/(2*PI())</f>
        <v>106.10329539459691</v>
      </c>
      <c r="P11" s="82" t="str">
        <f t="shared" si="27"/>
        <v>131.578947368421</v>
      </c>
      <c r="Q11" s="56" t="str">
        <f t="shared" si="28"/>
        <v>1+i</v>
      </c>
      <c r="R11" s="56">
        <f t="shared" si="0"/>
        <v>1.4142135623730951</v>
      </c>
      <c r="S11" s="56">
        <f t="shared" si="1"/>
        <v>0.78539816339744828</v>
      </c>
      <c r="T11" s="56" t="str">
        <f t="shared" si="29"/>
        <v>1+0.0000022i</v>
      </c>
      <c r="U11" s="56">
        <f t="shared" si="2"/>
        <v>1.0000000000024198</v>
      </c>
      <c r="V11" s="56">
        <f t="shared" si="3"/>
        <v>2.1999999999964506E-6</v>
      </c>
      <c r="W11" s="57" t="str">
        <f t="shared" si="30"/>
        <v>1-0.000533333333333334i</v>
      </c>
      <c r="X11" s="56">
        <f t="shared" si="4"/>
        <v>1.000000142222212</v>
      </c>
      <c r="Y11" s="56">
        <f t="shared" si="5"/>
        <v>-5.3333328276544136E-4</v>
      </c>
      <c r="Z11" s="57" t="str">
        <f t="shared" si="31"/>
        <v>0.999999992794938+0.000225730994152047i</v>
      </c>
      <c r="AA11" s="56">
        <f t="shared" si="6"/>
        <v>1.0000000182721789</v>
      </c>
      <c r="AB11" s="56">
        <f t="shared" si="7"/>
        <v>2.2573099194445092E-4</v>
      </c>
      <c r="AC11" s="61" t="str">
        <f t="shared" si="8"/>
        <v>65.7396692917368-65.83925669914i</v>
      </c>
      <c r="AD11" s="67">
        <f t="shared" si="9"/>
        <v>39.3734292743816</v>
      </c>
      <c r="AE11" s="65">
        <f t="shared" si="10"/>
        <v>-45.043365128605103</v>
      </c>
      <c r="AF11" s="57" t="str">
        <f t="shared" si="11"/>
        <v>-0.434440565864413</v>
      </c>
      <c r="AG11" s="57" t="str">
        <f t="shared" si="12"/>
        <v>0.0174i</v>
      </c>
      <c r="AH11" s="57">
        <f t="shared" si="13"/>
        <v>1.7399999999999999E-2</v>
      </c>
      <c r="AI11" s="57">
        <f t="shared" si="14"/>
        <v>1.5707963267948966</v>
      </c>
      <c r="AJ11" s="57" t="str">
        <f t="shared" si="15"/>
        <v>1+0.000172277227722773i</v>
      </c>
      <c r="AK11" s="57">
        <f t="shared" si="16"/>
        <v>1.0000000148397215</v>
      </c>
      <c r="AL11" s="57">
        <f t="shared" si="17"/>
        <v>1.7227722601840896E-4</v>
      </c>
      <c r="AM11" s="57" t="str">
        <f t="shared" si="18"/>
        <v>1+0.0174i</v>
      </c>
      <c r="AN11" s="57">
        <f t="shared" si="19"/>
        <v>1.0001513685437819</v>
      </c>
      <c r="AO11" s="57">
        <f t="shared" si="20"/>
        <v>1.7398244310920422E-2</v>
      </c>
      <c r="AP11" s="64" t="str">
        <f t="shared" si="21"/>
        <v>-0.430139161356891+24.9679227160795i</v>
      </c>
      <c r="AQ11" s="57">
        <f t="shared" si="22"/>
        <v>27.948936990380769</v>
      </c>
      <c r="AR11" s="65">
        <f t="shared" si="23"/>
        <v>90.986975211996153</v>
      </c>
      <c r="AS11" s="64" t="str">
        <f t="shared" si="24"/>
        <v>1615.59226673122+1669.70302491764i</v>
      </c>
      <c r="AT11" s="67">
        <f t="shared" si="25"/>
        <v>67.32236626476238</v>
      </c>
      <c r="AU11" s="65">
        <f t="shared" si="26"/>
        <v>45.943610083391086</v>
      </c>
      <c r="AX11" s="239" t="s">
        <v>586</v>
      </c>
      <c r="AY11" s="239"/>
      <c r="AZ11" s="179"/>
    </row>
    <row r="12" spans="1:52" s="32" customFormat="1" x14ac:dyDescent="0.3">
      <c r="A12" s="32" t="s">
        <v>28</v>
      </c>
      <c r="B12" s="3">
        <f>VIN_max</f>
        <v>18</v>
      </c>
      <c r="C12" s="32" t="s">
        <v>11</v>
      </c>
      <c r="E12" s="32" t="s">
        <v>31</v>
      </c>
      <c r="N12" s="73" t="s">
        <v>257</v>
      </c>
      <c r="O12" s="79">
        <f>wz_ea/(2*PI())</f>
        <v>6097.8905399193618</v>
      </c>
      <c r="P12" s="74" t="str">
        <f t="shared" si="27"/>
        <v>131.578947368421</v>
      </c>
      <c r="Q12" s="75" t="str">
        <f t="shared" si="28"/>
        <v>1+57.471264367816i</v>
      </c>
      <c r="R12" s="75">
        <f t="shared" si="0"/>
        <v>57.479963709412658</v>
      </c>
      <c r="S12" s="75">
        <f t="shared" si="1"/>
        <v>1.5533980824839762</v>
      </c>
      <c r="T12" s="75" t="str">
        <f t="shared" si="29"/>
        <v>1+0.000126436781609195i</v>
      </c>
      <c r="U12" s="75">
        <f t="shared" si="2"/>
        <v>1.0000000079931297</v>
      </c>
      <c r="V12" s="75">
        <f t="shared" si="3"/>
        <v>1.2643678093544457E-4</v>
      </c>
      <c r="W12" s="76" t="str">
        <f t="shared" si="30"/>
        <v>1-0.0306513409961686i</v>
      </c>
      <c r="X12" s="75">
        <f t="shared" si="4"/>
        <v>1.0004696420705945</v>
      </c>
      <c r="Y12" s="75">
        <f t="shared" si="5"/>
        <v>-3.0641747377179566E-2</v>
      </c>
      <c r="Z12" s="76" t="str">
        <f t="shared" si="31"/>
        <v>0.999976202067816+0.0129730456409222i</v>
      </c>
      <c r="AA12" s="75">
        <f t="shared" si="6"/>
        <v>1.0000603504864969</v>
      </c>
      <c r="AB12" s="75">
        <f t="shared" si="7"/>
        <v>1.2972626613974692E-2</v>
      </c>
      <c r="AC12" s="77" t="str">
        <f t="shared" si="8"/>
        <v>-0.0597402903694542-2.28928471749577i</v>
      </c>
      <c r="AD12" s="78">
        <f t="shared" si="9"/>
        <v>7.1969526382453894</v>
      </c>
      <c r="AE12" s="79">
        <f t="shared" si="10"/>
        <v>-91.49482929192223</v>
      </c>
      <c r="AF12" s="76" t="str">
        <f t="shared" si="11"/>
        <v>-0.434440565864413</v>
      </c>
      <c r="AG12" s="76" t="str">
        <f t="shared" si="12"/>
        <v>i</v>
      </c>
      <c r="AH12" s="76">
        <f t="shared" si="13"/>
        <v>1</v>
      </c>
      <c r="AI12" s="76">
        <f t="shared" si="14"/>
        <v>1.5707963267948966</v>
      </c>
      <c r="AJ12" s="76" t="str">
        <f t="shared" si="15"/>
        <v>1+0.0099009900990099i</v>
      </c>
      <c r="AK12" s="76">
        <f t="shared" si="16"/>
        <v>1.0000490136013038</v>
      </c>
      <c r="AL12" s="76">
        <f t="shared" si="17"/>
        <v>9.9006665879885717E-3</v>
      </c>
      <c r="AM12" s="76" t="str">
        <f t="shared" si="18"/>
        <v>1+i</v>
      </c>
      <c r="AN12" s="76">
        <f t="shared" si="19"/>
        <v>1.4142135623730951</v>
      </c>
      <c r="AO12" s="76">
        <f t="shared" si="20"/>
        <v>0.78539816339744828</v>
      </c>
      <c r="AP12" s="73" t="str">
        <f t="shared" si="21"/>
        <v>-0.43009701188302+0.43869895212068i</v>
      </c>
      <c r="AQ12" s="76">
        <f t="shared" si="22"/>
        <v>-4.2315183456986194</v>
      </c>
      <c r="AR12" s="79">
        <f t="shared" si="23"/>
        <v>134.43273359014211</v>
      </c>
      <c r="AS12" s="73" t="str">
        <f t="shared" si="24"/>
        <v>1.03000092704821+0.95840651355993i</v>
      </c>
      <c r="AT12" s="78">
        <f t="shared" si="25"/>
        <v>2.9654342925467851</v>
      </c>
      <c r="AU12" s="79">
        <f t="shared" si="26"/>
        <v>42.937904298219799</v>
      </c>
      <c r="AX12" s="32" t="s">
        <v>587</v>
      </c>
      <c r="AY12" s="32">
        <f>SUM(AX19:AX559)/1000</f>
        <v>7.5857757502918393</v>
      </c>
      <c r="AZ12" s="179"/>
    </row>
    <row r="13" spans="1:52" s="32" customFormat="1" ht="15" thickBot="1" x14ac:dyDescent="0.35">
      <c r="A13" s="32" t="s">
        <v>69</v>
      </c>
      <c r="B13" s="3">
        <f>Fsw</f>
        <v>2500000</v>
      </c>
      <c r="C13" s="32" t="s">
        <v>70</v>
      </c>
      <c r="E13" s="32" t="s">
        <v>71</v>
      </c>
      <c r="N13" s="64" t="s">
        <v>263</v>
      </c>
      <c r="O13" s="65">
        <f>wp1_ea/(2*PI())</f>
        <v>615886.94453185552</v>
      </c>
      <c r="P13" s="82" t="str">
        <f t="shared" si="27"/>
        <v>131.578947368421</v>
      </c>
      <c r="Q13" s="56" t="str">
        <f t="shared" si="28"/>
        <v>1+5804.59770114942i</v>
      </c>
      <c r="R13" s="56">
        <f t="shared" si="0"/>
        <v>5804.597787288033</v>
      </c>
      <c r="S13" s="56">
        <f t="shared" si="1"/>
        <v>1.5706240495688781</v>
      </c>
      <c r="T13" s="56" t="str">
        <f t="shared" si="29"/>
        <v>1+0.0127701149425287i</v>
      </c>
      <c r="U13" s="56">
        <f t="shared" si="2"/>
        <v>1.0000815345938778</v>
      </c>
      <c r="V13" s="56">
        <f t="shared" si="3"/>
        <v>1.2769420844719936E-2</v>
      </c>
      <c r="W13" s="57" t="str">
        <f t="shared" si="30"/>
        <v>1-3.09578544061302i</v>
      </c>
      <c r="X13" s="56">
        <f t="shared" si="4"/>
        <v>3.2532887197897993</v>
      </c>
      <c r="Y13" s="56">
        <f t="shared" si="5"/>
        <v>-1.2583564903064817</v>
      </c>
      <c r="Z13" s="57" t="str">
        <f t="shared" si="31"/>
        <v>0.757237293795339+1.31027760973314i</v>
      </c>
      <c r="AA13" s="56">
        <f t="shared" si="6"/>
        <v>1.5133524816388544</v>
      </c>
      <c r="AB13" s="56">
        <f t="shared" si="7"/>
        <v>1.0467694101780116</v>
      </c>
      <c r="AC13" s="61" t="str">
        <f t="shared" si="8"/>
        <v>-0.0365938782612452+0.03218528165717i</v>
      </c>
      <c r="AD13" s="67">
        <f t="shared" si="9"/>
        <v>-26.243356031119784</v>
      </c>
      <c r="AE13" s="65">
        <f t="shared" si="10"/>
        <v>138.667519335131</v>
      </c>
      <c r="AF13" s="57" t="str">
        <f t="shared" si="11"/>
        <v>-0.434440565864413</v>
      </c>
      <c r="AG13" s="57" t="str">
        <f t="shared" si="12"/>
        <v>101i</v>
      </c>
      <c r="AH13" s="57">
        <f t="shared" si="13"/>
        <v>101</v>
      </c>
      <c r="AI13" s="57">
        <f t="shared" si="14"/>
        <v>1.5707963267948966</v>
      </c>
      <c r="AJ13" s="57" t="str">
        <f t="shared" si="15"/>
        <v>1+i</v>
      </c>
      <c r="AK13" s="57">
        <f t="shared" si="16"/>
        <v>1.4142135623730951</v>
      </c>
      <c r="AL13" s="57">
        <f t="shared" si="17"/>
        <v>0.78539816339744828</v>
      </c>
      <c r="AM13" s="57" t="str">
        <f t="shared" si="18"/>
        <v>1+101i</v>
      </c>
      <c r="AN13" s="57">
        <f t="shared" si="19"/>
        <v>101.00495037373169</v>
      </c>
      <c r="AO13" s="57">
        <f t="shared" si="20"/>
        <v>1.560895660206908</v>
      </c>
      <c r="AP13" s="64" t="str">
        <f t="shared" si="21"/>
        <v>-0.215069587061591+0.219370978802822i</v>
      </c>
      <c r="AQ13" s="57">
        <f t="shared" si="22"/>
        <v>-10.251266826380579</v>
      </c>
      <c r="AR13" s="65">
        <f t="shared" si="23"/>
        <v>134.43273359014219</v>
      </c>
      <c r="AS13" s="64" t="str">
        <f t="shared" si="24"/>
        <v>0.00080971354645024-0.0149497101278292i</v>
      </c>
      <c r="AT13" s="67">
        <f t="shared" si="25"/>
        <v>-36.494622857500374</v>
      </c>
      <c r="AU13" s="65">
        <f t="shared" si="26"/>
        <v>-86.899747074726804</v>
      </c>
      <c r="AZ13" s="179"/>
    </row>
    <row r="14" spans="1:52" s="32" customFormat="1" x14ac:dyDescent="0.3">
      <c r="B14" s="27"/>
      <c r="O14" s="52"/>
      <c r="AX14" s="32" t="s">
        <v>588</v>
      </c>
      <c r="AY14" s="37">
        <f>SUM(AY19:AY559)</f>
        <v>48.202073312230723</v>
      </c>
      <c r="AZ14" s="179"/>
    </row>
    <row r="15" spans="1:52" ht="15" thickBot="1" x14ac:dyDescent="0.35">
      <c r="A15" s="70" t="s">
        <v>256</v>
      </c>
      <c r="N15" s="32"/>
      <c r="O15" s="52" t="s">
        <v>225</v>
      </c>
      <c r="P15" s="32">
        <f>B16</f>
        <v>15</v>
      </c>
      <c r="Q15" s="32" t="s">
        <v>11</v>
      </c>
      <c r="R15" s="32"/>
      <c r="S15" s="32"/>
      <c r="T15" s="32"/>
      <c r="U15" s="32"/>
      <c r="V15" s="32"/>
      <c r="W15" s="32"/>
      <c r="X15" s="32"/>
      <c r="Y15" s="32"/>
      <c r="Z15" s="32"/>
      <c r="AA15" s="32"/>
      <c r="AB15" s="32"/>
      <c r="AD15" s="32"/>
      <c r="AE15" s="32"/>
      <c r="AF15" s="32"/>
      <c r="AG15" s="32"/>
      <c r="AH15" s="32"/>
      <c r="AI15" s="32"/>
      <c r="AJ15" s="32"/>
      <c r="AK15" s="32"/>
      <c r="AL15" s="32"/>
      <c r="AM15" s="32"/>
      <c r="AN15" s="32"/>
      <c r="AO15" s="32"/>
      <c r="AQ15" s="32"/>
      <c r="AR15" s="32"/>
      <c r="AT15" s="32"/>
      <c r="AU15" s="32"/>
      <c r="AV15" s="32"/>
      <c r="AX15" s="179"/>
      <c r="AY15" s="179"/>
      <c r="AZ15" s="179"/>
    </row>
    <row r="16" spans="1:52" ht="15" thickBot="1" x14ac:dyDescent="0.35">
      <c r="A16" t="s">
        <v>227</v>
      </c>
      <c r="B16">
        <f>VIN_var</f>
        <v>15</v>
      </c>
      <c r="C16" t="s">
        <v>11</v>
      </c>
      <c r="E16" t="s">
        <v>228</v>
      </c>
      <c r="F16" s="32"/>
      <c r="G16" s="32"/>
      <c r="N16" s="32"/>
      <c r="O16" s="69"/>
      <c r="P16" s="279" t="s">
        <v>254</v>
      </c>
      <c r="Q16" s="279"/>
      <c r="R16" s="279"/>
      <c r="S16" s="279"/>
      <c r="T16" s="279"/>
      <c r="U16" s="279"/>
      <c r="V16" s="279"/>
      <c r="W16" s="279"/>
      <c r="X16" s="279"/>
      <c r="Y16" s="279"/>
      <c r="Z16" s="279"/>
      <c r="AA16" s="279"/>
      <c r="AB16" s="279"/>
      <c r="AC16" s="279"/>
      <c r="AD16" s="279"/>
      <c r="AE16" s="280"/>
      <c r="AF16" s="281" t="s">
        <v>255</v>
      </c>
      <c r="AG16" s="279"/>
      <c r="AH16" s="279"/>
      <c r="AI16" s="279"/>
      <c r="AJ16" s="279"/>
      <c r="AK16" s="279"/>
      <c r="AL16" s="279"/>
      <c r="AM16" s="279"/>
      <c r="AN16" s="279"/>
      <c r="AO16" s="279"/>
      <c r="AP16" s="279"/>
      <c r="AQ16" s="279"/>
      <c r="AR16" s="280"/>
      <c r="AS16" s="281" t="s">
        <v>266</v>
      </c>
      <c r="AT16" s="279"/>
      <c r="AU16" s="280"/>
      <c r="AV16" s="32"/>
      <c r="AX16" s="179"/>
      <c r="AY16" s="179"/>
      <c r="AZ16" s="179"/>
    </row>
    <row r="17" spans="1:52" x14ac:dyDescent="0.3">
      <c r="A17" t="s">
        <v>439</v>
      </c>
      <c r="C17" t="s">
        <v>12</v>
      </c>
      <c r="E17" t="s">
        <v>440</v>
      </c>
      <c r="N17" s="32"/>
      <c r="O17" s="54"/>
      <c r="P17" s="51"/>
      <c r="Q17" s="277" t="s">
        <v>246</v>
      </c>
      <c r="R17" s="277"/>
      <c r="S17" s="277"/>
      <c r="T17" s="278" t="s">
        <v>248</v>
      </c>
      <c r="U17" s="278"/>
      <c r="V17" s="278"/>
      <c r="W17" s="278" t="s">
        <v>248</v>
      </c>
      <c r="X17" s="278"/>
      <c r="Y17" s="278"/>
      <c r="Z17" s="278" t="s">
        <v>251</v>
      </c>
      <c r="AA17" s="278"/>
      <c r="AB17" s="278"/>
      <c r="AC17" s="282" t="s">
        <v>253</v>
      </c>
      <c r="AD17" s="278"/>
      <c r="AE17" s="283"/>
      <c r="AF17" s="51"/>
      <c r="AG17" s="278" t="s">
        <v>262</v>
      </c>
      <c r="AH17" s="278"/>
      <c r="AI17" s="278"/>
      <c r="AJ17" s="278" t="s">
        <v>263</v>
      </c>
      <c r="AK17" s="278"/>
      <c r="AL17" s="278"/>
      <c r="AM17" s="278" t="s">
        <v>257</v>
      </c>
      <c r="AN17" s="278"/>
      <c r="AO17" s="278"/>
      <c r="AP17" s="282" t="s">
        <v>253</v>
      </c>
      <c r="AQ17" s="278"/>
      <c r="AR17" s="283"/>
      <c r="AS17" s="282" t="s">
        <v>253</v>
      </c>
      <c r="AT17" s="278"/>
      <c r="AU17" s="283"/>
      <c r="AV17" s="32"/>
      <c r="AX17" s="179"/>
      <c r="AY17" s="179"/>
      <c r="AZ17" s="179"/>
    </row>
    <row r="18" spans="1:52" ht="15" thickBot="1" x14ac:dyDescent="0.35">
      <c r="N18" s="11"/>
      <c r="O18" s="55" t="s">
        <v>224</v>
      </c>
      <c r="P18" s="56" t="s">
        <v>229</v>
      </c>
      <c r="Q18" s="57" t="s">
        <v>252</v>
      </c>
      <c r="R18" s="56" t="s">
        <v>249</v>
      </c>
      <c r="S18" s="56" t="s">
        <v>250</v>
      </c>
      <c r="T18" s="56" t="s">
        <v>252</v>
      </c>
      <c r="U18" s="56" t="s">
        <v>249</v>
      </c>
      <c r="V18" s="56" t="s">
        <v>250</v>
      </c>
      <c r="W18" s="58" t="s">
        <v>252</v>
      </c>
      <c r="X18" s="56" t="s">
        <v>249</v>
      </c>
      <c r="Y18" s="56" t="s">
        <v>250</v>
      </c>
      <c r="Z18" s="58" t="s">
        <v>252</v>
      </c>
      <c r="AA18" s="58" t="s">
        <v>249</v>
      </c>
      <c r="AB18" s="58" t="s">
        <v>250</v>
      </c>
      <c r="AC18" s="62" t="s">
        <v>267</v>
      </c>
      <c r="AD18" s="58" t="s">
        <v>249</v>
      </c>
      <c r="AE18" s="59" t="s">
        <v>250</v>
      </c>
      <c r="AF18" s="56" t="s">
        <v>264</v>
      </c>
      <c r="AG18" s="58" t="s">
        <v>252</v>
      </c>
      <c r="AH18" s="58" t="s">
        <v>265</v>
      </c>
      <c r="AI18" s="58" t="s">
        <v>250</v>
      </c>
      <c r="AJ18" s="58" t="s">
        <v>252</v>
      </c>
      <c r="AK18" s="58" t="s">
        <v>265</v>
      </c>
      <c r="AL18" s="58" t="s">
        <v>250</v>
      </c>
      <c r="AM18" s="58" t="s">
        <v>252</v>
      </c>
      <c r="AN18" s="58" t="s">
        <v>265</v>
      </c>
      <c r="AO18" s="58" t="s">
        <v>250</v>
      </c>
      <c r="AP18" s="62" t="s">
        <v>267</v>
      </c>
      <c r="AQ18" s="58" t="s">
        <v>249</v>
      </c>
      <c r="AR18" s="59" t="s">
        <v>250</v>
      </c>
      <c r="AS18" s="62" t="s">
        <v>267</v>
      </c>
      <c r="AT18" s="58" t="s">
        <v>249</v>
      </c>
      <c r="AU18" s="59" t="s">
        <v>250</v>
      </c>
      <c r="AV18" s="32"/>
      <c r="AX18" s="179" t="s">
        <v>589</v>
      </c>
      <c r="AY18" s="179" t="s">
        <v>590</v>
      </c>
      <c r="AZ18" s="179"/>
    </row>
    <row r="19" spans="1:52" x14ac:dyDescent="0.3">
      <c r="A19" t="s">
        <v>32</v>
      </c>
      <c r="B19" s="45">
        <f>VOUT</f>
        <v>60</v>
      </c>
      <c r="C19" t="s">
        <v>11</v>
      </c>
      <c r="E19" t="s">
        <v>201</v>
      </c>
      <c r="N19" s="11">
        <v>1</v>
      </c>
      <c r="O19" s="52">
        <f>10^(1+(N19/100))</f>
        <v>10.232929922807543</v>
      </c>
      <c r="P19" s="50" t="str">
        <f t="shared" ref="P19:P82" si="32">COMPLEX(Adc,0)</f>
        <v>131.578947368421</v>
      </c>
      <c r="Q19" s="18" t="str">
        <f t="shared" ref="Q19:Q82" si="33">IMSUM(COMPLEX(1,0),IMDIV(COMPLEX(0,2*PI()*O19),COMPLEX(wp_lf,0)))</f>
        <v>1+0.096443092410574i</v>
      </c>
      <c r="R19" s="18">
        <f>IMABS(Q19)</f>
        <v>1.004639870836169</v>
      </c>
      <c r="S19" s="18">
        <f>IMARGUMENT(Q19)</f>
        <v>9.6145735715422592E-2</v>
      </c>
      <c r="T19" s="18" t="str">
        <f t="shared" ref="T19:T82" si="34">IMSUM(COMPLEX(1,0),IMDIV(COMPLEX(0,2*PI()*O19),COMPLEX(wz_esr,0)))</f>
        <v>1+2.12174803303263E-07i</v>
      </c>
      <c r="U19" s="18">
        <f>IMABS(T19)</f>
        <v>1.0000000000000226</v>
      </c>
      <c r="V19" s="18">
        <f>IMARGUMENT(T19)</f>
        <v>2.1217480330325982E-7</v>
      </c>
      <c r="W19" s="32" t="str">
        <f t="shared" ref="W19:W82" si="35">IMSUB(COMPLEX(1,0),IMDIV(COMPLEX(0,2*PI()*O19),COMPLEX(wz_rhp,0)))</f>
        <v>1-0.0000514363159523062i</v>
      </c>
      <c r="X19" s="18">
        <f>IMABS(W19)</f>
        <v>1.0000000013228472</v>
      </c>
      <c r="Y19" s="18">
        <f>IMARGUMENT(W19)</f>
        <v>-5.1436315906944606E-5</v>
      </c>
      <c r="Z19" s="32" t="str">
        <f t="shared" ref="Z19:Z82" si="36">IMSUM(COMPLEX(1,0),IMDIV(COMPLEX(0,2*PI()*O19),COMPLEX(Q*(wsl/2),0)),IMDIV(IMPOWER(COMPLEX(0,2*PI()*O19),2),IMPOWER(COMPLEX(wsl/2,0),2)))</f>
        <v>0.999999999932984+0.0000217701951289366i</v>
      </c>
      <c r="AA19" s="18">
        <f>IMABS(Z19)</f>
        <v>1.0000000001699547</v>
      </c>
      <c r="AB19" s="18">
        <f>IMARGUMENT(Z19)</f>
        <v>2.1770195126956283E-5</v>
      </c>
      <c r="AC19" s="68" t="str">
        <f>(IMDIV(IMPRODUCT(P19,T19,W19),IMPRODUCT(Q19,Z19)))</f>
        <v>130.365456560421-12.582452292131i</v>
      </c>
      <c r="AD19" s="66">
        <f>20*LOG(IMABS(AC19))</f>
        <v>42.343519966834052</v>
      </c>
      <c r="AE19" s="63">
        <f>(180/PI())*IMARGUMENT(AC19)</f>
        <v>-5.5129271420683201</v>
      </c>
      <c r="AF19" s="32" t="str">
        <f t="shared" ref="AF19:AF82" si="37">COMPLEX(Adc_ea,0)</f>
        <v>-0.434440565864413</v>
      </c>
      <c r="AG19" s="32" t="str">
        <f t="shared" ref="AG19:AG82" si="38">IMDIV(COMPLEX(0,2*PI()*O19),COMPLEX(wp0_ea,0))</f>
        <v>0.00167810980794399i</v>
      </c>
      <c r="AH19" s="32">
        <f>IMABS(AG19)</f>
        <v>1.67810980794399E-3</v>
      </c>
      <c r="AI19" s="32">
        <f>IMARGUMENT(AG19)</f>
        <v>1.5707963267948966</v>
      </c>
      <c r="AJ19" s="32" t="str">
        <f t="shared" ref="AJ19:AJ82" si="39">IMSUM(COMPLEX(1,0),IMDIV(COMPLEX(0,2*PI()*O19),COMPLEX(wp1_ea,0)))</f>
        <v>1+0.0000166149485935049i</v>
      </c>
      <c r="AK19" s="32">
        <f>IMABS(AJ19)</f>
        <v>1.0000000001380283</v>
      </c>
      <c r="AL19" s="32">
        <f>IMARGUMENT(AJ19)</f>
        <v>1.6614948591976013E-5</v>
      </c>
      <c r="AM19" s="32" t="str">
        <f t="shared" ref="AM19:AM82" si="40">IMSUM(COMPLEX(1,0),IMDIV(COMPLEX(0,2*PI()*O19),COMPLEX(wz_ea,0)))</f>
        <v>1+0.00167810980794399i</v>
      </c>
      <c r="AN19" s="32">
        <f>IMABS(AM19)</f>
        <v>1.0000014080252726</v>
      </c>
      <c r="AO19" s="32">
        <f>IMARGUMENT(AM19)</f>
        <v>1.6781082327315296E-3</v>
      </c>
      <c r="AP19" s="60" t="str">
        <f>IMPRODUCT(AF19,IMDIV(AM19,IMPRODUCT(AG19,AJ19)))</f>
        <v>-0.430139174004439+258.886859370485i</v>
      </c>
      <c r="AQ19" s="51">
        <f>20*LOG(IMABS(AP19))</f>
        <v>48.26221212877708</v>
      </c>
      <c r="AR19" s="63">
        <f>(180/PI())*IMARGUMENT(AP19)</f>
        <v>90.095196552870519</v>
      </c>
      <c r="AS19" s="60" t="str">
        <f>IMPRODUCT(AC19,AP19)</f>
        <v>3201.35626728514+33755.3158249627i</v>
      </c>
      <c r="AT19" s="66">
        <f>20*LOG(IMABS(AS19))</f>
        <v>90.605732095611145</v>
      </c>
      <c r="AU19" s="63">
        <f>(180/PI())*IMARGUMENT(AS19)</f>
        <v>84.582269410802226</v>
      </c>
      <c r="AV19" s="32"/>
      <c r="AX19" s="32">
        <f>SUM((AT20&lt;0)*(AT19&gt;0))*O19</f>
        <v>0</v>
      </c>
      <c r="AY19" s="32">
        <f>IF(AX19&gt;0,AU19,0)</f>
        <v>0</v>
      </c>
      <c r="AZ19" s="179"/>
    </row>
    <row r="20" spans="1:52" x14ac:dyDescent="0.3">
      <c r="A20" t="s">
        <v>34</v>
      </c>
      <c r="B20" s="45">
        <f>IOUT</f>
        <v>0.3</v>
      </c>
      <c r="C20" t="s">
        <v>12</v>
      </c>
      <c r="E20" t="s">
        <v>35</v>
      </c>
      <c r="N20" s="11">
        <v>2</v>
      </c>
      <c r="O20" s="52">
        <f t="shared" ref="O20:O83" si="41">10^(1+(N20/100))</f>
        <v>10.471285480509</v>
      </c>
      <c r="P20" s="50" t="str">
        <f t="shared" si="32"/>
        <v>131.578947368421</v>
      </c>
      <c r="Q20" s="18" t="str">
        <f t="shared" si="33"/>
        <v>1+0.0986895406176256i</v>
      </c>
      <c r="R20" s="18">
        <f t="shared" ref="R20:R83" si="42">IMABS(Q20)</f>
        <v>1.0048580125705908</v>
      </c>
      <c r="S20" s="18">
        <f t="shared" ref="S20:S83" si="43">IMARGUMENT(Q20)</f>
        <v>9.8371000314072907E-2</v>
      </c>
      <c r="T20" s="18" t="str">
        <f t="shared" si="34"/>
        <v>1+2.17116989358776E-07i</v>
      </c>
      <c r="U20" s="18">
        <f t="shared" ref="U20:U83" si="44">IMABS(T20)</f>
        <v>1.0000000000000235</v>
      </c>
      <c r="V20" s="18">
        <f t="shared" ref="V20:V83" si="45">IMARGUMENT(T20)</f>
        <v>2.1711698935877259E-7</v>
      </c>
      <c r="W20" s="32" t="str">
        <f t="shared" si="35"/>
        <v>1-0.0000526344216627337i</v>
      </c>
      <c r="X20" s="18">
        <f t="shared" ref="X20:X83" si="46">IMABS(W20)</f>
        <v>1.0000000013851911</v>
      </c>
      <c r="Y20" s="18">
        <f t="shared" ref="Y20:Y83" si="47">IMARGUMENT(W20)</f>
        <v>-5.2634421614127872E-5</v>
      </c>
      <c r="Z20" s="32" t="str">
        <f t="shared" si="36"/>
        <v>0.999999999929825+0.0000222772881160254i</v>
      </c>
      <c r="AA20" s="18">
        <f t="shared" ref="AA20:AA83" si="48">IMABS(Z20)</f>
        <v>1.0000000001779639</v>
      </c>
      <c r="AB20" s="18">
        <f t="shared" ref="AB20:AB83" si="49">IMARGUMENT(Z20)</f>
        <v>2.2277288113903466E-5</v>
      </c>
      <c r="AC20" s="68" t="str">
        <f t="shared" ref="AC20:AC83" si="50">(IMDIV(IMPRODUCT(P20,T20,W20),IMPRODUCT(Q20,Z20)))</f>
        <v>130.30881813759-12.8699456363139i</v>
      </c>
      <c r="AD20" s="66">
        <f t="shared" ref="AD20:AD83" si="51">20*LOG(IMABS(AC20))</f>
        <v>42.341634167819741</v>
      </c>
      <c r="AE20" s="63">
        <f t="shared" ref="AE20:AE83" si="52">(180/PI())*IMARGUMENT(AC20)</f>
        <v>-5.6405228293928618</v>
      </c>
      <c r="AF20" s="32" t="str">
        <f t="shared" si="37"/>
        <v>-0.434440565864413</v>
      </c>
      <c r="AG20" s="32" t="str">
        <f t="shared" si="38"/>
        <v>0.00171719800674669i</v>
      </c>
      <c r="AH20" s="32">
        <f t="shared" ref="AH20:AH83" si="53">IMABS(AG20)</f>
        <v>1.7171980067466901E-3</v>
      </c>
      <c r="AI20" s="32">
        <f t="shared" ref="AI20:AI83" si="54">IMARGUMENT(AG20)</f>
        <v>1.5707963267948966</v>
      </c>
      <c r="AJ20" s="32" t="str">
        <f t="shared" si="39"/>
        <v>1+0.0000170019604628385i</v>
      </c>
      <c r="AK20" s="32">
        <f t="shared" ref="AK20:AK83" si="55">IMABS(AJ20)</f>
        <v>1.0000000001445333</v>
      </c>
      <c r="AL20" s="32">
        <f t="shared" ref="AL20:AL83" si="56">IMARGUMENT(AJ20)</f>
        <v>1.7001960461200266E-5</v>
      </c>
      <c r="AM20" s="32" t="str">
        <f t="shared" si="40"/>
        <v>1+0.00171719800674669i</v>
      </c>
      <c r="AN20" s="32">
        <f t="shared" ref="AN20:AN83" si="57">IMABS(AM20)</f>
        <v>1.0000014743834102</v>
      </c>
      <c r="AO20" s="32">
        <f t="shared" ref="AO20:AO83" si="58">IMARGUMENT(AM20)</f>
        <v>1.7171963188762631E-3</v>
      </c>
      <c r="AP20" s="60" t="str">
        <f t="shared" ref="AP20:AP83" si="59">IMPRODUCT(AF20,IMDIV(AM20,IMPRODUCT(AG20,AJ20)))</f>
        <v>-0.430139173998842+252.993875322339i</v>
      </c>
      <c r="AQ20" s="51">
        <f t="shared" ref="AQ20:AQ83" si="60">20*LOG(IMABS(AP20))</f>
        <v>48.062212705099199</v>
      </c>
      <c r="AR20" s="63">
        <f t="shared" ref="AR20:AR83" si="61">(180/PI())*IMARGUMENT(AP20)</f>
        <v>90.097413961089131</v>
      </c>
      <c r="AS20" s="60" t="str">
        <f t="shared" ref="AS20:AS83" si="62">IMPRODUCT(AC20,AP20)</f>
        <v>3199.96649432041+32972.8687570882i</v>
      </c>
      <c r="AT20" s="66">
        <f t="shared" ref="AT20:AT83" si="63">20*LOG(IMABS(AS20))</f>
        <v>90.403846872918933</v>
      </c>
      <c r="AU20" s="63">
        <f t="shared" ref="AU20:AU83" si="64">(180/PI())*IMARGUMENT(AS20)</f>
        <v>84.456891131696281</v>
      </c>
      <c r="AV20" s="32"/>
      <c r="AX20" s="32">
        <f t="shared" ref="AX20:AX83" si="65">SUM((AT21&lt;0)*(AT20&gt;0))*O20</f>
        <v>0</v>
      </c>
      <c r="AY20" s="32">
        <f t="shared" ref="AY20:AY83" si="66">IF(AX20&gt;0,AU20,0)</f>
        <v>0</v>
      </c>
    </row>
    <row r="21" spans="1:52" s="32" customFormat="1" x14ac:dyDescent="0.3">
      <c r="A21"/>
      <c r="B21"/>
      <c r="C21"/>
      <c r="D21"/>
      <c r="E21"/>
      <c r="F21"/>
      <c r="G21"/>
      <c r="N21" s="11">
        <v>3</v>
      </c>
      <c r="O21" s="52">
        <f t="shared" si="41"/>
        <v>10.715193052376069</v>
      </c>
      <c r="P21" s="50" t="str">
        <f t="shared" si="32"/>
        <v>131.578947368421</v>
      </c>
      <c r="Q21" s="18" t="str">
        <f t="shared" si="33"/>
        <v>1+0.100988315325423i</v>
      </c>
      <c r="R21" s="18">
        <f t="shared" si="42"/>
        <v>1.0050863842636946</v>
      </c>
      <c r="S21" s="18">
        <f t="shared" si="43"/>
        <v>0.10064708646137184</v>
      </c>
      <c r="T21" s="18" t="str">
        <f t="shared" si="34"/>
        <v>1+2.22174293715931E-07i</v>
      </c>
      <c r="U21" s="18">
        <f t="shared" si="44"/>
        <v>1.0000000000000246</v>
      </c>
      <c r="V21" s="18">
        <f t="shared" si="45"/>
        <v>2.2217429371592735E-7</v>
      </c>
      <c r="W21" s="32" t="str">
        <f t="shared" si="35"/>
        <v>1-0.0000538604348402257i</v>
      </c>
      <c r="X21" s="18">
        <f t="shared" si="46"/>
        <v>1.0000000014504731</v>
      </c>
      <c r="Y21" s="18">
        <f t="shared" si="47"/>
        <v>-5.3860434788143622E-5</v>
      </c>
      <c r="Z21" s="32" t="str">
        <f t="shared" si="36"/>
        <v>0.999999999926518+0.0000227961928161481i</v>
      </c>
      <c r="AA21" s="18">
        <f t="shared" si="48"/>
        <v>1.0000000001863509</v>
      </c>
      <c r="AB21" s="18">
        <f t="shared" si="49"/>
        <v>2.2796192813874401E-5</v>
      </c>
      <c r="AC21" s="68" t="str">
        <f t="shared" si="50"/>
        <v>130.249563111771-13.163741115442i</v>
      </c>
      <c r="AD21" s="66">
        <f t="shared" si="51"/>
        <v>42.339660371094084</v>
      </c>
      <c r="AE21" s="63">
        <f t="shared" si="52"/>
        <v>-5.7710326461088393</v>
      </c>
      <c r="AF21" s="32" t="str">
        <f t="shared" si="37"/>
        <v>-0.434440565864413</v>
      </c>
      <c r="AG21" s="32" t="str">
        <f t="shared" si="38"/>
        <v>0.00175719668666236i</v>
      </c>
      <c r="AH21" s="32">
        <f t="shared" si="53"/>
        <v>1.7571966866623599E-3</v>
      </c>
      <c r="AI21" s="32">
        <f t="shared" si="54"/>
        <v>1.5707963267948966</v>
      </c>
      <c r="AJ21" s="32" t="str">
        <f t="shared" si="39"/>
        <v>1+0.0000173979869966571i</v>
      </c>
      <c r="AK21" s="32">
        <f t="shared" si="55"/>
        <v>1.0000000001513449</v>
      </c>
      <c r="AL21" s="32">
        <f t="shared" si="56"/>
        <v>1.7397986994901701E-5</v>
      </c>
      <c r="AM21" s="32" t="str">
        <f t="shared" si="40"/>
        <v>1+0.00175719668666236i</v>
      </c>
      <c r="AN21" s="32">
        <f t="shared" si="57"/>
        <v>1.0000015438689061</v>
      </c>
      <c r="AO21" s="32">
        <f t="shared" si="58"/>
        <v>1.7571948780767635E-3</v>
      </c>
      <c r="AP21" s="60" t="str">
        <f t="shared" si="59"/>
        <v>-0.430139173992982+247.23503197566i</v>
      </c>
      <c r="AQ21" s="51">
        <f t="shared" si="60"/>
        <v>47.862213308582511</v>
      </c>
      <c r="AR21" s="63">
        <f t="shared" si="61"/>
        <v>90.099683019068962</v>
      </c>
      <c r="AS21" s="60" t="str">
        <f t="shared" si="62"/>
        <v>3198.51251610577+32207.9171414845i</v>
      </c>
      <c r="AT21" s="66">
        <f t="shared" si="63"/>
        <v>90.201873679676595</v>
      </c>
      <c r="AU21" s="63">
        <f t="shared" si="64"/>
        <v>84.328650372960141</v>
      </c>
      <c r="AX21" s="32">
        <f t="shared" si="65"/>
        <v>0</v>
      </c>
      <c r="AY21" s="32">
        <f t="shared" si="66"/>
        <v>0</v>
      </c>
    </row>
    <row r="22" spans="1:52" x14ac:dyDescent="0.3">
      <c r="A22" t="s">
        <v>202</v>
      </c>
      <c r="N22" s="11">
        <v>4</v>
      </c>
      <c r="O22" s="52">
        <f t="shared" si="41"/>
        <v>10.964781961431854</v>
      </c>
      <c r="P22" s="50" t="str">
        <f t="shared" si="32"/>
        <v>131.578947368421</v>
      </c>
      <c r="Q22" s="18" t="str">
        <f t="shared" si="33"/>
        <v>1+0.103340635374745i</v>
      </c>
      <c r="R22" s="18">
        <f t="shared" si="42"/>
        <v>1.0053254631807831</v>
      </c>
      <c r="S22" s="18">
        <f t="shared" si="43"/>
        <v>0.10297510658521991</v>
      </c>
      <c r="T22" s="18" t="str">
        <f t="shared" si="34"/>
        <v>1+2.27349397824438E-07i</v>
      </c>
      <c r="U22" s="18">
        <f t="shared" si="44"/>
        <v>1.0000000000000258</v>
      </c>
      <c r="V22" s="18">
        <f t="shared" si="45"/>
        <v>2.2734939782443407E-7</v>
      </c>
      <c r="W22" s="32" t="str">
        <f t="shared" si="35"/>
        <v>1-0.0000551150055331971i</v>
      </c>
      <c r="X22" s="18">
        <f t="shared" si="46"/>
        <v>1.0000000015188319</v>
      </c>
      <c r="Y22" s="18">
        <f t="shared" si="47"/>
        <v>-5.5115005477390145E-5</v>
      </c>
      <c r="Z22" s="32" t="str">
        <f t="shared" si="36"/>
        <v>0.999999999923055+0.0000233271843594453i</v>
      </c>
      <c r="AA22" s="18">
        <f t="shared" si="48"/>
        <v>1.0000000001951337</v>
      </c>
      <c r="AB22" s="18">
        <f t="shared" si="49"/>
        <v>2.332718435700899E-5</v>
      </c>
      <c r="AC22" s="68" t="str">
        <f t="shared" si="50"/>
        <v>130.187573170324-13.4639579556938i</v>
      </c>
      <c r="AD22" s="66">
        <f t="shared" si="51"/>
        <v>42.337594513214384</v>
      </c>
      <c r="AE22" s="63">
        <f t="shared" si="52"/>
        <v>-5.9045203824952388</v>
      </c>
      <c r="AF22" s="32" t="str">
        <f t="shared" si="37"/>
        <v>-0.434440565864413</v>
      </c>
      <c r="AG22" s="32" t="str">
        <f t="shared" si="38"/>
        <v>0.00179812705552056i</v>
      </c>
      <c r="AH22" s="32">
        <f t="shared" si="53"/>
        <v>1.79812705552056E-3</v>
      </c>
      <c r="AI22" s="32">
        <f t="shared" si="54"/>
        <v>1.5707963267948966</v>
      </c>
      <c r="AJ22" s="32" t="str">
        <f t="shared" si="39"/>
        <v>1+0.0000178032381734709i</v>
      </c>
      <c r="AK22" s="32">
        <f t="shared" si="55"/>
        <v>1.0000000001584777</v>
      </c>
      <c r="AL22" s="32">
        <f t="shared" si="56"/>
        <v>1.7803238171589956E-5</v>
      </c>
      <c r="AM22" s="32" t="str">
        <f t="shared" si="40"/>
        <v>1+0.00179812705552056i</v>
      </c>
      <c r="AN22" s="32">
        <f t="shared" si="57"/>
        <v>1.0000016166291472</v>
      </c>
      <c r="AO22" s="32">
        <f t="shared" si="58"/>
        <v>1.7981251175863476E-3</v>
      </c>
      <c r="AP22" s="60" t="str">
        <f t="shared" si="59"/>
        <v>-0.430139173986846+241.607275915475i</v>
      </c>
      <c r="AQ22" s="51">
        <f t="shared" si="60"/>
        <v>47.662213940506952</v>
      </c>
      <c r="AR22" s="63">
        <f t="shared" si="61"/>
        <v>90.102004929865259</v>
      </c>
      <c r="AS22" s="60" t="str">
        <f t="shared" si="62"/>
        <v>3196.99142952883+31460.0562874822i</v>
      </c>
      <c r="AT22" s="66">
        <f t="shared" si="63"/>
        <v>89.999808453721329</v>
      </c>
      <c r="AU22" s="63">
        <f t="shared" si="64"/>
        <v>84.197484547370024</v>
      </c>
      <c r="AV22" s="32"/>
      <c r="AX22" s="32">
        <f t="shared" si="65"/>
        <v>0</v>
      </c>
      <c r="AY22" s="32">
        <f t="shared" si="66"/>
        <v>0</v>
      </c>
    </row>
    <row r="23" spans="1:52" x14ac:dyDescent="0.3">
      <c r="A23" t="s">
        <v>203</v>
      </c>
      <c r="B23" s="45">
        <f>Lm</f>
        <v>9.9999999999999991E-6</v>
      </c>
      <c r="C23" t="s">
        <v>99</v>
      </c>
      <c r="E23" t="s">
        <v>204</v>
      </c>
      <c r="N23" s="11">
        <v>5</v>
      </c>
      <c r="O23" s="52">
        <f t="shared" si="41"/>
        <v>11.220184543019636</v>
      </c>
      <c r="P23" s="50" t="str">
        <f t="shared" si="32"/>
        <v>131.578947368421</v>
      </c>
      <c r="Q23" s="18" t="str">
        <f t="shared" si="33"/>
        <v>1+0.105747747996817i</v>
      </c>
      <c r="R23" s="18">
        <f t="shared" si="42"/>
        <v>1.0055757486168799</v>
      </c>
      <c r="S23" s="18">
        <f t="shared" si="43"/>
        <v>0.10535619404049965</v>
      </c>
      <c r="T23" s="18" t="str">
        <f t="shared" si="34"/>
        <v>1+2.32645045592997E-07i</v>
      </c>
      <c r="U23" s="18">
        <f t="shared" si="44"/>
        <v>1.0000000000000271</v>
      </c>
      <c r="V23" s="18">
        <f t="shared" si="45"/>
        <v>2.3264504559299279E-7</v>
      </c>
      <c r="W23" s="32" t="str">
        <f t="shared" si="35"/>
        <v>1-0.0000563987989316356i</v>
      </c>
      <c r="X23" s="18">
        <f t="shared" si="46"/>
        <v>1.0000000015904122</v>
      </c>
      <c r="Y23" s="18">
        <f t="shared" si="47"/>
        <v>-5.6398798871837373E-5</v>
      </c>
      <c r="Z23" s="32" t="str">
        <f t="shared" si="36"/>
        <v>0.999999999919429+0.0000238705442846615i</v>
      </c>
      <c r="AA23" s="18">
        <f t="shared" si="48"/>
        <v>1.0000000002043303</v>
      </c>
      <c r="AB23" s="18">
        <f t="shared" si="49"/>
        <v>2.3870544282050938E-5</v>
      </c>
      <c r="AC23" s="68" t="str">
        <f t="shared" si="50"/>
        <v>130.12272489599-13.7707162654515i</v>
      </c>
      <c r="AD23" s="66">
        <f t="shared" si="51"/>
        <v>42.335432347186909</v>
      </c>
      <c r="AE23" s="63">
        <f t="shared" si="52"/>
        <v>-6.0410510290897168</v>
      </c>
      <c r="AF23" s="32" t="str">
        <f t="shared" si="37"/>
        <v>-0.434440565864413</v>
      </c>
      <c r="AG23" s="32" t="str">
        <f t="shared" si="38"/>
        <v>0.00184001081514461i</v>
      </c>
      <c r="AH23" s="32">
        <f t="shared" si="53"/>
        <v>1.84001081514461E-3</v>
      </c>
      <c r="AI23" s="32">
        <f t="shared" si="54"/>
        <v>1.5707963267948966</v>
      </c>
      <c r="AJ23" s="32" t="str">
        <f t="shared" si="39"/>
        <v>1+0.000018217928862818i</v>
      </c>
      <c r="AK23" s="32">
        <f t="shared" si="55"/>
        <v>1.0000000001659464</v>
      </c>
      <c r="AL23" s="32">
        <f t="shared" si="56"/>
        <v>1.8217928860802532E-5</v>
      </c>
      <c r="AM23" s="32" t="str">
        <f t="shared" si="40"/>
        <v>1+0.00184001081514461i</v>
      </c>
      <c r="AN23" s="32">
        <f t="shared" si="57"/>
        <v>1.0000016928184672</v>
      </c>
      <c r="AO23" s="32">
        <f t="shared" si="58"/>
        <v>1.840008738610879E-3</v>
      </c>
      <c r="AP23" s="60" t="str">
        <f t="shared" si="59"/>
        <v>-0.430139173980421+236.107623231032i</v>
      </c>
      <c r="AQ23" s="51">
        <f t="shared" si="60"/>
        <v>47.462214602213024</v>
      </c>
      <c r="AR23" s="63">
        <f t="shared" si="61"/>
        <v>90.104380924554391</v>
      </c>
      <c r="AS23" s="60" t="str">
        <f t="shared" si="62"/>
        <v>3195.40020622182+30728.8906280572i</v>
      </c>
      <c r="AT23" s="66">
        <f t="shared" si="63"/>
        <v>89.797646949399933</v>
      </c>
      <c r="AU23" s="63">
        <f t="shared" si="64"/>
        <v>84.06332989546469</v>
      </c>
      <c r="AV23" s="32"/>
      <c r="AX23" s="32">
        <f t="shared" si="65"/>
        <v>0</v>
      </c>
      <c r="AY23" s="32">
        <f t="shared" si="66"/>
        <v>0</v>
      </c>
    </row>
    <row r="24" spans="1:52" x14ac:dyDescent="0.3">
      <c r="A24" s="32"/>
      <c r="B24" s="32"/>
      <c r="C24" s="32"/>
      <c r="D24" s="32"/>
      <c r="E24" s="32"/>
      <c r="F24" s="32"/>
      <c r="G24" s="32"/>
      <c r="N24" s="11">
        <v>6</v>
      </c>
      <c r="O24" s="52">
        <f t="shared" si="41"/>
        <v>11.481536214968834</v>
      </c>
      <c r="P24" s="50" t="str">
        <f t="shared" si="32"/>
        <v>131.578947368421</v>
      </c>
      <c r="Q24" s="18" t="str">
        <f t="shared" si="33"/>
        <v>1+0.108210929474614i</v>
      </c>
      <c r="R24" s="18">
        <f t="shared" si="42"/>
        <v>1.0058377628910937</v>
      </c>
      <c r="S24" s="18">
        <f t="shared" si="43"/>
        <v>0.10779150325423889</v>
      </c>
      <c r="T24" s="18" t="str">
        <f t="shared" si="34"/>
        <v>1+2.3806404484415E-07i</v>
      </c>
      <c r="U24" s="18">
        <f t="shared" si="44"/>
        <v>1.0000000000000284</v>
      </c>
      <c r="V24" s="18">
        <f t="shared" si="45"/>
        <v>2.380640448441455E-7</v>
      </c>
      <c r="W24" s="32" t="str">
        <f t="shared" si="35"/>
        <v>1-0.000057712495719794i</v>
      </c>
      <c r="X24" s="18">
        <f t="shared" si="46"/>
        <v>1.0000000016653661</v>
      </c>
      <c r="Y24" s="18">
        <f t="shared" si="47"/>
        <v>-5.771249565571905E-5</v>
      </c>
      <c r="Z24" s="32" t="str">
        <f t="shared" si="36"/>
        <v>0.999999999915632+0.0000244265606884216i</v>
      </c>
      <c r="AA24" s="18">
        <f t="shared" si="48"/>
        <v>1.0000000002139604</v>
      </c>
      <c r="AB24" s="18">
        <f t="shared" si="49"/>
        <v>2.4426560685624326E-5</v>
      </c>
      <c r="AC24" s="68" t="str">
        <f t="shared" si="50"/>
        <v>130.054889570114-14.0841369294587i</v>
      </c>
      <c r="AD24" s="66">
        <f t="shared" si="51"/>
        <v>42.333169434564901</v>
      </c>
      <c r="AE24" s="63">
        <f t="shared" si="52"/>
        <v>-6.1806907850350843</v>
      </c>
      <c r="AF24" s="32" t="str">
        <f t="shared" si="37"/>
        <v>-0.434440565864413</v>
      </c>
      <c r="AG24" s="32" t="str">
        <f t="shared" si="38"/>
        <v>0.00188287017285828i</v>
      </c>
      <c r="AH24" s="32">
        <f t="shared" si="53"/>
        <v>1.88287017285828E-3</v>
      </c>
      <c r="AI24" s="32">
        <f t="shared" si="54"/>
        <v>1.5707963267948966</v>
      </c>
      <c r="AJ24" s="32" t="str">
        <f t="shared" si="39"/>
        <v>1+0.0000186422789391909i</v>
      </c>
      <c r="AK24" s="32">
        <f t="shared" si="55"/>
        <v>1.0000000001737672</v>
      </c>
      <c r="AL24" s="32">
        <f t="shared" si="56"/>
        <v>1.8642278937031288E-5</v>
      </c>
      <c r="AM24" s="32" t="str">
        <f t="shared" si="40"/>
        <v>1+0.00188287017285828i</v>
      </c>
      <c r="AN24" s="32">
        <f t="shared" si="57"/>
        <v>1.0000017725984729</v>
      </c>
      <c r="AO24" s="32">
        <f t="shared" si="58"/>
        <v>1.8828679478125122E-3</v>
      </c>
      <c r="AP24" s="60" t="str">
        <f t="shared" si="59"/>
        <v>-0.430139173973693+230.733157933679i</v>
      </c>
      <c r="AQ24" s="51">
        <f t="shared" si="60"/>
        <v>47.262215295104191</v>
      </c>
      <c r="AR24" s="63">
        <f t="shared" si="61"/>
        <v>90.106812262886521</v>
      </c>
      <c r="AS24" s="60" t="str">
        <f t="shared" si="62"/>
        <v>3193.73568773343+30014.0335142533i</v>
      </c>
      <c r="AT24" s="66">
        <f t="shared" si="63"/>
        <v>89.595384729669107</v>
      </c>
      <c r="AU24" s="63">
        <f t="shared" si="64"/>
        <v>83.926121477851439</v>
      </c>
      <c r="AV24" s="32"/>
      <c r="AX24" s="32">
        <f t="shared" si="65"/>
        <v>0</v>
      </c>
      <c r="AY24" s="32">
        <f t="shared" si="66"/>
        <v>0</v>
      </c>
    </row>
    <row r="25" spans="1:52" x14ac:dyDescent="0.3">
      <c r="A25" t="s">
        <v>159</v>
      </c>
      <c r="B25" s="45">
        <f>R_cs</f>
        <v>0.19</v>
      </c>
      <c r="C25" s="2" t="s">
        <v>37</v>
      </c>
      <c r="E25" t="s">
        <v>205</v>
      </c>
      <c r="N25" s="11">
        <v>7</v>
      </c>
      <c r="O25" s="52">
        <f t="shared" si="41"/>
        <v>11.748975549395301</v>
      </c>
      <c r="P25" s="50" t="str">
        <f t="shared" si="32"/>
        <v>131.578947368421</v>
      </c>
      <c r="Q25" s="18" t="str">
        <f t="shared" si="33"/>
        <v>1+0.110731485819559i</v>
      </c>
      <c r="R25" s="18">
        <f t="shared" si="42"/>
        <v>1.0061120523837328</v>
      </c>
      <c r="S25" s="18">
        <f t="shared" si="43"/>
        <v>0.11028220985135555</v>
      </c>
      <c r="T25" s="18" t="str">
        <f t="shared" si="34"/>
        <v>1+2.4360926880303E-07i</v>
      </c>
      <c r="U25" s="18">
        <f t="shared" si="44"/>
        <v>1.0000000000000298</v>
      </c>
      <c r="V25" s="18">
        <f t="shared" si="45"/>
        <v>2.4360926880302518E-7</v>
      </c>
      <c r="W25" s="32" t="str">
        <f t="shared" si="35"/>
        <v>1-0.0000590567924370982i</v>
      </c>
      <c r="X25" s="18">
        <f t="shared" si="46"/>
        <v>1.0000000017438524</v>
      </c>
      <c r="Y25" s="18">
        <f t="shared" si="47"/>
        <v>-5.9056792368440648E-5</v>
      </c>
      <c r="Z25" s="32" t="str">
        <f t="shared" si="36"/>
        <v>0.999999999911655+0.0000249955283779824i</v>
      </c>
      <c r="AA25" s="18">
        <f t="shared" si="48"/>
        <v>1.0000000002240435</v>
      </c>
      <c r="AB25" s="18">
        <f t="shared" si="49"/>
        <v>2.4995528374985089E-5</v>
      </c>
      <c r="AC25" s="68" t="str">
        <f t="shared" si="50"/>
        <v>129.98393297058-14.4043414925422i</v>
      </c>
      <c r="AD25" s="66">
        <f t="shared" si="51"/>
        <v>42.330801137243682</v>
      </c>
      <c r="AE25" s="63">
        <f t="shared" si="52"/>
        <v>-6.3235070653126355</v>
      </c>
      <c r="AF25" s="32" t="str">
        <f t="shared" si="37"/>
        <v>-0.434440565864413</v>
      </c>
      <c r="AG25" s="32" t="str">
        <f t="shared" si="38"/>
        <v>0.00192672785326033i</v>
      </c>
      <c r="AH25" s="32">
        <f t="shared" si="53"/>
        <v>1.9267278532603301E-3</v>
      </c>
      <c r="AI25" s="32">
        <f t="shared" si="54"/>
        <v>1.5707963267948966</v>
      </c>
      <c r="AJ25" s="32" t="str">
        <f t="shared" si="39"/>
        <v>1+0.0000190765133986171i</v>
      </c>
      <c r="AK25" s="32">
        <f t="shared" si="55"/>
        <v>1.0000000001819567</v>
      </c>
      <c r="AL25" s="32">
        <f t="shared" si="56"/>
        <v>1.9076513396303035E-5</v>
      </c>
      <c r="AM25" s="32" t="str">
        <f t="shared" si="40"/>
        <v>1+0.00192672785326033i</v>
      </c>
      <c r="AN25" s="32">
        <f t="shared" si="57"/>
        <v>1.0000018561383877</v>
      </c>
      <c r="AO25" s="32">
        <f t="shared" si="58"/>
        <v>1.9267254690810739E-3</v>
      </c>
      <c r="AP25" s="60" t="str">
        <f t="shared" si="59"/>
        <v>-0.430139173966648+225.481030410778i</v>
      </c>
      <c r="AQ25" s="51">
        <f t="shared" si="60"/>
        <v>47.06221602065024</v>
      </c>
      <c r="AR25" s="63">
        <f t="shared" si="61"/>
        <v>90.109300233953263</v>
      </c>
      <c r="AS25" s="60" t="str">
        <f t="shared" si="62"/>
        <v>3191.99458057024+29315.107014603i</v>
      </c>
      <c r="AT25" s="66">
        <f t="shared" si="63"/>
        <v>89.393017157893908</v>
      </c>
      <c r="AU25" s="63">
        <f t="shared" si="64"/>
        <v>83.785793168640637</v>
      </c>
      <c r="AV25" s="32"/>
      <c r="AX25" s="32">
        <f t="shared" si="65"/>
        <v>0</v>
      </c>
      <c r="AY25" s="32">
        <f t="shared" si="66"/>
        <v>0</v>
      </c>
    </row>
    <row r="26" spans="1:52" s="32" customFormat="1" x14ac:dyDescent="0.3">
      <c r="A26" t="s">
        <v>160</v>
      </c>
      <c r="B26" s="45">
        <f>R_sl</f>
        <v>0</v>
      </c>
      <c r="C26" s="2" t="s">
        <v>37</v>
      </c>
      <c r="D26"/>
      <c r="E26" t="s">
        <v>206</v>
      </c>
      <c r="F26"/>
      <c r="G26"/>
      <c r="K26"/>
      <c r="N26" s="11">
        <v>8</v>
      </c>
      <c r="O26" s="52">
        <f t="shared" si="41"/>
        <v>12.022644346174133</v>
      </c>
      <c r="P26" s="50" t="str">
        <f t="shared" si="32"/>
        <v>131.578947368421</v>
      </c>
      <c r="Q26" s="18" t="str">
        <f t="shared" si="33"/>
        <v>1+0.11331075346399i</v>
      </c>
      <c r="R26" s="18">
        <f t="shared" si="42"/>
        <v>1.0063991886178054</v>
      </c>
      <c r="S26" s="18">
        <f t="shared" si="43"/>
        <v>0.11282951075911372</v>
      </c>
      <c r="T26" s="18" t="str">
        <f t="shared" si="34"/>
        <v>1+2.49283657620779E-07i</v>
      </c>
      <c r="U26" s="18">
        <f t="shared" si="44"/>
        <v>1.0000000000000311</v>
      </c>
      <c r="V26" s="18">
        <f t="shared" si="45"/>
        <v>2.4928365762077382E-7</v>
      </c>
      <c r="W26" s="32" t="str">
        <f t="shared" si="35"/>
        <v>1-0.0000604324018474616i</v>
      </c>
      <c r="X26" s="18">
        <f t="shared" si="46"/>
        <v>1.0000000018260375</v>
      </c>
      <c r="Y26" s="18">
        <f t="shared" si="47"/>
        <v>-6.0432401773893702E-5</v>
      </c>
      <c r="Z26" s="32" t="str">
        <f t="shared" si="36"/>
        <v>0.999999999907492+0.000025577749027544i</v>
      </c>
      <c r="AA26" s="18">
        <f t="shared" si="48"/>
        <v>1.0000000002346028</v>
      </c>
      <c r="AB26" s="18">
        <f t="shared" si="49"/>
        <v>2.557774902433231E-5</v>
      </c>
      <c r="AC26" s="68" t="str">
        <f t="shared" si="50"/>
        <v>129.909715164558-14.7314520322163i</v>
      </c>
      <c r="AD26" s="66">
        <f t="shared" si="51"/>
        <v>42.328322608944916</v>
      </c>
      <c r="AE26" s="63">
        <f t="shared" si="52"/>
        <v>-6.4695685067576747</v>
      </c>
      <c r="AF26" s="32" t="str">
        <f t="shared" si="37"/>
        <v>-0.434440565864413</v>
      </c>
      <c r="AG26" s="32" t="str">
        <f t="shared" si="38"/>
        <v>0.00197160711027344i</v>
      </c>
      <c r="AH26" s="32">
        <f t="shared" si="53"/>
        <v>1.9716071102734399E-3</v>
      </c>
      <c r="AI26" s="32">
        <f t="shared" si="54"/>
        <v>1.5707963267948966</v>
      </c>
      <c r="AJ26" s="32" t="str">
        <f t="shared" si="39"/>
        <v>1+0.0000195208624779548i</v>
      </c>
      <c r="AK26" s="32">
        <f t="shared" si="55"/>
        <v>1.000000000190532</v>
      </c>
      <c r="AL26" s="32">
        <f t="shared" si="56"/>
        <v>1.9520862475475234E-5</v>
      </c>
      <c r="AM26" s="32" t="str">
        <f t="shared" si="40"/>
        <v>1+0.00197160711027344i</v>
      </c>
      <c r="AN26" s="32">
        <f t="shared" si="57"/>
        <v>1.0000019436154099</v>
      </c>
      <c r="AO26" s="32">
        <f t="shared" si="58"/>
        <v>1.971604555579608E-3</v>
      </c>
      <c r="AP26" s="60" t="str">
        <f t="shared" si="59"/>
        <v>-0.430139173959271+220.348455914794i</v>
      </c>
      <c r="AQ26" s="51">
        <f t="shared" si="60"/>
        <v>46.86221678039005</v>
      </c>
      <c r="AR26" s="63">
        <f t="shared" si="61"/>
        <v>90.111846156871181</v>
      </c>
      <c r="AS26" s="60" t="str">
        <f t="shared" si="62"/>
        <v>3190.17345111155+28631.7417194494i</v>
      </c>
      <c r="AT26" s="66">
        <f t="shared" si="63"/>
        <v>89.190539389334958</v>
      </c>
      <c r="AU26" s="63">
        <f t="shared" si="64"/>
        <v>83.642277650113499</v>
      </c>
      <c r="AV26"/>
      <c r="AX26" s="32">
        <f t="shared" si="65"/>
        <v>0</v>
      </c>
      <c r="AY26" s="32">
        <f t="shared" si="66"/>
        <v>0</v>
      </c>
    </row>
    <row r="27" spans="1:52" s="32" customFormat="1" x14ac:dyDescent="0.3">
      <c r="A27" t="s">
        <v>146</v>
      </c>
      <c r="B27" s="22">
        <f>Rsl_int</f>
        <v>50000</v>
      </c>
      <c r="C27" s="2" t="s">
        <v>37</v>
      </c>
      <c r="D27"/>
      <c r="E27" s="276" t="s">
        <v>491</v>
      </c>
      <c r="F27" s="276"/>
      <c r="G27" s="276"/>
      <c r="H27" s="276"/>
      <c r="I27" s="276"/>
      <c r="J27" s="276"/>
      <c r="K27" s="276"/>
      <c r="N27" s="11">
        <v>9</v>
      </c>
      <c r="O27" s="52">
        <f t="shared" si="41"/>
        <v>12.302687708123818</v>
      </c>
      <c r="P27" s="50" t="str">
        <f t="shared" si="32"/>
        <v>131.578947368421</v>
      </c>
      <c r="Q27" s="18" t="str">
        <f t="shared" si="33"/>
        <v>1+0.115950099969754i</v>
      </c>
      <c r="R27" s="18">
        <f t="shared" si="42"/>
        <v>1.0066997693865813</v>
      </c>
      <c r="S27" s="18">
        <f t="shared" si="43"/>
        <v>0.11543462428827544</v>
      </c>
      <c r="T27" s="18" t="str">
        <f t="shared" si="34"/>
        <v>1+2.55090219933458E-07i</v>
      </c>
      <c r="U27" s="18">
        <f t="shared" si="44"/>
        <v>1.0000000000000324</v>
      </c>
      <c r="V27" s="18">
        <f t="shared" si="45"/>
        <v>2.5509021993345243E-7</v>
      </c>
      <c r="W27" s="32" t="str">
        <f t="shared" si="35"/>
        <v>1-0.000061840053317202i</v>
      </c>
      <c r="X27" s="18">
        <f t="shared" si="46"/>
        <v>1.000000001912096</v>
      </c>
      <c r="Y27" s="18">
        <f t="shared" si="47"/>
        <v>-6.1840053238372591E-5</v>
      </c>
      <c r="Z27" s="32" t="str">
        <f t="shared" si="36"/>
        <v>0.999999999903132+0.0000261735313382017i</v>
      </c>
      <c r="AA27" s="18">
        <f t="shared" si="48"/>
        <v>1.000000000245659</v>
      </c>
      <c r="AB27" s="18">
        <f t="shared" si="49"/>
        <v>2.6173531334760317E-5</v>
      </c>
      <c r="AC27" s="68" t="str">
        <f t="shared" si="50"/>
        <v>129.832090296205-15.0655910194411i</v>
      </c>
      <c r="AD27" s="66">
        <f t="shared" si="51"/>
        <v>42.325728786382811</v>
      </c>
      <c r="AE27" s="63">
        <f t="shared" si="52"/>
        <v>-6.6189449727393663</v>
      </c>
      <c r="AF27" s="32" t="str">
        <f t="shared" si="37"/>
        <v>-0.434440565864413</v>
      </c>
      <c r="AG27" s="32" t="str">
        <f t="shared" si="38"/>
        <v>0.00201753173947372i</v>
      </c>
      <c r="AH27" s="32">
        <f t="shared" si="53"/>
        <v>2.01753173947372E-3</v>
      </c>
      <c r="AI27" s="32">
        <f t="shared" si="54"/>
        <v>1.5707963267948966</v>
      </c>
      <c r="AJ27" s="32" t="str">
        <f t="shared" si="39"/>
        <v>1+0.0000199755617769675i</v>
      </c>
      <c r="AK27" s="32">
        <f t="shared" si="55"/>
        <v>1.0000000001995115</v>
      </c>
      <c r="AL27" s="32">
        <f t="shared" si="56"/>
        <v>1.9975561774310597E-5</v>
      </c>
      <c r="AM27" s="32" t="str">
        <f t="shared" si="40"/>
        <v>1+0.00201753173947372i</v>
      </c>
      <c r="AN27" s="32">
        <f t="shared" si="57"/>
        <v>1.0000020352150889</v>
      </c>
      <c r="AO27" s="32">
        <f t="shared" si="58"/>
        <v>2.0175290020702607E-3</v>
      </c>
      <c r="AP27" s="60" t="str">
        <f t="shared" si="59"/>
        <v>-0.430139173951546+215.332713086794i</v>
      </c>
      <c r="AQ27" s="51">
        <f t="shared" si="60"/>
        <v>46.662217575935216</v>
      </c>
      <c r="AR27" s="63">
        <f t="shared" si="61"/>
        <v>90.114451381480791</v>
      </c>
      <c r="AS27" s="60" t="str">
        <f t="shared" si="62"/>
        <v>3188.26872039988+27963.5765500876i</v>
      </c>
      <c r="AT27" s="66">
        <f t="shared" si="63"/>
        <v>88.987946362318013</v>
      </c>
      <c r="AU27" s="63">
        <f t="shared" si="64"/>
        <v>83.49550640874142</v>
      </c>
      <c r="AV27"/>
      <c r="AX27" s="32">
        <f t="shared" si="65"/>
        <v>0</v>
      </c>
      <c r="AY27" s="32">
        <f t="shared" si="66"/>
        <v>0</v>
      </c>
    </row>
    <row r="28" spans="1:52" x14ac:dyDescent="0.3">
      <c r="A28" t="s">
        <v>145</v>
      </c>
      <c r="B28" s="22">
        <f>Isl</f>
        <v>9.9999999999999991E-6</v>
      </c>
      <c r="C28" s="2" t="s">
        <v>12</v>
      </c>
      <c r="E28" s="276"/>
      <c r="F28" s="276"/>
      <c r="G28" s="276"/>
      <c r="H28" s="276"/>
      <c r="I28" s="276"/>
      <c r="J28" s="276"/>
      <c r="K28" s="276"/>
      <c r="N28" s="11">
        <v>10</v>
      </c>
      <c r="O28" s="52">
        <f t="shared" si="41"/>
        <v>12.58925411794168</v>
      </c>
      <c r="P28" s="50" t="str">
        <f t="shared" si="32"/>
        <v>131.578947368421</v>
      </c>
      <c r="Q28" s="18" t="str">
        <f t="shared" si="33"/>
        <v>1+0.118650924753302i</v>
      </c>
      <c r="R28" s="18">
        <f t="shared" si="42"/>
        <v>1.007014419928937</v>
      </c>
      <c r="S28" s="18">
        <f t="shared" si="43"/>
        <v>0.1180987901888093</v>
      </c>
      <c r="T28" s="18" t="str">
        <f t="shared" si="34"/>
        <v>1+2.61032034457264E-07i</v>
      </c>
      <c r="U28" s="18">
        <f t="shared" si="44"/>
        <v>1.0000000000000342</v>
      </c>
      <c r="V28" s="18">
        <f t="shared" si="45"/>
        <v>2.6103203445725805E-7</v>
      </c>
      <c r="W28" s="32" t="str">
        <f t="shared" si="35"/>
        <v>1-0.000063280493201761i</v>
      </c>
      <c r="X28" s="18">
        <f t="shared" si="46"/>
        <v>1.0000000020022104</v>
      </c>
      <c r="Y28" s="18">
        <f t="shared" si="47"/>
        <v>-6.3280493117293761E-5</v>
      </c>
      <c r="Z28" s="32" t="str">
        <f t="shared" si="36"/>
        <v>0.999999999898567+0.0000267831912016225i</v>
      </c>
      <c r="AA28" s="18">
        <f t="shared" si="48"/>
        <v>1.0000000002572365</v>
      </c>
      <c r="AB28" s="18">
        <f t="shared" si="49"/>
        <v>2.6783191197934988E-5</v>
      </c>
      <c r="AC28" s="68" t="str">
        <f t="shared" si="50"/>
        <v>129.750906369464-15.4068811667787i</v>
      </c>
      <c r="AD28" s="66">
        <f t="shared" si="51"/>
        <v>42.323014380102713</v>
      </c>
      <c r="AE28" s="63">
        <f t="shared" si="52"/>
        <v>-6.7717075563845395</v>
      </c>
      <c r="AF28" s="32" t="str">
        <f t="shared" si="37"/>
        <v>-0.434440565864413</v>
      </c>
      <c r="AG28" s="32" t="str">
        <f t="shared" si="38"/>
        <v>0.00206452609070746i</v>
      </c>
      <c r="AH28" s="32">
        <f t="shared" si="53"/>
        <v>2.0645260907074599E-3</v>
      </c>
      <c r="AI28" s="32">
        <f t="shared" si="54"/>
        <v>1.5707963267948966</v>
      </c>
      <c r="AJ28" s="32" t="str">
        <f t="shared" si="39"/>
        <v>1+0.0000204408523832421i</v>
      </c>
      <c r="AK28" s="32">
        <f t="shared" si="55"/>
        <v>1.0000000002089142</v>
      </c>
      <c r="AL28" s="32">
        <f t="shared" si="56"/>
        <v>2.044085238039518E-5</v>
      </c>
      <c r="AM28" s="32" t="str">
        <f t="shared" si="40"/>
        <v>1+0.00206452609070746i</v>
      </c>
      <c r="AN28" s="32">
        <f t="shared" si="57"/>
        <v>1.0000021311317187</v>
      </c>
      <c r="AO28" s="32">
        <f t="shared" si="58"/>
        <v>2.0645231575271449E-3</v>
      </c>
      <c r="AP28" s="60" t="str">
        <f t="shared" si="59"/>
        <v>-0.430139173943457+210.431142513536i</v>
      </c>
      <c r="AQ28" s="51">
        <f t="shared" si="60"/>
        <v>46.462218408973015</v>
      </c>
      <c r="AR28" s="63">
        <f t="shared" si="61"/>
        <v>90.117117289062278</v>
      </c>
      <c r="AS28" s="60" t="str">
        <f t="shared" si="62"/>
        <v>3186.27665881135+27310.2585726313i</v>
      </c>
      <c r="AT28" s="66">
        <f t="shared" si="63"/>
        <v>88.785232789075735</v>
      </c>
      <c r="AU28" s="63">
        <f t="shared" si="64"/>
        <v>83.345409732677751</v>
      </c>
      <c r="AX28" s="32">
        <f t="shared" si="65"/>
        <v>0</v>
      </c>
      <c r="AY28" s="32">
        <f t="shared" si="66"/>
        <v>0</v>
      </c>
    </row>
    <row r="29" spans="1:52" x14ac:dyDescent="0.3">
      <c r="A29" s="32"/>
      <c r="B29" s="27"/>
      <c r="C29" s="2"/>
      <c r="D29" s="32"/>
      <c r="E29" s="32"/>
      <c r="F29" s="32"/>
      <c r="G29" s="32"/>
      <c r="N29" s="11">
        <v>11</v>
      </c>
      <c r="O29" s="52">
        <f t="shared" si="41"/>
        <v>12.882495516931346</v>
      </c>
      <c r="P29" s="50" t="str">
        <f t="shared" si="32"/>
        <v>131.578947368421</v>
      </c>
      <c r="Q29" s="18" t="str">
        <f t="shared" si="33"/>
        <v>1+0.121414659827685i</v>
      </c>
      <c r="R29" s="18">
        <f t="shared" si="42"/>
        <v>1.0073437941542462</v>
      </c>
      <c r="S29" s="18">
        <f t="shared" si="43"/>
        <v>0.12082326967789915</v>
      </c>
      <c r="T29" s="18" t="str">
        <f t="shared" si="34"/>
        <v>1+2.67112251620907E-07i</v>
      </c>
      <c r="U29" s="18">
        <f t="shared" si="44"/>
        <v>1.0000000000000355</v>
      </c>
      <c r="V29" s="18">
        <f t="shared" si="45"/>
        <v>2.6711225162090064E-7</v>
      </c>
      <c r="W29" s="32" t="str">
        <f t="shared" si="35"/>
        <v>1-0.0000647544852414319i</v>
      </c>
      <c r="X29" s="18">
        <f t="shared" si="46"/>
        <v>1.0000000020965716</v>
      </c>
      <c r="Y29" s="18">
        <f t="shared" si="47"/>
        <v>-6.4754485150923623E-5</v>
      </c>
      <c r="Z29" s="32" t="str">
        <f t="shared" si="36"/>
        <v>0.999999999893786+0.0000274070518675359i</v>
      </c>
      <c r="AA29" s="18">
        <f t="shared" si="48"/>
        <v>1.0000000002693592</v>
      </c>
      <c r="AB29" s="18">
        <f t="shared" si="49"/>
        <v>2.7407051863584679E-5</v>
      </c>
      <c r="AC29" s="68" t="str">
        <f t="shared" si="50"/>
        <v>129.666005026224-15.7554452631583i</v>
      </c>
      <c r="AD29" s="66">
        <f t="shared" si="51"/>
        <v>42.320173864988142</v>
      </c>
      <c r="AE29" s="63">
        <f t="shared" si="52"/>
        <v>-6.9279285822142969</v>
      </c>
      <c r="AF29" s="32" t="str">
        <f t="shared" si="37"/>
        <v>-0.434440565864413</v>
      </c>
      <c r="AG29" s="32" t="str">
        <f t="shared" si="38"/>
        <v>0.00211261508100172i</v>
      </c>
      <c r="AH29" s="32">
        <f t="shared" si="53"/>
        <v>2.1126150810017201E-3</v>
      </c>
      <c r="AI29" s="32">
        <f t="shared" si="54"/>
        <v>1.5707963267948966</v>
      </c>
      <c r="AJ29" s="32" t="str">
        <f t="shared" si="39"/>
        <v>1+0.000020916981000017i</v>
      </c>
      <c r="AK29" s="32">
        <f t="shared" si="55"/>
        <v>1.0000000002187601</v>
      </c>
      <c r="AL29" s="32">
        <f t="shared" si="56"/>
        <v>2.0916980996966468E-5</v>
      </c>
      <c r="AM29" s="32" t="str">
        <f t="shared" si="40"/>
        <v>1+0.00211261508100172i</v>
      </c>
      <c r="AN29" s="32">
        <f t="shared" si="57"/>
        <v>1.0000022315687502</v>
      </c>
      <c r="AO29" s="32">
        <f t="shared" si="58"/>
        <v>2.1126119380427658E-3</v>
      </c>
      <c r="AP29" s="60" t="str">
        <f t="shared" si="59"/>
        <v>-0.430139173934987+205.641145317426i</v>
      </c>
      <c r="AQ29" s="51">
        <f t="shared" si="60"/>
        <v>46.262219281270596</v>
      </c>
      <c r="AR29" s="63">
        <f t="shared" si="61"/>
        <v>90.119845293067513</v>
      </c>
      <c r="AS29" s="60" t="str">
        <f t="shared" si="62"/>
        <v>3184.19338061246+26671.4428165383i</v>
      </c>
      <c r="AT29" s="66">
        <f t="shared" si="63"/>
        <v>88.582393146258738</v>
      </c>
      <c r="AU29" s="63">
        <f t="shared" si="64"/>
        <v>83.191916710853235</v>
      </c>
      <c r="AX29" s="32">
        <f t="shared" si="65"/>
        <v>0</v>
      </c>
      <c r="AY29" s="32">
        <f t="shared" si="66"/>
        <v>0</v>
      </c>
    </row>
    <row r="30" spans="1:52" x14ac:dyDescent="0.3">
      <c r="A30" s="32" t="s">
        <v>230</v>
      </c>
      <c r="B30" s="22">
        <f>Gcomp</f>
        <v>1</v>
      </c>
      <c r="C30" s="2"/>
      <c r="D30" s="32"/>
      <c r="E30" s="32" t="s">
        <v>231</v>
      </c>
      <c r="F30" s="32"/>
      <c r="G30" s="32"/>
      <c r="N30" s="11">
        <v>12</v>
      </c>
      <c r="O30" s="52">
        <f t="shared" si="41"/>
        <v>13.182567385564075</v>
      </c>
      <c r="P30" s="50" t="str">
        <f t="shared" si="32"/>
        <v>131.578947368421</v>
      </c>
      <c r="Q30" s="18" t="str">
        <f t="shared" si="33"/>
        <v>1+0.124242770561821i</v>
      </c>
      <c r="R30" s="18">
        <f t="shared" si="42"/>
        <v>1.0076885759186105</v>
      </c>
      <c r="S30" s="18">
        <f t="shared" si="43"/>
        <v>0.12360934543781572</v>
      </c>
      <c r="T30" s="18" t="str">
        <f t="shared" si="34"/>
        <v>1+2.73334095236007E-07i</v>
      </c>
      <c r="U30" s="18">
        <f t="shared" si="44"/>
        <v>1.0000000000000373</v>
      </c>
      <c r="V30" s="18">
        <f t="shared" si="45"/>
        <v>2.7333409523600017E-7</v>
      </c>
      <c r="W30" s="32" t="str">
        <f t="shared" si="35"/>
        <v>1-0.0000662628109663048i</v>
      </c>
      <c r="X30" s="18">
        <f t="shared" si="46"/>
        <v>1.0000000021953801</v>
      </c>
      <c r="Y30" s="18">
        <f t="shared" si="47"/>
        <v>-6.6262810869323425E-5</v>
      </c>
      <c r="Z30" s="32" t="str">
        <f t="shared" si="36"/>
        <v>0.999999999888781+0.0000280454441151246i</v>
      </c>
      <c r="AA30" s="18">
        <f t="shared" si="48"/>
        <v>1.0000000002820544</v>
      </c>
      <c r="AB30" s="18">
        <f t="shared" si="49"/>
        <v>2.804544411089077E-5</v>
      </c>
      <c r="AC30" s="68" t="str">
        <f t="shared" si="50"/>
        <v>129.577221320039-16.1114059944153i</v>
      </c>
      <c r="AD30" s="66">
        <f t="shared" si="51"/>
        <v>42.31720147042553</v>
      </c>
      <c r="AE30" s="63">
        <f t="shared" si="52"/>
        <v>-7.0876816060550896</v>
      </c>
      <c r="AF30" s="32" t="str">
        <f t="shared" si="37"/>
        <v>-0.434440565864413</v>
      </c>
      <c r="AG30" s="32" t="str">
        <f t="shared" si="38"/>
        <v>0.0021618242077757i</v>
      </c>
      <c r="AH30" s="32">
        <f t="shared" si="53"/>
        <v>2.1618242077757E-3</v>
      </c>
      <c r="AI30" s="32">
        <f t="shared" si="54"/>
        <v>1.5707963267948966</v>
      </c>
      <c r="AJ30" s="32" t="str">
        <f t="shared" si="39"/>
        <v>1+0.0000214042000769871i</v>
      </c>
      <c r="AK30" s="32">
        <f t="shared" si="55"/>
        <v>1.0000000002290699</v>
      </c>
      <c r="AL30" s="32">
        <f t="shared" si="56"/>
        <v>2.1404200073718396E-5</v>
      </c>
      <c r="AM30" s="32" t="str">
        <f t="shared" si="40"/>
        <v>1+0.0021618242077757i</v>
      </c>
      <c r="AN30" s="32">
        <f t="shared" si="57"/>
        <v>1.0000023367392226</v>
      </c>
      <c r="AO30" s="32">
        <f t="shared" si="58"/>
        <v>2.1618208400349297E-3</v>
      </c>
      <c r="AP30" s="60" t="str">
        <f t="shared" si="59"/>
        <v>-0.430139173926117+200.960181778545i</v>
      </c>
      <c r="AQ30" s="51">
        <f t="shared" si="60"/>
        <v>46.062220194678076</v>
      </c>
      <c r="AR30" s="63">
        <f t="shared" si="61"/>
        <v>90.122636839869344</v>
      </c>
      <c r="AS30" s="60" t="str">
        <f t="shared" si="62"/>
        <v>3182.0148384074+26046.792097699i</v>
      </c>
      <c r="AT30" s="66">
        <f t="shared" si="63"/>
        <v>88.379421665103592</v>
      </c>
      <c r="AU30" s="63">
        <f t="shared" si="64"/>
        <v>83.034955233814244</v>
      </c>
      <c r="AX30" s="32">
        <f t="shared" si="65"/>
        <v>0</v>
      </c>
      <c r="AY30" s="32">
        <f t="shared" si="66"/>
        <v>0</v>
      </c>
    </row>
    <row r="31" spans="1:52" x14ac:dyDescent="0.3">
      <c r="N31" s="11">
        <v>13</v>
      </c>
      <c r="O31" s="52">
        <f t="shared" si="41"/>
        <v>13.489628825916535</v>
      </c>
      <c r="P31" s="50" t="str">
        <f t="shared" si="32"/>
        <v>131.578947368421</v>
      </c>
      <c r="Q31" s="18" t="str">
        <f t="shared" si="33"/>
        <v>1+0.127136756457457i</v>
      </c>
      <c r="R31" s="18">
        <f t="shared" si="42"/>
        <v>1.0080494803542743</v>
      </c>
      <c r="S31" s="18">
        <f t="shared" si="43"/>
        <v>0.12645832158111039</v>
      </c>
      <c r="T31" s="18" t="str">
        <f t="shared" si="34"/>
        <v>1+2.79700864206407E-07i</v>
      </c>
      <c r="U31" s="18">
        <f t="shared" si="44"/>
        <v>1.0000000000000391</v>
      </c>
      <c r="V31" s="18">
        <f t="shared" si="45"/>
        <v>2.797008642063997E-7</v>
      </c>
      <c r="W31" s="32" t="str">
        <f t="shared" si="35"/>
        <v>1-0.000067806270110644i</v>
      </c>
      <c r="X31" s="18">
        <f t="shared" si="46"/>
        <v>1.0000000022988451</v>
      </c>
      <c r="Y31" s="18">
        <f t="shared" si="47"/>
        <v>-6.7806270006726593E-5</v>
      </c>
      <c r="Z31" s="32" t="str">
        <f t="shared" si="36"/>
        <v>0.999999999883539+0.0000286987064284085i</v>
      </c>
      <c r="AA31" s="18">
        <f t="shared" si="48"/>
        <v>1.0000000002953469</v>
      </c>
      <c r="AB31" s="18">
        <f t="shared" si="49"/>
        <v>2.8698706423871878E-5</v>
      </c>
      <c r="AC31" s="68" t="str">
        <f t="shared" si="50"/>
        <v>129.484383485776-16.4748857487502i</v>
      </c>
      <c r="AD31" s="66">
        <f t="shared" si="51"/>
        <v>42.314091170123945</v>
      </c>
      <c r="AE31" s="63">
        <f t="shared" si="52"/>
        <v>-7.2510414130782168</v>
      </c>
      <c r="AF31" s="32" t="str">
        <f t="shared" si="37"/>
        <v>-0.434440565864413</v>
      </c>
      <c r="AG31" s="32" t="str">
        <f t="shared" si="38"/>
        <v>0.00221217956235976i</v>
      </c>
      <c r="AH31" s="32">
        <f t="shared" si="53"/>
        <v>2.2121795623597602E-3</v>
      </c>
      <c r="AI31" s="32">
        <f t="shared" si="54"/>
        <v>1.5707963267948966</v>
      </c>
      <c r="AJ31" s="32" t="str">
        <f t="shared" si="39"/>
        <v>1+0.0000219027679441561i</v>
      </c>
      <c r="AK31" s="32">
        <f t="shared" si="55"/>
        <v>1.0000000002398655</v>
      </c>
      <c r="AL31" s="32">
        <f t="shared" si="56"/>
        <v>2.1902767940653618E-5</v>
      </c>
      <c r="AM31" s="32" t="str">
        <f t="shared" si="40"/>
        <v>1+0.00221217956235976i</v>
      </c>
      <c r="AN31" s="32">
        <f t="shared" si="57"/>
        <v>1.0000024468662145</v>
      </c>
      <c r="AO31" s="32">
        <f t="shared" si="58"/>
        <v>2.2121759537609867E-3</v>
      </c>
      <c r="AP31" s="60" t="str">
        <f t="shared" si="59"/>
        <v>-0.43013917391683+196.385769988066i</v>
      </c>
      <c r="AQ31" s="51">
        <f t="shared" si="60"/>
        <v>45.862221151132935</v>
      </c>
      <c r="AR31" s="63">
        <f t="shared" si="61"/>
        <v>90.125493409528175</v>
      </c>
      <c r="AS31" s="60" t="str">
        <f t="shared" si="62"/>
        <v>3179.73681748602+25435.9768460305i</v>
      </c>
      <c r="AT31" s="66">
        <f t="shared" si="63"/>
        <v>88.176312321256887</v>
      </c>
      <c r="AU31" s="63">
        <f t="shared" si="64"/>
        <v>82.874451996449977</v>
      </c>
      <c r="AX31" s="32">
        <f t="shared" si="65"/>
        <v>0</v>
      </c>
      <c r="AY31" s="32">
        <f t="shared" si="66"/>
        <v>0</v>
      </c>
    </row>
    <row r="32" spans="1:52" x14ac:dyDescent="0.3">
      <c r="N32" s="11">
        <v>14</v>
      </c>
      <c r="O32" s="52">
        <f t="shared" si="41"/>
        <v>13.803842646028857</v>
      </c>
      <c r="P32" s="50" t="str">
        <f t="shared" si="32"/>
        <v>131.578947368421</v>
      </c>
      <c r="Q32" s="18" t="str">
        <f t="shared" si="33"/>
        <v>1+0.130098151944221i</v>
      </c>
      <c r="R32" s="18">
        <f t="shared" si="42"/>
        <v>1.008427255254092</v>
      </c>
      <c r="S32" s="18">
        <f t="shared" si="43"/>
        <v>0.12937152358039877</v>
      </c>
      <c r="T32" s="18" t="str">
        <f t="shared" si="34"/>
        <v>1+2.86215934277287E-07i</v>
      </c>
      <c r="U32" s="18">
        <f t="shared" si="44"/>
        <v>1.0000000000000409</v>
      </c>
      <c r="V32" s="18">
        <f t="shared" si="45"/>
        <v>2.8621593427727915E-7</v>
      </c>
      <c r="W32" s="32" t="str">
        <f t="shared" si="35"/>
        <v>1-0.000069385681036918i</v>
      </c>
      <c r="X32" s="18">
        <f t="shared" si="46"/>
        <v>1.0000000024071862</v>
      </c>
      <c r="Y32" s="18">
        <f t="shared" si="47"/>
        <v>-6.9385680925568481E-5</v>
      </c>
      <c r="Z32" s="32" t="str">
        <f t="shared" si="36"/>
        <v>0.999999999878051+0.0000293671851757131i</v>
      </c>
      <c r="AA32" s="18">
        <f t="shared" si="48"/>
        <v>1.0000000003092668</v>
      </c>
      <c r="AB32" s="18">
        <f t="shared" si="49"/>
        <v>2.9367185170852005E-5</v>
      </c>
      <c r="AC32" s="68" t="str">
        <f t="shared" si="50"/>
        <v>129.387312705507-16.846006406201i</v>
      </c>
      <c r="AD32" s="66">
        <f t="shared" si="51"/>
        <v>42.310836671580631</v>
      </c>
      <c r="AE32" s="63">
        <f t="shared" si="52"/>
        <v>-7.4180840138111579</v>
      </c>
      <c r="AF32" s="32" t="str">
        <f t="shared" si="37"/>
        <v>-0.434440565864413</v>
      </c>
      <c r="AG32" s="32" t="str">
        <f t="shared" si="38"/>
        <v>0.00226370784382945i</v>
      </c>
      <c r="AH32" s="32">
        <f t="shared" si="53"/>
        <v>2.2637078438294501E-3</v>
      </c>
      <c r="AI32" s="32">
        <f t="shared" si="54"/>
        <v>1.5707963267948966</v>
      </c>
      <c r="AJ32" s="32" t="str">
        <f t="shared" si="39"/>
        <v>1+0.0000224129489488065i</v>
      </c>
      <c r="AK32" s="32">
        <f t="shared" si="55"/>
        <v>1.0000000002511702</v>
      </c>
      <c r="AL32" s="32">
        <f t="shared" si="56"/>
        <v>2.2412948945053522E-5</v>
      </c>
      <c r="AM32" s="32" t="str">
        <f t="shared" si="40"/>
        <v>1+0.00226370784382945i</v>
      </c>
      <c r="AN32" s="32">
        <f t="shared" si="57"/>
        <v>1.0000025621833186</v>
      </c>
      <c r="AO32" s="32">
        <f t="shared" si="58"/>
        <v>2.2637039771467343E-3</v>
      </c>
      <c r="AP32" s="60" t="str">
        <f t="shared" si="59"/>
        <v>-0.430139173907105+191.915484532307i</v>
      </c>
      <c r="AQ32" s="51">
        <f t="shared" si="60"/>
        <v>45.662222152663873</v>
      </c>
      <c r="AR32" s="63">
        <f t="shared" si="61"/>
        <v>90.128416516576493</v>
      </c>
      <c r="AS32" s="60" t="str">
        <f t="shared" si="62"/>
        <v>3177.35493007921+24838.6749374897i</v>
      </c>
      <c r="AT32" s="66">
        <f t="shared" si="63"/>
        <v>87.973058824244518</v>
      </c>
      <c r="AU32" s="63">
        <f t="shared" si="64"/>
        <v>82.710332502765326</v>
      </c>
      <c r="AV32" s="32"/>
      <c r="AX32" s="32">
        <f t="shared" si="65"/>
        <v>0</v>
      </c>
      <c r="AY32" s="32">
        <f t="shared" si="66"/>
        <v>0</v>
      </c>
    </row>
    <row r="33" spans="1:51" x14ac:dyDescent="0.3">
      <c r="K33" s="32"/>
      <c r="N33" s="11">
        <v>15</v>
      </c>
      <c r="O33" s="52">
        <f t="shared" si="41"/>
        <v>14.125375446227544</v>
      </c>
      <c r="P33" s="50" t="str">
        <f t="shared" si="32"/>
        <v>131.578947368421</v>
      </c>
      <c r="Q33" s="18" t="str">
        <f t="shared" si="33"/>
        <v>1+0.133128527193198i</v>
      </c>
      <c r="R33" s="18">
        <f t="shared" si="42"/>
        <v>1.0088226825129529</v>
      </c>
      <c r="S33" s="18">
        <f t="shared" si="43"/>
        <v>0.1323502981598704</v>
      </c>
      <c r="T33" s="18" t="str">
        <f t="shared" si="34"/>
        <v>1+2.92882759825036E-07i</v>
      </c>
      <c r="U33" s="18">
        <f t="shared" si="44"/>
        <v>1.0000000000000429</v>
      </c>
      <c r="V33" s="18">
        <f t="shared" si="45"/>
        <v>2.9288275982502763E-7</v>
      </c>
      <c r="W33" s="32" t="str">
        <f t="shared" si="35"/>
        <v>1-0.0000710018811697058i</v>
      </c>
      <c r="X33" s="18">
        <f t="shared" si="46"/>
        <v>1.0000000025206335</v>
      </c>
      <c r="Y33" s="18">
        <f t="shared" si="47"/>
        <v>-7.1001881050392643E-5</v>
      </c>
      <c r="Z33" s="32" t="str">
        <f t="shared" si="36"/>
        <v>0.999999999872303+0.0000300512347933184i</v>
      </c>
      <c r="AA33" s="18">
        <f t="shared" si="48"/>
        <v>1.0000000003238414</v>
      </c>
      <c r="AB33" s="18">
        <f t="shared" si="49"/>
        <v>3.0051234788109664E-5</v>
      </c>
      <c r="AC33" s="68" t="str">
        <f t="shared" si="50"/>
        <v>129.285822871102-17.2248891112022i</v>
      </c>
      <c r="AD33" s="66">
        <f t="shared" si="51"/>
        <v>42.307431405189206</v>
      </c>
      <c r="AE33" s="63">
        <f t="shared" si="52"/>
        <v>-7.5888866379567732</v>
      </c>
      <c r="AF33" s="32" t="str">
        <f t="shared" si="37"/>
        <v>-0.434440565864413</v>
      </c>
      <c r="AG33" s="32" t="str">
        <f t="shared" si="38"/>
        <v>0.00231643637316165i</v>
      </c>
      <c r="AH33" s="32">
        <f t="shared" si="53"/>
        <v>2.3164363731616499E-3</v>
      </c>
      <c r="AI33" s="32">
        <f t="shared" si="54"/>
        <v>1.5707963267948966</v>
      </c>
      <c r="AJ33" s="32" t="str">
        <f t="shared" si="39"/>
        <v>1+0.0000229350135956599i</v>
      </c>
      <c r="AK33" s="32">
        <f t="shared" si="55"/>
        <v>1.0000000002630074</v>
      </c>
      <c r="AL33" s="32">
        <f t="shared" si="56"/>
        <v>2.2935013591638513E-5</v>
      </c>
      <c r="AM33" s="32" t="str">
        <f t="shared" si="40"/>
        <v>1+0.00231643637316165i</v>
      </c>
      <c r="AN33" s="32">
        <f t="shared" si="57"/>
        <v>1.0000026829351363</v>
      </c>
      <c r="AO33" s="32">
        <f t="shared" si="58"/>
        <v>2.3164322299370731E-3</v>
      </c>
      <c r="AP33" s="60" t="str">
        <f t="shared" si="59"/>
        <v>-0.430139173896921+187.546955206749i</v>
      </c>
      <c r="AQ33" s="51">
        <f t="shared" si="60"/>
        <v>45.462223201395275</v>
      </c>
      <c r="AR33" s="63">
        <f t="shared" si="61"/>
        <v>90.131407710821591</v>
      </c>
      <c r="AS33" s="60" t="str">
        <f t="shared" si="62"/>
        <v>3174.8646095335+24254.571530447i</v>
      </c>
      <c r="AT33" s="66">
        <f t="shared" si="63"/>
        <v>87.769654606584481</v>
      </c>
      <c r="AU33" s="63">
        <f t="shared" si="64"/>
        <v>82.542521072864815</v>
      </c>
      <c r="AX33" s="32">
        <f t="shared" si="65"/>
        <v>0</v>
      </c>
      <c r="AY33" s="32">
        <f t="shared" si="66"/>
        <v>0</v>
      </c>
    </row>
    <row r="34" spans="1:51" x14ac:dyDescent="0.3">
      <c r="A34" t="s">
        <v>229</v>
      </c>
      <c r="B34" s="28">
        <f>(Gcomp*(VIN_var/VOUT)*(VOUT/IOUT))/(2*R_cs*Acs)</f>
        <v>131.57894736842104</v>
      </c>
      <c r="C34" t="s">
        <v>175</v>
      </c>
      <c r="E34" t="s">
        <v>233</v>
      </c>
      <c r="K34" s="32"/>
      <c r="N34" s="11">
        <v>16</v>
      </c>
      <c r="O34" s="52">
        <f t="shared" si="41"/>
        <v>14.454397707459275</v>
      </c>
      <c r="P34" s="50" t="str">
        <f t="shared" si="32"/>
        <v>131.578947368421</v>
      </c>
      <c r="Q34" s="18" t="str">
        <f t="shared" si="33"/>
        <v>1+0.136229488949458i</v>
      </c>
      <c r="R34" s="18">
        <f t="shared" si="42"/>
        <v>1.009236579628102</v>
      </c>
      <c r="S34" s="18">
        <f t="shared" si="43"/>
        <v>0.13539601314547936</v>
      </c>
      <c r="T34" s="18" t="str">
        <f t="shared" si="34"/>
        <v>1+2.99704875688807E-07i</v>
      </c>
      <c r="U34" s="18">
        <f t="shared" si="44"/>
        <v>1.0000000000000449</v>
      </c>
      <c r="V34" s="18">
        <f t="shared" si="45"/>
        <v>2.99704875688798E-7</v>
      </c>
      <c r="W34" s="32" t="str">
        <f t="shared" si="35"/>
        <v>1-0.0000726557274397107i</v>
      </c>
      <c r="X34" s="18">
        <f t="shared" si="46"/>
        <v>1.0000000026394273</v>
      </c>
      <c r="Y34" s="18">
        <f t="shared" si="47"/>
        <v>-7.2655727311864355E-5</v>
      </c>
      <c r="Z34" s="32" t="str">
        <f t="shared" si="36"/>
        <v>0.999999999866285+0.0000307512179733863i</v>
      </c>
      <c r="AA34" s="18">
        <f t="shared" si="48"/>
        <v>1.0000000003391036</v>
      </c>
      <c r="AB34" s="18">
        <f t="shared" si="49"/>
        <v>3.075121796780503E-5</v>
      </c>
      <c r="AC34" s="68" t="str">
        <f t="shared" si="50"/>
        <v>129.179720343998-17.6116540272622i</v>
      </c>
      <c r="AD34" s="66">
        <f t="shared" si="51"/>
        <v>42.303868512984657</v>
      </c>
      <c r="AE34" s="63">
        <f t="shared" si="52"/>
        <v>-7.7635277258461102</v>
      </c>
      <c r="AF34" s="32" t="str">
        <f t="shared" si="37"/>
        <v>-0.434440565864413</v>
      </c>
      <c r="AG34" s="32" t="str">
        <f t="shared" si="38"/>
        <v>0.00237039310772056i</v>
      </c>
      <c r="AH34" s="32">
        <f t="shared" si="53"/>
        <v>2.3703931077205601E-3</v>
      </c>
      <c r="AI34" s="32">
        <f t="shared" si="54"/>
        <v>1.5707963267948966</v>
      </c>
      <c r="AJ34" s="32" t="str">
        <f t="shared" si="39"/>
        <v>1+0.0000234692386903026i</v>
      </c>
      <c r="AK34" s="32">
        <f t="shared" si="55"/>
        <v>1.0000000002754026</v>
      </c>
      <c r="AL34" s="32">
        <f t="shared" si="56"/>
        <v>2.3469238685993606E-5</v>
      </c>
      <c r="AM34" s="32" t="str">
        <f t="shared" si="40"/>
        <v>1+0.00237039310772056i</v>
      </c>
      <c r="AN34" s="32">
        <f t="shared" si="57"/>
        <v>1.0000028093777962</v>
      </c>
      <c r="AO34" s="32">
        <f t="shared" si="58"/>
        <v>2.370388668176114E-3</v>
      </c>
      <c r="AP34" s="60" t="str">
        <f t="shared" si="59"/>
        <v>-0.430139173886258+183.277865759319i</v>
      </c>
      <c r="AQ34" s="51">
        <f t="shared" si="60"/>
        <v>45.26222429955159</v>
      </c>
      <c r="AR34" s="63">
        <f t="shared" si="61"/>
        <v>90.134468578167031</v>
      </c>
      <c r="AS34" s="60" t="str">
        <f t="shared" si="62"/>
        <v>3172.26110441651+23683.3589063477i</v>
      </c>
      <c r="AT34" s="66">
        <f t="shared" si="63"/>
        <v>87.566092812536255</v>
      </c>
      <c r="AU34" s="63">
        <f t="shared" si="64"/>
        <v>82.370940852320928</v>
      </c>
      <c r="AX34" s="32">
        <f t="shared" si="65"/>
        <v>0</v>
      </c>
      <c r="AY34" s="32">
        <f t="shared" si="66"/>
        <v>0</v>
      </c>
    </row>
    <row r="35" spans="1:51" x14ac:dyDescent="0.3">
      <c r="A35" t="s">
        <v>246</v>
      </c>
      <c r="B35" s="30">
        <f>2/(Cout*(VOUT/IOUT))</f>
        <v>666.66666666666674</v>
      </c>
      <c r="C35" t="s">
        <v>245</v>
      </c>
      <c r="D35" s="248">
        <f>B35/(2*PI())</f>
        <v>106.10329539459691</v>
      </c>
      <c r="E35" t="s">
        <v>236</v>
      </c>
      <c r="N35" s="11">
        <v>17</v>
      </c>
      <c r="O35" s="52">
        <f t="shared" si="41"/>
        <v>14.791083881682074</v>
      </c>
      <c r="P35" s="50" t="str">
        <f t="shared" si="32"/>
        <v>131.578947368421</v>
      </c>
      <c r="Q35" s="18" t="str">
        <f t="shared" si="33"/>
        <v>1+0.139402681383968i</v>
      </c>
      <c r="R35" s="18">
        <f t="shared" si="42"/>
        <v>1.0096698012603131</v>
      </c>
      <c r="S35" s="18">
        <f t="shared" si="43"/>
        <v>0.13851005727059307</v>
      </c>
      <c r="T35" s="18" t="str">
        <f t="shared" si="34"/>
        <v>1+3.0668589904473E-07i</v>
      </c>
      <c r="U35" s="18">
        <f t="shared" si="44"/>
        <v>1.0000000000000471</v>
      </c>
      <c r="V35" s="18">
        <f t="shared" si="45"/>
        <v>3.0668589904472038E-7</v>
      </c>
      <c r="W35" s="32" t="str">
        <f t="shared" si="35"/>
        <v>1-0.0000743480967381165i</v>
      </c>
      <c r="X35" s="18">
        <f t="shared" si="46"/>
        <v>1.0000000027638196</v>
      </c>
      <c r="Y35" s="18">
        <f t="shared" si="47"/>
        <v>-7.4348096601126675E-5</v>
      </c>
      <c r="Z35" s="32" t="str">
        <f t="shared" si="36"/>
        <v>0.999999999859983+0.0000314675058562642i</v>
      </c>
      <c r="AA35" s="18">
        <f t="shared" si="48"/>
        <v>1.0000000003550849</v>
      </c>
      <c r="AB35" s="18">
        <f t="shared" si="49"/>
        <v>3.1467505850283775E-5</v>
      </c>
      <c r="AC35" s="68" t="str">
        <f t="shared" si="50"/>
        <v>129.06880371272-18.0064200727599i</v>
      </c>
      <c r="AD35" s="66">
        <f t="shared" si="51"/>
        <v>42.300140837022042</v>
      </c>
      <c r="AE35" s="63">
        <f t="shared" si="52"/>
        <v>-7.9420869173397799</v>
      </c>
      <c r="AF35" s="32" t="str">
        <f t="shared" si="37"/>
        <v>-0.434440565864413</v>
      </c>
      <c r="AG35" s="32" t="str">
        <f t="shared" si="38"/>
        <v>0.00242560665608105i</v>
      </c>
      <c r="AH35" s="32">
        <f t="shared" si="53"/>
        <v>2.42560665608105E-3</v>
      </c>
      <c r="AI35" s="32">
        <f t="shared" si="54"/>
        <v>1.5707963267948966</v>
      </c>
      <c r="AJ35" s="32" t="str">
        <f t="shared" si="39"/>
        <v>1+0.000024015907485951i</v>
      </c>
      <c r="AK35" s="32">
        <f t="shared" si="55"/>
        <v>1.0000000002883818</v>
      </c>
      <c r="AL35" s="32">
        <f t="shared" si="56"/>
        <v>2.4015907481333829E-5</v>
      </c>
      <c r="AM35" s="32" t="str">
        <f t="shared" si="40"/>
        <v>1+0.00242560665608105i</v>
      </c>
      <c r="AN35" s="32">
        <f t="shared" si="57"/>
        <v>1.000002941779498</v>
      </c>
      <c r="AO35" s="32">
        <f t="shared" si="58"/>
        <v>2.4256018990242252E-3</v>
      </c>
      <c r="AP35" s="60" t="str">
        <f t="shared" si="59"/>
        <v>-0.430139173875093+179.105952662283i</v>
      </c>
      <c r="AQ35" s="51">
        <f t="shared" si="60"/>
        <v>45.062225449462076</v>
      </c>
      <c r="AR35" s="63">
        <f t="shared" si="61"/>
        <v>90.137600741453156</v>
      </c>
      <c r="AS35" s="60" t="str">
        <f t="shared" si="62"/>
        <v>3169.53947256688+23124.7363146025i</v>
      </c>
      <c r="AT35" s="66">
        <f t="shared" si="63"/>
        <v>87.362366286484132</v>
      </c>
      <c r="AU35" s="63">
        <f t="shared" si="64"/>
        <v>82.195513824113391</v>
      </c>
      <c r="AX35" s="32">
        <f t="shared" si="65"/>
        <v>0</v>
      </c>
      <c r="AY35" s="32">
        <f t="shared" si="66"/>
        <v>0</v>
      </c>
    </row>
    <row r="36" spans="1:51" x14ac:dyDescent="0.3">
      <c r="B36" s="29">
        <f>wp_lf/(2*PI())</f>
        <v>106.10329539459691</v>
      </c>
      <c r="C36" t="s">
        <v>70</v>
      </c>
      <c r="N36" s="11">
        <v>18</v>
      </c>
      <c r="O36" s="52">
        <f t="shared" si="41"/>
        <v>15.135612484362087</v>
      </c>
      <c r="P36" s="50" t="str">
        <f t="shared" si="32"/>
        <v>131.578947368421</v>
      </c>
      <c r="Q36" s="18" t="str">
        <f t="shared" si="33"/>
        <v>1+0.142649786965362i</v>
      </c>
      <c r="R36" s="18">
        <f t="shared" si="42"/>
        <v>1.010123240857898</v>
      </c>
      <c r="S36" s="18">
        <f t="shared" si="43"/>
        <v>0.14169383993372967</v>
      </c>
      <c r="T36" s="18" t="str">
        <f t="shared" si="34"/>
        <v>1+3.13829531323796E-07i</v>
      </c>
      <c r="U36" s="18">
        <f t="shared" si="44"/>
        <v>1.0000000000000493</v>
      </c>
      <c r="V36" s="18">
        <f t="shared" si="45"/>
        <v>3.1382953132378569E-7</v>
      </c>
      <c r="W36" s="32" t="str">
        <f t="shared" si="35"/>
        <v>1-0.0000760798863815262i</v>
      </c>
      <c r="X36" s="18">
        <f t="shared" si="46"/>
        <v>1.0000000028940745</v>
      </c>
      <c r="Y36" s="18">
        <f t="shared" si="47"/>
        <v>-7.6079886234738957E-5</v>
      </c>
      <c r="Z36" s="32" t="str">
        <f t="shared" si="36"/>
        <v>0.999999999853385+0.0000322004782272688i</v>
      </c>
      <c r="AA36" s="18">
        <f t="shared" si="48"/>
        <v>1.0000000003718201</v>
      </c>
      <c r="AB36" s="18">
        <f t="shared" si="49"/>
        <v>3.2200478220860627E-5</v>
      </c>
      <c r="AC36" s="68" t="str">
        <f t="shared" si="50"/>
        <v>128.952863548786-18.4093046368323i</v>
      </c>
      <c r="AD36" s="66">
        <f t="shared" si="51"/>
        <v>42.296240907385325</v>
      </c>
      <c r="AE36" s="63">
        <f t="shared" si="52"/>
        <v>-8.124645037984763</v>
      </c>
      <c r="AF36" s="32" t="str">
        <f t="shared" si="37"/>
        <v>-0.434440565864413</v>
      </c>
      <c r="AG36" s="32" t="str">
        <f t="shared" si="38"/>
        <v>0.0024821062931973i</v>
      </c>
      <c r="AH36" s="32">
        <f t="shared" si="53"/>
        <v>2.4821062931973002E-3</v>
      </c>
      <c r="AI36" s="32">
        <f t="shared" si="54"/>
        <v>1.5707963267948966</v>
      </c>
      <c r="AJ36" s="32" t="str">
        <f t="shared" si="39"/>
        <v>1+0.0000245753098336366i</v>
      </c>
      <c r="AK36" s="32">
        <f t="shared" si="55"/>
        <v>1.0000000003019729</v>
      </c>
      <c r="AL36" s="32">
        <f t="shared" si="56"/>
        <v>2.4575309828689215E-5</v>
      </c>
      <c r="AM36" s="32" t="str">
        <f t="shared" si="40"/>
        <v>1+0.0024821062931973i</v>
      </c>
      <c r="AN36" s="32">
        <f t="shared" si="57"/>
        <v>1.0000030804210809</v>
      </c>
      <c r="AO36" s="32">
        <f t="shared" si="58"/>
        <v>2.4821011959199244E-3</v>
      </c>
      <c r="AP36" s="60" t="str">
        <f t="shared" si="59"/>
        <v>-0.4301391738634+175.029003912097i</v>
      </c>
      <c r="AQ36" s="51">
        <f t="shared" si="60"/>
        <v>44.862226653565891</v>
      </c>
      <c r="AR36" s="63">
        <f t="shared" si="61"/>
        <v>90.140805861317176</v>
      </c>
      <c r="AS36" s="60" t="str">
        <f t="shared" si="62"/>
        <v>3166.69457510491+22578.4098216445i</v>
      </c>
      <c r="AT36" s="66">
        <f t="shared" si="63"/>
        <v>87.158467560951237</v>
      </c>
      <c r="AU36" s="63">
        <f t="shared" si="64"/>
        <v>82.016160823332442</v>
      </c>
      <c r="AX36" s="32">
        <f t="shared" si="65"/>
        <v>0</v>
      </c>
      <c r="AY36" s="32">
        <f t="shared" si="66"/>
        <v>0</v>
      </c>
    </row>
    <row r="37" spans="1:51" x14ac:dyDescent="0.3">
      <c r="B37" s="1"/>
      <c r="C37" t="s">
        <v>269</v>
      </c>
      <c r="E37" t="s">
        <v>268</v>
      </c>
      <c r="N37" s="11">
        <v>19</v>
      </c>
      <c r="O37" s="52">
        <f t="shared" si="41"/>
        <v>15.488166189124817</v>
      </c>
      <c r="P37" s="50" t="str">
        <f t="shared" si="32"/>
        <v>131.578947368421</v>
      </c>
      <c r="Q37" s="18" t="str">
        <f t="shared" si="33"/>
        <v>1+0.145972527351997i</v>
      </c>
      <c r="R37" s="18">
        <f t="shared" si="42"/>
        <v>1.0105978323455527</v>
      </c>
      <c r="S37" s="18">
        <f t="shared" si="43"/>
        <v>0.14494879090477741</v>
      </c>
      <c r="T37" s="18" t="str">
        <f t="shared" si="34"/>
        <v>1+3.21139560174394E-07i</v>
      </c>
      <c r="U37" s="18">
        <f t="shared" si="44"/>
        <v>1.0000000000000515</v>
      </c>
      <c r="V37" s="18">
        <f t="shared" si="45"/>
        <v>3.2113956017438293E-7</v>
      </c>
      <c r="W37" s="32" t="str">
        <f t="shared" si="35"/>
        <v>1-0.0000778520145877318i</v>
      </c>
      <c r="X37" s="18">
        <f t="shared" si="46"/>
        <v>1.0000000030304681</v>
      </c>
      <c r="Y37" s="18">
        <f t="shared" si="47"/>
        <v>-7.7852014430446448E-5</v>
      </c>
      <c r="Z37" s="32" t="str">
        <f t="shared" si="36"/>
        <v>0.999999999846475+0.0000329505237180531i</v>
      </c>
      <c r="AA37" s="18">
        <f t="shared" si="48"/>
        <v>1.0000000003893434</v>
      </c>
      <c r="AB37" s="18">
        <f t="shared" si="49"/>
        <v>3.2950523711186628E-5</v>
      </c>
      <c r="AC37" s="68" t="str">
        <f t="shared" si="50"/>
        <v>128.831682161726-18.8204232742943i</v>
      </c>
      <c r="AD37" s="66">
        <f t="shared" si="51"/>
        <v>42.292160929824661</v>
      </c>
      <c r="AE37" s="63">
        <f t="shared" si="52"/>
        <v>-8.3112840822214213</v>
      </c>
      <c r="AF37" s="32" t="str">
        <f t="shared" si="37"/>
        <v>-0.434440565864413</v>
      </c>
      <c r="AG37" s="32" t="str">
        <f t="shared" si="38"/>
        <v>0.00253992197592475i</v>
      </c>
      <c r="AH37" s="32">
        <f t="shared" si="53"/>
        <v>2.53992197592475E-3</v>
      </c>
      <c r="AI37" s="32">
        <f t="shared" si="54"/>
        <v>1.5707963267948966</v>
      </c>
      <c r="AJ37" s="32" t="str">
        <f t="shared" si="39"/>
        <v>1+0.0000251477423358886i</v>
      </c>
      <c r="AK37" s="32">
        <f t="shared" si="55"/>
        <v>1.0000000003162044</v>
      </c>
      <c r="AL37" s="32">
        <f t="shared" si="56"/>
        <v>2.5147742330587379E-5</v>
      </c>
      <c r="AM37" s="32" t="str">
        <f t="shared" si="40"/>
        <v>1+0.00253992197592475i</v>
      </c>
      <c r="AN37" s="32">
        <f t="shared" si="57"/>
        <v>1.0000032255966196</v>
      </c>
      <c r="AO37" s="32">
        <f t="shared" si="58"/>
        <v>2.5399165140945891E-3</v>
      </c>
      <c r="AP37" s="60" t="str">
        <f t="shared" si="59"/>
        <v>-0.430139173851157+171.044857856568i</v>
      </c>
      <c r="AQ37" s="51">
        <f t="shared" si="60"/>
        <v>44.662227914417016</v>
      </c>
      <c r="AR37" s="63">
        <f t="shared" si="61"/>
        <v>90.144085637073374</v>
      </c>
      <c r="AS37" s="60" t="str">
        <f t="shared" si="62"/>
        <v>3163.72107042121+22044.0921640937i</v>
      </c>
      <c r="AT37" s="66">
        <f t="shared" si="63"/>
        <v>86.954388844241663</v>
      </c>
      <c r="AU37" s="63">
        <f t="shared" si="64"/>
        <v>81.832801554851969</v>
      </c>
      <c r="AV37" s="32"/>
      <c r="AX37" s="32">
        <f t="shared" si="65"/>
        <v>0</v>
      </c>
      <c r="AY37" s="32">
        <f t="shared" si="66"/>
        <v>0</v>
      </c>
    </row>
    <row r="38" spans="1:51" x14ac:dyDescent="0.3">
      <c r="A38" t="s">
        <v>247</v>
      </c>
      <c r="B38" s="30">
        <f>((VOUT/IOUT)*((VIN_var/VOUT)^2))/(Lm)</f>
        <v>1250000</v>
      </c>
      <c r="C38" t="s">
        <v>245</v>
      </c>
      <c r="D38" s="248">
        <f>B38/(2*PI())</f>
        <v>198943.67886486917</v>
      </c>
      <c r="E38" t="s">
        <v>237</v>
      </c>
      <c r="N38" s="11">
        <v>20</v>
      </c>
      <c r="O38" s="52">
        <f t="shared" si="41"/>
        <v>15.848931924611136</v>
      </c>
      <c r="P38" s="50" t="str">
        <f t="shared" si="32"/>
        <v>131.578947368421</v>
      </c>
      <c r="Q38" s="18" t="str">
        <f t="shared" si="33"/>
        <v>1+0.149372664304809i</v>
      </c>
      <c r="R38" s="18">
        <f t="shared" si="42"/>
        <v>1.0110945518800489</v>
      </c>
      <c r="S38" s="18">
        <f t="shared" si="43"/>
        <v>0.1482763599759753</v>
      </c>
      <c r="T38" s="18" t="str">
        <f t="shared" si="34"/>
        <v>1+3.2861986147058E-07i</v>
      </c>
      <c r="U38" s="18">
        <f t="shared" si="44"/>
        <v>1.000000000000054</v>
      </c>
      <c r="V38" s="18">
        <f t="shared" si="45"/>
        <v>3.2861986147056821E-7</v>
      </c>
      <c r="W38" s="32" t="str">
        <f t="shared" si="35"/>
        <v>1-0.000079665420962565i</v>
      </c>
      <c r="X38" s="18">
        <f t="shared" si="46"/>
        <v>1.0000000031732896</v>
      </c>
      <c r="Y38" s="18">
        <f t="shared" si="47"/>
        <v>-7.9665420794030687E-5</v>
      </c>
      <c r="Z38" s="32" t="str">
        <f t="shared" si="36"/>
        <v>0.999999999839239+0.0000337180400126645i</v>
      </c>
      <c r="AA38" s="18">
        <f t="shared" si="48"/>
        <v>1.0000000004076921</v>
      </c>
      <c r="AB38" s="18">
        <f t="shared" si="49"/>
        <v>3.371804000530696E-5</v>
      </c>
      <c r="AC38" s="68" t="str">
        <f t="shared" si="50"/>
        <v>128.705033354044-19.2398893785078i</v>
      </c>
      <c r="AD38" s="66">
        <f t="shared" si="51"/>
        <v>42.287892773021696</v>
      </c>
      <c r="AE38" s="63">
        <f t="shared" si="52"/>
        <v>-8.5020871934251581</v>
      </c>
      <c r="AF38" s="32" t="str">
        <f t="shared" si="37"/>
        <v>-0.434440565864413</v>
      </c>
      <c r="AG38" s="32" t="str">
        <f t="shared" si="38"/>
        <v>0.00259908435890368i</v>
      </c>
      <c r="AH38" s="32">
        <f t="shared" si="53"/>
        <v>2.59908435890368E-3</v>
      </c>
      <c r="AI38" s="32">
        <f t="shared" si="54"/>
        <v>1.5707963267948966</v>
      </c>
      <c r="AJ38" s="32" t="str">
        <f t="shared" si="39"/>
        <v>1+0.0000257335085039969i</v>
      </c>
      <c r="AK38" s="32">
        <f t="shared" si="55"/>
        <v>1.0000000003311067</v>
      </c>
      <c r="AL38" s="32">
        <f t="shared" si="56"/>
        <v>2.5733508498316542E-5</v>
      </c>
      <c r="AM38" s="32" t="str">
        <f t="shared" si="40"/>
        <v>1+0.00259908435890368i</v>
      </c>
      <c r="AN38" s="32">
        <f t="shared" si="57"/>
        <v>1.0000033776140482</v>
      </c>
      <c r="AO38" s="32">
        <f t="shared" si="58"/>
        <v>2.5990785064482886E-3</v>
      </c>
      <c r="AP38" s="60" t="str">
        <f t="shared" si="59"/>
        <v>-0.430139173838337+167.151402048721i</v>
      </c>
      <c r="AQ38" s="51">
        <f t="shared" si="60"/>
        <v>44.462229234689836</v>
      </c>
      <c r="AR38" s="63">
        <f t="shared" si="61"/>
        <v>90.147441807613632</v>
      </c>
      <c r="AS38" s="60" t="str">
        <f t="shared" si="62"/>
        <v>3160.61340816413+21521.5026059779i</v>
      </c>
      <c r="AT38" s="66">
        <f t="shared" si="63"/>
        <v>86.750122007711553</v>
      </c>
      <c r="AU38" s="63">
        <f t="shared" si="64"/>
        <v>81.645354614188491</v>
      </c>
      <c r="AV38" s="32"/>
      <c r="AX38" s="32">
        <f t="shared" si="65"/>
        <v>0</v>
      </c>
      <c r="AY38" s="32">
        <f t="shared" si="66"/>
        <v>0</v>
      </c>
    </row>
    <row r="39" spans="1:51" x14ac:dyDescent="0.3">
      <c r="A39" s="32"/>
      <c r="B39" s="1">
        <f>wz_rhp/(2*PI())</f>
        <v>198943.67886486917</v>
      </c>
      <c r="C39" s="32" t="s">
        <v>70</v>
      </c>
      <c r="D39" s="32"/>
      <c r="E39" s="32"/>
      <c r="F39" s="32"/>
      <c r="G39" s="32"/>
      <c r="N39" s="11">
        <v>21</v>
      </c>
      <c r="O39" s="52">
        <f t="shared" si="41"/>
        <v>16.218100973589298</v>
      </c>
      <c r="P39" s="50" t="str">
        <f t="shared" si="32"/>
        <v>131.578947368421</v>
      </c>
      <c r="Q39" s="18" t="str">
        <f t="shared" si="33"/>
        <v>1+0.152852000621416i</v>
      </c>
      <c r="R39" s="18">
        <f t="shared" si="42"/>
        <v>1.0116144196747936</v>
      </c>
      <c r="S39" s="18">
        <f t="shared" si="43"/>
        <v>0.15167801655366558</v>
      </c>
      <c r="T39" s="18" t="str">
        <f t="shared" si="34"/>
        <v>1+3.36274401367116E-07i</v>
      </c>
      <c r="U39" s="18">
        <f t="shared" si="44"/>
        <v>1.0000000000000564</v>
      </c>
      <c r="V39" s="18">
        <f t="shared" si="45"/>
        <v>3.3627440136710335E-7</v>
      </c>
      <c r="W39" s="32" t="str">
        <f t="shared" si="35"/>
        <v>1-0.0000815210669980888i</v>
      </c>
      <c r="X39" s="18">
        <f t="shared" si="46"/>
        <v>1.0000000033228422</v>
      </c>
      <c r="Y39" s="18">
        <f t="shared" si="47"/>
        <v>-8.1521066817501043E-5</v>
      </c>
      <c r="Z39" s="32" t="str">
        <f t="shared" si="36"/>
        <v>0.999999999831663+0.0000345034340584016i</v>
      </c>
      <c r="AA39" s="18">
        <f t="shared" si="48"/>
        <v>1.0000000004269063</v>
      </c>
      <c r="AB39" s="18">
        <f t="shared" si="49"/>
        <v>3.4503434050517843E-5</v>
      </c>
      <c r="AC39" s="68" t="str">
        <f t="shared" si="50"/>
        <v>128.57268217703-19.667813831092i</v>
      </c>
      <c r="AD39" s="66">
        <f t="shared" si="51"/>
        <v>42.283427955482942</v>
      </c>
      <c r="AE39" s="63">
        <f t="shared" si="52"/>
        <v>-8.69713864055635</v>
      </c>
      <c r="AF39" s="32" t="str">
        <f t="shared" si="37"/>
        <v>-0.434440565864413</v>
      </c>
      <c r="AG39" s="32" t="str">
        <f t="shared" si="38"/>
        <v>0.00265962481081265i</v>
      </c>
      <c r="AH39" s="32">
        <f t="shared" si="53"/>
        <v>2.6596248108126498E-3</v>
      </c>
      <c r="AI39" s="32">
        <f t="shared" si="54"/>
        <v>1.5707963267948966</v>
      </c>
      <c r="AJ39" s="32" t="str">
        <f t="shared" si="39"/>
        <v>1+0.0000263329189189371i</v>
      </c>
      <c r="AK39" s="32">
        <f t="shared" si="55"/>
        <v>1.0000000003467113</v>
      </c>
      <c r="AL39" s="32">
        <f t="shared" si="56"/>
        <v>2.6332918912850486E-5</v>
      </c>
      <c r="AM39" s="32" t="str">
        <f t="shared" si="40"/>
        <v>1+0.00265962481081265i</v>
      </c>
      <c r="AN39" s="32">
        <f t="shared" si="57"/>
        <v>1.0000035367958127</v>
      </c>
      <c r="AO39" s="32">
        <f t="shared" si="58"/>
        <v>2.6596185397949126E-3</v>
      </c>
      <c r="AP39" s="60" t="str">
        <f t="shared" si="59"/>
        <v>-0.430139173824913+163.346572126751i</v>
      </c>
      <c r="AQ39" s="51">
        <f t="shared" si="60"/>
        <v>44.262230617184784</v>
      </c>
      <c r="AR39" s="63">
        <f t="shared" si="61"/>
        <v>90.150876152329019</v>
      </c>
      <c r="AS39" s="60" t="str">
        <f t="shared" si="62"/>
        <v>3157.3658232479+21010.3667999523i</v>
      </c>
      <c r="AT39" s="66">
        <f t="shared" si="63"/>
        <v>86.545658572667733</v>
      </c>
      <c r="AU39" s="63">
        <f t="shared" si="64"/>
        <v>81.453737511772673</v>
      </c>
      <c r="AX39" s="32">
        <f t="shared" si="65"/>
        <v>0</v>
      </c>
      <c r="AY39" s="32">
        <f t="shared" si="66"/>
        <v>0</v>
      </c>
    </row>
    <row r="40" spans="1:51" x14ac:dyDescent="0.3">
      <c r="A40" s="32"/>
      <c r="B40" s="1"/>
      <c r="C40" s="32"/>
      <c r="D40" s="32"/>
      <c r="E40" s="32"/>
      <c r="F40" s="32"/>
      <c r="G40" s="32"/>
      <c r="N40" s="11">
        <v>22</v>
      </c>
      <c r="O40" s="52">
        <f t="shared" si="41"/>
        <v>16.595869074375614</v>
      </c>
      <c r="P40" s="50" t="str">
        <f t="shared" si="32"/>
        <v>131.578947368421</v>
      </c>
      <c r="Q40" s="18" t="str">
        <f t="shared" si="33"/>
        <v>1+0.156412381091989i</v>
      </c>
      <c r="R40" s="18">
        <f t="shared" si="42"/>
        <v>1.0121585018952644</v>
      </c>
      <c r="S40" s="18">
        <f t="shared" si="43"/>
        <v>0.15515524918669693</v>
      </c>
      <c r="T40" s="18" t="str">
        <f t="shared" si="34"/>
        <v>1+3.44107238402377E-07i</v>
      </c>
      <c r="U40" s="18">
        <f t="shared" si="44"/>
        <v>1.0000000000000591</v>
      </c>
      <c r="V40" s="18">
        <f t="shared" si="45"/>
        <v>3.4410723840236338E-7</v>
      </c>
      <c r="W40" s="32" t="str">
        <f t="shared" si="35"/>
        <v>1-0.0000834199365823944i</v>
      </c>
      <c r="X40" s="18">
        <f t="shared" si="46"/>
        <v>1.000000003479443</v>
      </c>
      <c r="Y40" s="18">
        <f t="shared" si="47"/>
        <v>-8.3419936388891131E-5</v>
      </c>
      <c r="Z40" s="32" t="str">
        <f t="shared" si="36"/>
        <v>0.999999999823729+0.0000353071222815836i</v>
      </c>
      <c r="AA40" s="18">
        <f t="shared" si="48"/>
        <v>1.0000000004470253</v>
      </c>
      <c r="AB40" s="18">
        <f t="shared" si="49"/>
        <v>3.5307122273136019E-5</v>
      </c>
      <c r="AC40" s="68" t="str">
        <f t="shared" si="50"/>
        <v>128.43438468846-20.1043046273521i</v>
      </c>
      <c r="AD40" s="66">
        <f t="shared" si="51"/>
        <v>42.278757632063773</v>
      </c>
      <c r="AE40" s="63">
        <f t="shared" si="52"/>
        <v>-8.8965237911812256</v>
      </c>
      <c r="AF40" s="32" t="str">
        <f t="shared" si="37"/>
        <v>-0.434440565864413</v>
      </c>
      <c r="AG40" s="32" t="str">
        <f t="shared" si="38"/>
        <v>0.00272157543100062i</v>
      </c>
      <c r="AH40" s="32">
        <f t="shared" si="53"/>
        <v>2.7215754310006201E-3</v>
      </c>
      <c r="AI40" s="32">
        <f t="shared" si="54"/>
        <v>1.5707963267948966</v>
      </c>
      <c r="AJ40" s="32" t="str">
        <f t="shared" si="39"/>
        <v>1+0.0000269462913960457i</v>
      </c>
      <c r="AK40" s="32">
        <f t="shared" si="55"/>
        <v>1.0000000003630511</v>
      </c>
      <c r="AL40" s="32">
        <f t="shared" si="56"/>
        <v>2.6946291389523776E-5</v>
      </c>
      <c r="AM40" s="32" t="str">
        <f t="shared" si="40"/>
        <v>1+0.00272157543100062i</v>
      </c>
      <c r="AN40" s="32">
        <f t="shared" si="57"/>
        <v>1.0000037034795555</v>
      </c>
      <c r="AO40" s="32">
        <f t="shared" si="58"/>
        <v>2.7215687114853951E-3</v>
      </c>
      <c r="AP40" s="60" t="str">
        <f t="shared" si="59"/>
        <v>-0.430139173810856+159.628350719469i</v>
      </c>
      <c r="AQ40" s="51">
        <f t="shared" si="60"/>
        <v>44.062232064834184</v>
      </c>
      <c r="AR40" s="63">
        <f t="shared" si="61"/>
        <v>90.154390492052826</v>
      </c>
      <c r="AS40" s="60" t="str">
        <f t="shared" si="62"/>
        <v>3153.9723299072+20510.4166524711i</v>
      </c>
      <c r="AT40" s="66">
        <f t="shared" si="63"/>
        <v>86.34098969689795</v>
      </c>
      <c r="AU40" s="63">
        <f t="shared" si="64"/>
        <v>81.257866700871588</v>
      </c>
      <c r="AX40" s="32">
        <f t="shared" si="65"/>
        <v>0</v>
      </c>
      <c r="AY40" s="32">
        <f t="shared" si="66"/>
        <v>0</v>
      </c>
    </row>
    <row r="41" spans="1:51" x14ac:dyDescent="0.3">
      <c r="A41" t="s">
        <v>248</v>
      </c>
      <c r="B41" s="30">
        <f>1/(Cout*Resr)</f>
        <v>303030303.03030306</v>
      </c>
      <c r="C41" t="s">
        <v>245</v>
      </c>
      <c r="D41" s="248">
        <f>B41/(2*PI())</f>
        <v>48228770.633907683</v>
      </c>
      <c r="E41" t="s">
        <v>238</v>
      </c>
      <c r="N41" s="11">
        <v>23</v>
      </c>
      <c r="O41" s="52">
        <f t="shared" si="41"/>
        <v>16.982436524617448</v>
      </c>
      <c r="P41" s="50" t="str">
        <f t="shared" si="32"/>
        <v>131.578947368421</v>
      </c>
      <c r="Q41" s="18" t="str">
        <f t="shared" si="33"/>
        <v>1+0.160055693477379i</v>
      </c>
      <c r="R41" s="18">
        <f t="shared" si="42"/>
        <v>1.0127279126273379</v>
      </c>
      <c r="S41" s="18">
        <f t="shared" si="43"/>
        <v>0.1587095650271132</v>
      </c>
      <c r="T41" s="18" t="str">
        <f t="shared" si="34"/>
        <v>1+3.52122525650234E-07i</v>
      </c>
      <c r="U41" s="18">
        <f t="shared" si="44"/>
        <v>1.000000000000062</v>
      </c>
      <c r="V41" s="18">
        <f t="shared" si="45"/>
        <v>3.5212252565021945E-7</v>
      </c>
      <c r="W41" s="32" t="str">
        <f t="shared" si="35"/>
        <v>1-0.0000853630365212688i</v>
      </c>
      <c r="X41" s="18">
        <f t="shared" si="46"/>
        <v>1.000000003643424</v>
      </c>
      <c r="Y41" s="18">
        <f t="shared" si="47"/>
        <v>-8.5363036313926315E-5</v>
      </c>
      <c r="Z41" s="32" t="str">
        <f t="shared" si="36"/>
        <v>0.999999999815422+0.000036129530808344i</v>
      </c>
      <c r="AA41" s="18">
        <f t="shared" si="48"/>
        <v>1.0000000004680933</v>
      </c>
      <c r="AB41" s="18">
        <f t="shared" si="49"/>
        <v>3.6129530799292241E-5</v>
      </c>
      <c r="AC41" s="68" t="str">
        <f t="shared" si="50"/>
        <v>128.289887713323-20.5494664762852i</v>
      </c>
      <c r="AD41" s="66">
        <f t="shared" si="51"/>
        <v>42.273872580126444</v>
      </c>
      <c r="AE41" s="63">
        <f t="shared" si="52"/>
        <v>-9.1003290806138857</v>
      </c>
      <c r="AF41" s="32" t="str">
        <f t="shared" si="37"/>
        <v>-0.434440565864413</v>
      </c>
      <c r="AG41" s="32" t="str">
        <f t="shared" si="38"/>
        <v>0.0027849690665064i</v>
      </c>
      <c r="AH41" s="32">
        <f t="shared" si="53"/>
        <v>2.7849690665064002E-3</v>
      </c>
      <c r="AI41" s="32">
        <f t="shared" si="54"/>
        <v>1.5707963267948966</v>
      </c>
      <c r="AJ41" s="32" t="str">
        <f t="shared" si="39"/>
        <v>1+0.0000275739511535287i</v>
      </c>
      <c r="AK41" s="32">
        <f t="shared" si="55"/>
        <v>1.0000000003801612</v>
      </c>
      <c r="AL41" s="32">
        <f t="shared" si="56"/>
        <v>2.7573951146540332E-5</v>
      </c>
      <c r="AM41" s="32" t="str">
        <f t="shared" si="40"/>
        <v>1+0.0027849690665064i</v>
      </c>
      <c r="AN41" s="32">
        <f t="shared" si="57"/>
        <v>1.0000038780188312</v>
      </c>
      <c r="AO41" s="32">
        <f t="shared" si="58"/>
        <v>2.7849618664176228E-3</v>
      </c>
      <c r="AP41" s="60" t="str">
        <f t="shared" si="59"/>
        <v>-0.430139173796136+155.99476637667i</v>
      </c>
      <c r="AQ41" s="51">
        <f t="shared" si="60"/>
        <v>43.862233580708711</v>
      </c>
      <c r="AR41" s="63">
        <f t="shared" si="61"/>
        <v>90.157986690025396</v>
      </c>
      <c r="AS41" s="60" t="str">
        <f t="shared" si="62"/>
        <v>3150.42671582591+20021.3901928611i</v>
      </c>
      <c r="AT41" s="66">
        <f t="shared" si="63"/>
        <v>86.136106160835169</v>
      </c>
      <c r="AU41" s="63">
        <f t="shared" si="64"/>
        <v>81.057657609411535</v>
      </c>
      <c r="AX41" s="32">
        <f t="shared" si="65"/>
        <v>0</v>
      </c>
      <c r="AY41" s="32">
        <f t="shared" si="66"/>
        <v>0</v>
      </c>
    </row>
    <row r="42" spans="1:51" s="32" customFormat="1" x14ac:dyDescent="0.3">
      <c r="B42" s="30"/>
      <c r="K42"/>
      <c r="N42" s="11">
        <v>24</v>
      </c>
      <c r="O42" s="52">
        <f t="shared" si="41"/>
        <v>17.378008287493756</v>
      </c>
      <c r="P42" s="50" t="str">
        <f t="shared" si="32"/>
        <v>131.578947368421</v>
      </c>
      <c r="Q42" s="18" t="str">
        <f t="shared" si="33"/>
        <v>1+0.163783869510039i</v>
      </c>
      <c r="R42" s="18">
        <f t="shared" si="42"/>
        <v>1.0133238159204991</v>
      </c>
      <c r="S42" s="18">
        <f t="shared" si="43"/>
        <v>0.16234248921860295</v>
      </c>
      <c r="T42" s="18" t="str">
        <f t="shared" si="34"/>
        <v>1+3.60324512922086E-07i</v>
      </c>
      <c r="U42" s="18">
        <f t="shared" si="44"/>
        <v>1.0000000000000648</v>
      </c>
      <c r="V42" s="18">
        <f t="shared" si="45"/>
        <v>3.6032451292207037E-7</v>
      </c>
      <c r="W42" s="32" t="str">
        <f t="shared" si="35"/>
        <v>1-0.0000873513970720208i</v>
      </c>
      <c r="X42" s="18">
        <f t="shared" si="46"/>
        <v>1.0000000038151333</v>
      </c>
      <c r="Y42" s="18">
        <f t="shared" si="47"/>
        <v>-8.7351396849849312E-5</v>
      </c>
      <c r="Z42" s="32" t="str">
        <f t="shared" si="36"/>
        <v>0.999999999806723+0.0000369710956905702i</v>
      </c>
      <c r="AA42" s="18">
        <f t="shared" si="48"/>
        <v>1.0000000004901539</v>
      </c>
      <c r="AB42" s="18">
        <f t="shared" si="49"/>
        <v>3.6971095680871065E-5</v>
      </c>
      <c r="AC42" s="68" t="str">
        <f t="shared" si="50"/>
        <v>128.138928608839-21.00340037402i</v>
      </c>
      <c r="AD42" s="66">
        <f t="shared" si="51"/>
        <v>42.268763185337626</v>
      </c>
      <c r="AE42" s="63">
        <f t="shared" si="52"/>
        <v>-9.3086419769207129</v>
      </c>
      <c r="AF42" s="32" t="str">
        <f t="shared" si="37"/>
        <v>-0.434440565864413</v>
      </c>
      <c r="AG42" s="32" t="str">
        <f t="shared" si="38"/>
        <v>0.00284983932947468i</v>
      </c>
      <c r="AH42" s="32">
        <f t="shared" si="53"/>
        <v>2.84983932947468E-3</v>
      </c>
      <c r="AI42" s="32">
        <f t="shared" si="54"/>
        <v>1.5707963267948966</v>
      </c>
      <c r="AJ42" s="32" t="str">
        <f t="shared" si="39"/>
        <v>1+0.0000282162309848978i</v>
      </c>
      <c r="AK42" s="32">
        <f t="shared" si="55"/>
        <v>1.0000000003980778</v>
      </c>
      <c r="AL42" s="32">
        <f t="shared" si="56"/>
        <v>2.8216230977409629E-5</v>
      </c>
      <c r="AM42" s="32" t="str">
        <f t="shared" si="40"/>
        <v>1+0.00284983932947468i</v>
      </c>
      <c r="AN42" s="32">
        <f t="shared" si="57"/>
        <v>1.000004060783857</v>
      </c>
      <c r="AO42" s="32">
        <f t="shared" si="58"/>
        <v>2.8498316144422477E-3</v>
      </c>
      <c r="AP42" s="60" t="str">
        <f t="shared" si="59"/>
        <v>-0.430139173780723+152.443892523839i</v>
      </c>
      <c r="AQ42" s="51">
        <f t="shared" si="60"/>
        <v>43.662235168023649</v>
      </c>
      <c r="AR42" s="63">
        <f t="shared" si="61"/>
        <v>90.161666652881721</v>
      </c>
      <c r="AS42" s="60" t="str">
        <f t="shared" si="62"/>
        <v>3146.72253637131+19543.0314462492i</v>
      </c>
      <c r="AT42" s="66">
        <f t="shared" si="63"/>
        <v>85.930998353361275</v>
      </c>
      <c r="AU42" s="63">
        <f t="shared" si="64"/>
        <v>80.853024675961009</v>
      </c>
      <c r="AV42"/>
      <c r="AX42" s="32">
        <f t="shared" si="65"/>
        <v>0</v>
      </c>
      <c r="AY42" s="32">
        <f t="shared" si="66"/>
        <v>0</v>
      </c>
    </row>
    <row r="43" spans="1:51" s="32" customFormat="1" x14ac:dyDescent="0.3">
      <c r="A43"/>
      <c r="B43" s="1"/>
      <c r="C43"/>
      <c r="D43"/>
      <c r="E43"/>
      <c r="F43"/>
      <c r="G43"/>
      <c r="N43" s="11">
        <v>25</v>
      </c>
      <c r="O43" s="52">
        <f t="shared" si="41"/>
        <v>17.782794100389236</v>
      </c>
      <c r="P43" s="50" t="str">
        <f t="shared" si="32"/>
        <v>131.578947368421</v>
      </c>
      <c r="Q43" s="18" t="str">
        <f t="shared" si="33"/>
        <v>1+0.167598885918247i</v>
      </c>
      <c r="R43" s="18">
        <f t="shared" si="42"/>
        <v>1.0139474279078959</v>
      </c>
      <c r="S43" s="18">
        <f t="shared" si="43"/>
        <v>0.16605556420793904</v>
      </c>
      <c r="T43" s="18" t="str">
        <f t="shared" si="34"/>
        <v>1+3.68717549020145E-07i</v>
      </c>
      <c r="U43" s="18">
        <f t="shared" si="44"/>
        <v>1.0000000000000679</v>
      </c>
      <c r="V43" s="18">
        <f t="shared" si="45"/>
        <v>3.6871754902012829E-7</v>
      </c>
      <c r="W43" s="32" t="str">
        <f t="shared" si="35"/>
        <v>1-0.000089386072489732i</v>
      </c>
      <c r="X43" s="18">
        <f t="shared" si="46"/>
        <v>1.0000000039949348</v>
      </c>
      <c r="Y43" s="18">
        <f t="shared" si="47"/>
        <v>-8.9386072251670969E-5</v>
      </c>
      <c r="Z43" s="32" t="str">
        <f t="shared" si="36"/>
        <v>0.999999999797614+0.0000378322631371015i</v>
      </c>
      <c r="AA43" s="18">
        <f t="shared" si="48"/>
        <v>1.0000000005132539</v>
      </c>
      <c r="AB43" s="18">
        <f t="shared" si="49"/>
        <v>3.7832263126708694E-5</v>
      </c>
      <c r="AC43" s="68" t="str">
        <f t="shared" si="50"/>
        <v>127.981235035182-21.4662031495392i</v>
      </c>
      <c r="AD43" s="66">
        <f t="shared" si="51"/>
        <v>42.26341942711376</v>
      </c>
      <c r="AE43" s="63">
        <f t="shared" si="52"/>
        <v>-9.5215509415130093</v>
      </c>
      <c r="AF43" s="32" t="str">
        <f t="shared" si="37"/>
        <v>-0.434440565864413</v>
      </c>
      <c r="AG43" s="32" t="str">
        <f t="shared" si="38"/>
        <v>0.00291622061497751i</v>
      </c>
      <c r="AH43" s="32">
        <f t="shared" si="53"/>
        <v>2.9162206149775101E-3</v>
      </c>
      <c r="AI43" s="32">
        <f t="shared" si="54"/>
        <v>1.5707963267948966</v>
      </c>
      <c r="AJ43" s="32" t="str">
        <f t="shared" si="39"/>
        <v>1+0.0000288734714354209i</v>
      </c>
      <c r="AK43" s="32">
        <f t="shared" si="55"/>
        <v>1.0000000004168386</v>
      </c>
      <c r="AL43" s="32">
        <f t="shared" si="56"/>
        <v>2.887347142739718E-5</v>
      </c>
      <c r="AM43" s="32" t="str">
        <f t="shared" si="40"/>
        <v>1+0.00291622061497751i</v>
      </c>
      <c r="AN43" s="32">
        <f t="shared" si="57"/>
        <v>1.0000042521622972</v>
      </c>
      <c r="AO43" s="32">
        <f t="shared" si="58"/>
        <v>2.9162123481732169E-3</v>
      </c>
      <c r="AP43" s="60" t="str">
        <f t="shared" si="59"/>
        <v>-0.430139173764584+148.973846440657i</v>
      </c>
      <c r="AQ43" s="51">
        <f t="shared" si="60"/>
        <v>43.462236830145784</v>
      </c>
      <c r="AR43" s="63">
        <f t="shared" si="61"/>
        <v>90.165432331661577</v>
      </c>
      <c r="AS43" s="60" t="str">
        <f t="shared" si="62"/>
        <v>3142.853108968+19075.0903103034i</v>
      </c>
      <c r="AT43" s="66">
        <f t="shared" si="63"/>
        <v>85.725656257259516</v>
      </c>
      <c r="AU43" s="63">
        <f t="shared" si="64"/>
        <v>80.643881390148536</v>
      </c>
      <c r="AV43"/>
      <c r="AX43" s="32">
        <f t="shared" si="65"/>
        <v>0</v>
      </c>
      <c r="AY43" s="32">
        <f t="shared" si="66"/>
        <v>0</v>
      </c>
    </row>
    <row r="44" spans="1:51" s="32" customFormat="1" x14ac:dyDescent="0.3">
      <c r="A44" s="32" t="s">
        <v>241</v>
      </c>
      <c r="B44" s="1">
        <f>(Isl*(Rsl_int+R_sl)*Fsw)</f>
        <v>1249999.9999999998</v>
      </c>
      <c r="C44" s="32" t="s">
        <v>175</v>
      </c>
      <c r="E44" s="32" t="s">
        <v>242</v>
      </c>
      <c r="N44" s="11">
        <v>26</v>
      </c>
      <c r="O44" s="52">
        <f t="shared" si="41"/>
        <v>18.197008586099841</v>
      </c>
      <c r="P44" s="50" t="str">
        <f t="shared" si="32"/>
        <v>131.578947368421</v>
      </c>
      <c r="Q44" s="18" t="str">
        <f t="shared" si="33"/>
        <v>1+0.171502765474204i</v>
      </c>
      <c r="R44" s="18">
        <f t="shared" si="42"/>
        <v>1.0146000190051743</v>
      </c>
      <c r="S44" s="18">
        <f t="shared" si="43"/>
        <v>0.16985034897449222</v>
      </c>
      <c r="T44" s="18" t="str">
        <f t="shared" si="34"/>
        <v>1+3.7730608404325E-07i</v>
      </c>
      <c r="U44" s="18">
        <f t="shared" si="44"/>
        <v>1.0000000000000711</v>
      </c>
      <c r="V44" s="18">
        <f t="shared" si="45"/>
        <v>3.773060840432321E-7</v>
      </c>
      <c r="W44" s="32" t="str">
        <f t="shared" si="35"/>
        <v>1-0.0000914681415862424i</v>
      </c>
      <c r="X44" s="18">
        <f t="shared" si="46"/>
        <v>1.0000000041832104</v>
      </c>
      <c r="Y44" s="18">
        <f t="shared" si="47"/>
        <v>-9.146814133115541E-5</v>
      </c>
      <c r="Z44" s="32" t="str">
        <f t="shared" si="36"/>
        <v>0.999999999788076+0.0000387134897503175i</v>
      </c>
      <c r="AA44" s="18">
        <f t="shared" si="48"/>
        <v>1.000000000537443</v>
      </c>
      <c r="AB44" s="18">
        <f t="shared" si="49"/>
        <v>3.8713489739181405E-5</v>
      </c>
      <c r="AC44" s="68" t="str">
        <f t="shared" si="50"/>
        <v>127.816524733422-21.9379669815438i</v>
      </c>
      <c r="AD44" s="66">
        <f t="shared" si="51"/>
        <v>42.257830863722376</v>
      </c>
      <c r="AE44" s="63">
        <f t="shared" si="52"/>
        <v>-9.7391453850468785</v>
      </c>
      <c r="AF44" s="32" t="str">
        <f t="shared" si="37"/>
        <v>-0.434440565864413</v>
      </c>
      <c r="AG44" s="32" t="str">
        <f t="shared" si="38"/>
        <v>0.00298414811925116i</v>
      </c>
      <c r="AH44" s="32">
        <f t="shared" si="53"/>
        <v>2.98414811925116E-3</v>
      </c>
      <c r="AI44" s="32">
        <f t="shared" si="54"/>
        <v>1.5707963267948966</v>
      </c>
      <c r="AJ44" s="32" t="str">
        <f t="shared" si="39"/>
        <v>1+0.0000295460209826848i</v>
      </c>
      <c r="AK44" s="32">
        <f t="shared" si="55"/>
        <v>1.0000000004364835</v>
      </c>
      <c r="AL44" s="32">
        <f t="shared" si="56"/>
        <v>2.9546020974087228E-5</v>
      </c>
      <c r="AM44" s="32" t="str">
        <f t="shared" si="40"/>
        <v>1+0.00298414811925116i</v>
      </c>
      <c r="AN44" s="32">
        <f t="shared" si="57"/>
        <v>1.0000044525600862</v>
      </c>
      <c r="AO44" s="32">
        <f t="shared" si="58"/>
        <v>2.9841392612128975E-3</v>
      </c>
      <c r="AP44" s="60" t="str">
        <f t="shared" si="59"/>
        <v>-0.430139173747684+145.58278826276i</v>
      </c>
      <c r="AQ44" s="51">
        <f t="shared" si="60"/>
        <v>43.262238570600644</v>
      </c>
      <c r="AR44" s="63">
        <f t="shared" si="61"/>
        <v>90.169285722843568</v>
      </c>
      <c r="AS44" s="60" t="str">
        <f t="shared" si="62"/>
        <v>3138.81150764938+18617.3224357387i</v>
      </c>
      <c r="AT44" s="66">
        <f t="shared" si="63"/>
        <v>85.520069434323005</v>
      </c>
      <c r="AU44" s="63">
        <f t="shared" si="64"/>
        <v>80.430140337796658</v>
      </c>
      <c r="AV44"/>
      <c r="AX44" s="32">
        <f t="shared" si="65"/>
        <v>0</v>
      </c>
      <c r="AY44" s="32">
        <f t="shared" si="66"/>
        <v>0</v>
      </c>
    </row>
    <row r="45" spans="1:51" x14ac:dyDescent="0.3">
      <c r="A45" s="32" t="s">
        <v>244</v>
      </c>
      <c r="B45" s="1">
        <f>(R_cs*VIN_var*Acs)/Lm</f>
        <v>285000.00000000006</v>
      </c>
      <c r="C45" s="32" t="s">
        <v>175</v>
      </c>
      <c r="D45" s="32"/>
      <c r="E45" s="32" t="s">
        <v>243</v>
      </c>
      <c r="F45" s="32"/>
      <c r="G45" s="32"/>
      <c r="N45" s="11">
        <v>27</v>
      </c>
      <c r="O45" s="52">
        <f t="shared" si="41"/>
        <v>18.62087136662868</v>
      </c>
      <c r="P45" s="50" t="str">
        <f t="shared" si="32"/>
        <v>131.578947368421</v>
      </c>
      <c r="Q45" s="18" t="str">
        <f t="shared" si="33"/>
        <v>1+0.175497578066523i</v>
      </c>
      <c r="R45" s="18">
        <f t="shared" si="42"/>
        <v>1.0152829161899728</v>
      </c>
      <c r="S45" s="18">
        <f t="shared" si="43"/>
        <v>0.17372841817263446</v>
      </c>
      <c r="T45" s="18" t="str">
        <f t="shared" si="34"/>
        <v>1+3.86094671746351E-07i</v>
      </c>
      <c r="U45" s="18">
        <f t="shared" si="44"/>
        <v>1.0000000000000746</v>
      </c>
      <c r="V45" s="18">
        <f t="shared" si="45"/>
        <v>3.8609467174633184E-7</v>
      </c>
      <c r="W45" s="32" t="str">
        <f t="shared" si="35"/>
        <v>1-0.0000935987083021456i</v>
      </c>
      <c r="X45" s="18">
        <f t="shared" si="46"/>
        <v>1.000000004380359</v>
      </c>
      <c r="Y45" s="18">
        <f t="shared" si="47"/>
        <v>-9.359870802881496E-5</v>
      </c>
      <c r="Z45" s="32" t="str">
        <f t="shared" si="36"/>
        <v>0.999999999778088+0.0000396152427682327i</v>
      </c>
      <c r="AA45" s="18">
        <f t="shared" si="48"/>
        <v>1.0000000005627716</v>
      </c>
      <c r="AB45" s="18">
        <f t="shared" si="49"/>
        <v>3.9615242756300175E-5</v>
      </c>
      <c r="AC45" s="68" t="str">
        <f t="shared" si="50"/>
        <v>127.644505312421-22.4187788853331i</v>
      </c>
      <c r="AD45" s="66">
        <f t="shared" si="51"/>
        <v>42.251986617054314</v>
      </c>
      <c r="AE45" s="63">
        <f t="shared" si="52"/>
        <v>-9.9615156183328324</v>
      </c>
      <c r="AF45" s="32" t="str">
        <f t="shared" si="37"/>
        <v>-0.434440565864413</v>
      </c>
      <c r="AG45" s="32" t="str">
        <f t="shared" si="38"/>
        <v>0.0030536578583575i</v>
      </c>
      <c r="AH45" s="32">
        <f t="shared" si="53"/>
        <v>3.0536578583575001E-3</v>
      </c>
      <c r="AI45" s="32">
        <f t="shared" si="54"/>
        <v>1.5707963267948966</v>
      </c>
      <c r="AJ45" s="32" t="str">
        <f t="shared" si="39"/>
        <v>1+0.0000302342362213614i</v>
      </c>
      <c r="AK45" s="32">
        <f t="shared" si="55"/>
        <v>1.0000000004570544</v>
      </c>
      <c r="AL45" s="32">
        <f t="shared" si="56"/>
        <v>3.0234236212148937E-5</v>
      </c>
      <c r="AM45" s="32" t="str">
        <f t="shared" si="40"/>
        <v>1+0.0030536578583575i</v>
      </c>
      <c r="AN45" s="32">
        <f t="shared" si="57"/>
        <v>1.0000046624022889</v>
      </c>
      <c r="AO45" s="32">
        <f t="shared" si="58"/>
        <v>3.0536483668008852E-3</v>
      </c>
      <c r="AP45" s="60" t="str">
        <f t="shared" si="59"/>
        <v>-0.430139173729987+142.268920006217i</v>
      </c>
      <c r="AQ45" s="51">
        <f t="shared" si="60"/>
        <v>43.062240393079932</v>
      </c>
      <c r="AR45" s="63">
        <f t="shared" si="61"/>
        <v>90.173228869402948</v>
      </c>
      <c r="AS45" s="60" t="str">
        <f t="shared" si="62"/>
        <v>3134.59055782826+18169.4891105517i</v>
      </c>
      <c r="AT45" s="66">
        <f t="shared" si="63"/>
        <v>85.314227010134232</v>
      </c>
      <c r="AU45" s="63">
        <f t="shared" si="64"/>
        <v>80.211713251070108</v>
      </c>
      <c r="AX45" s="32">
        <f t="shared" si="65"/>
        <v>0</v>
      </c>
      <c r="AY45" s="32">
        <f t="shared" si="66"/>
        <v>0</v>
      </c>
    </row>
    <row r="46" spans="1:51" x14ac:dyDescent="0.3">
      <c r="B46" s="1"/>
      <c r="K46" s="32"/>
      <c r="N46" s="11">
        <v>28</v>
      </c>
      <c r="O46" s="52">
        <f t="shared" si="41"/>
        <v>19.054607179632477</v>
      </c>
      <c r="P46" s="50" t="str">
        <f t="shared" si="32"/>
        <v>131.578947368421</v>
      </c>
      <c r="Q46" s="18" t="str">
        <f t="shared" si="33"/>
        <v>1+0.179585441797717i</v>
      </c>
      <c r="R46" s="18">
        <f t="shared" si="42"/>
        <v>1.0159975053639065</v>
      </c>
      <c r="S46" s="18">
        <f t="shared" si="43"/>
        <v>0.17769136118173096</v>
      </c>
      <c r="T46" s="18" t="str">
        <f t="shared" si="34"/>
        <v>1+3.95087971954979E-07i</v>
      </c>
      <c r="U46" s="18">
        <f t="shared" si="44"/>
        <v>1.0000000000000782</v>
      </c>
      <c r="V46" s="18">
        <f t="shared" si="45"/>
        <v>3.9508797195495847E-7</v>
      </c>
      <c r="W46" s="32" t="str">
        <f t="shared" si="35"/>
        <v>1-0.000095778902292116i</v>
      </c>
      <c r="X46" s="18">
        <f t="shared" si="46"/>
        <v>1.0000000045867989</v>
      </c>
      <c r="Y46" s="18">
        <f t="shared" si="47"/>
        <v>-9.5778901999236943E-5</v>
      </c>
      <c r="Z46" s="32" t="str">
        <f t="shared" si="36"/>
        <v>0.99999999976763+0.0000405380003122333i</v>
      </c>
      <c r="AA46" s="18">
        <f t="shared" si="48"/>
        <v>1.0000000005892946</v>
      </c>
      <c r="AB46" s="18">
        <f t="shared" si="49"/>
        <v>4.0538000299447354E-5</v>
      </c>
      <c r="AC46" s="68" t="str">
        <f t="shared" si="50"/>
        <v>127.464874046478-22.908720168597i</v>
      </c>
      <c r="AD46" s="66">
        <f t="shared" si="51"/>
        <v>42.245875357078276</v>
      </c>
      <c r="AE46" s="63">
        <f t="shared" si="52"/>
        <v>-10.188752797952596</v>
      </c>
      <c r="AF46" s="32" t="str">
        <f t="shared" si="37"/>
        <v>-0.434440565864413</v>
      </c>
      <c r="AG46" s="32" t="str">
        <f t="shared" si="38"/>
        <v>0.00312478668728029i</v>
      </c>
      <c r="AH46" s="32">
        <f t="shared" si="53"/>
        <v>3.12478668728029E-3</v>
      </c>
      <c r="AI46" s="32">
        <f t="shared" si="54"/>
        <v>1.5707963267948966</v>
      </c>
      <c r="AJ46" s="32" t="str">
        <f t="shared" si="39"/>
        <v>1+0.0000309384820522801i</v>
      </c>
      <c r="AK46" s="32">
        <f t="shared" si="55"/>
        <v>1.0000000004785947</v>
      </c>
      <c r="AL46" s="32">
        <f t="shared" si="56"/>
        <v>3.0938482042408771E-5</v>
      </c>
      <c r="AM46" s="32" t="str">
        <f t="shared" si="40"/>
        <v>1+0.00312478668728029i</v>
      </c>
      <c r="AN46" s="32">
        <f t="shared" si="57"/>
        <v>1.0000048821340028</v>
      </c>
      <c r="AO46" s="32">
        <f t="shared" si="58"/>
        <v>3.1247765168968219E-3</v>
      </c>
      <c r="AP46" s="60" t="str">
        <f t="shared" si="59"/>
        <v>-0.430139173711457+139.030484614211i</v>
      </c>
      <c r="AQ46" s="51">
        <f t="shared" si="60"/>
        <v>42.862242301449086</v>
      </c>
      <c r="AR46" s="63">
        <f t="shared" si="61"/>
        <v>90.177263861894204</v>
      </c>
      <c r="AS46" s="60" t="str">
        <f t="shared" si="62"/>
        <v>3130.1828313318+17731.3571479353i</v>
      </c>
      <c r="AT46" s="66">
        <f t="shared" si="63"/>
        <v>85.108117658527348</v>
      </c>
      <c r="AU46" s="63">
        <f t="shared" si="64"/>
        <v>79.988511063941615</v>
      </c>
      <c r="AX46" s="32">
        <f t="shared" si="65"/>
        <v>0</v>
      </c>
      <c r="AY46" s="32">
        <f t="shared" si="66"/>
        <v>0</v>
      </c>
    </row>
    <row r="47" spans="1:51" x14ac:dyDescent="0.3">
      <c r="A47" t="s">
        <v>239</v>
      </c>
      <c r="B47" s="1">
        <f>2*PI()*Fsw</f>
        <v>15707963.267948966</v>
      </c>
      <c r="C47" t="s">
        <v>245</v>
      </c>
      <c r="D47" s="248">
        <f>B47/(2*PI())</f>
        <v>2500000</v>
      </c>
      <c r="N47" s="11">
        <v>29</v>
      </c>
      <c r="O47" s="52">
        <f t="shared" si="41"/>
        <v>19.498445997580465</v>
      </c>
      <c r="P47" s="50" t="str">
        <f t="shared" si="32"/>
        <v>131.578947368421</v>
      </c>
      <c r="Q47" s="18" t="str">
        <f t="shared" si="33"/>
        <v>1+0.183768524107248i</v>
      </c>
      <c r="R47" s="18">
        <f t="shared" si="42"/>
        <v>1.0167452337987899</v>
      </c>
      <c r="S47" s="18">
        <f t="shared" si="43"/>
        <v>0.18174078105817099</v>
      </c>
      <c r="T47" s="18" t="str">
        <f t="shared" si="34"/>
        <v>1+4.04290753035946E-07i</v>
      </c>
      <c r="U47" s="18">
        <f t="shared" si="44"/>
        <v>1.0000000000000817</v>
      </c>
      <c r="V47" s="18">
        <f t="shared" si="45"/>
        <v>4.04290753035924E-7</v>
      </c>
      <c r="W47" s="32" t="str">
        <f t="shared" si="35"/>
        <v>1-0.0000980098795238656i</v>
      </c>
      <c r="X47" s="18">
        <f t="shared" si="46"/>
        <v>1.0000000048029682</v>
      </c>
      <c r="Y47" s="18">
        <f t="shared" si="47"/>
        <v>-9.8009879210040048E-5</v>
      </c>
      <c r="Z47" s="32" t="str">
        <f t="shared" si="36"/>
        <v>0.999999999756679+0.0000414822516405834i</v>
      </c>
      <c r="AA47" s="18">
        <f t="shared" si="48"/>
        <v>1.0000000006170675</v>
      </c>
      <c r="AB47" s="18">
        <f t="shared" si="49"/>
        <v>4.1482251626882993E-5</v>
      </c>
      <c r="AC47" s="68" t="str">
        <f t="shared" si="50"/>
        <v>127.277317685799-23.4078658550562i</v>
      </c>
      <c r="AD47" s="66">
        <f t="shared" si="51"/>
        <v>42.239485285999201</v>
      </c>
      <c r="AE47" s="63">
        <f t="shared" si="52"/>
        <v>-10.42094886626273</v>
      </c>
      <c r="AF47" s="32" t="str">
        <f t="shared" si="37"/>
        <v>-0.434440565864413</v>
      </c>
      <c r="AG47" s="32" t="str">
        <f t="shared" si="38"/>
        <v>0.00319757231946612i</v>
      </c>
      <c r="AH47" s="32">
        <f t="shared" si="53"/>
        <v>3.1975723194661199E-3</v>
      </c>
      <c r="AI47" s="32">
        <f t="shared" si="54"/>
        <v>1.5707963267948966</v>
      </c>
      <c r="AJ47" s="32" t="str">
        <f t="shared" si="39"/>
        <v>1+0.0000316591318759022i</v>
      </c>
      <c r="AK47" s="32">
        <f t="shared" si="55"/>
        <v>1.0000000005011502</v>
      </c>
      <c r="AL47" s="32">
        <f t="shared" si="56"/>
        <v>3.1659131865324883E-5</v>
      </c>
      <c r="AM47" s="32" t="str">
        <f t="shared" si="40"/>
        <v>1+0.00319757231946612i</v>
      </c>
      <c r="AN47" s="32">
        <f t="shared" si="57"/>
        <v>1.0000051122213016</v>
      </c>
      <c r="AO47" s="32">
        <f t="shared" si="58"/>
        <v>3.1975614217069014E-3</v>
      </c>
      <c r="AP47" s="60" t="str">
        <f t="shared" si="59"/>
        <v>-0.430139173692052+135.865765025435i</v>
      </c>
      <c r="AQ47" s="51">
        <f t="shared" si="60"/>
        <v>42.66224429975609</v>
      </c>
      <c r="AR47" s="63">
        <f t="shared" si="61"/>
        <v>90.181392839558725</v>
      </c>
      <c r="AS47" s="60" t="str">
        <f t="shared" si="62"/>
        <v>3125.58064175086+17302.6987778432i</v>
      </c>
      <c r="AT47" s="66">
        <f t="shared" si="63"/>
        <v>84.901729585755291</v>
      </c>
      <c r="AU47" s="63">
        <f t="shared" si="64"/>
        <v>79.760443973296006</v>
      </c>
      <c r="AX47" s="32">
        <f t="shared" si="65"/>
        <v>0</v>
      </c>
      <c r="AY47" s="32">
        <f t="shared" si="66"/>
        <v>0</v>
      </c>
    </row>
    <row r="48" spans="1:51" x14ac:dyDescent="0.3">
      <c r="A48" t="s">
        <v>240</v>
      </c>
      <c r="B48" s="1">
        <f>1/(PI()*(((VIN_var/VOUT)*(1+(B44/B45)))-0.5))</f>
        <v>0.37603447694250935</v>
      </c>
      <c r="K48" s="32"/>
      <c r="N48" s="11">
        <v>30</v>
      </c>
      <c r="O48" s="52">
        <f t="shared" si="41"/>
        <v>19.952623149688804</v>
      </c>
      <c r="P48" s="50" t="str">
        <f t="shared" si="32"/>
        <v>131.578947368421</v>
      </c>
      <c r="Q48" s="18" t="str">
        <f t="shared" si="33"/>
        <v>1+0.188049042920724i</v>
      </c>
      <c r="R48" s="18">
        <f t="shared" si="42"/>
        <v>1.0175276126687669</v>
      </c>
      <c r="S48" s="18">
        <f t="shared" si="43"/>
        <v>0.1858782933837177</v>
      </c>
      <c r="T48" s="18" t="str">
        <f t="shared" si="34"/>
        <v>1+4.13707894425593E-07i</v>
      </c>
      <c r="U48" s="18">
        <f t="shared" si="44"/>
        <v>1.0000000000000857</v>
      </c>
      <c r="V48" s="18">
        <f t="shared" si="45"/>
        <v>4.1370789442556936E-7</v>
      </c>
      <c r="W48" s="32" t="str">
        <f t="shared" si="35"/>
        <v>1-0.000100292822891053i</v>
      </c>
      <c r="X48" s="18">
        <f t="shared" si="46"/>
        <v>1.0000000050293252</v>
      </c>
      <c r="Y48" s="18">
        <f t="shared" si="47"/>
        <v>-1.0029282255478285E-4</v>
      </c>
      <c r="Z48" s="32" t="str">
        <f t="shared" si="36"/>
        <v>0.999999999745211+0.0000424484974078359i</v>
      </c>
      <c r="AA48" s="18">
        <f t="shared" si="48"/>
        <v>1.0000000006461482</v>
      </c>
      <c r="AB48" s="18">
        <f t="shared" si="49"/>
        <v>4.2448497393155679E-5</v>
      </c>
      <c r="AC48" s="68" t="str">
        <f t="shared" si="50"/>
        <v>127.081512281947-23.9162840749327i</v>
      </c>
      <c r="AD48" s="66">
        <f t="shared" si="51"/>
        <v>42.232804122138816</v>
      </c>
      <c r="AE48" s="63">
        <f t="shared" si="52"/>
        <v>-10.658196485460365</v>
      </c>
      <c r="AF48" s="32" t="str">
        <f t="shared" si="37"/>
        <v>-0.434440565864413</v>
      </c>
      <c r="AG48" s="32" t="str">
        <f t="shared" si="38"/>
        <v>0.0032720533468206i</v>
      </c>
      <c r="AH48" s="32">
        <f t="shared" si="53"/>
        <v>3.2720533468206E-3</v>
      </c>
      <c r="AI48" s="32">
        <f t="shared" si="54"/>
        <v>1.5707963267948966</v>
      </c>
      <c r="AJ48" s="32" t="str">
        <f t="shared" si="39"/>
        <v>1+0.000032396567790303i</v>
      </c>
      <c r="AK48" s="32">
        <f t="shared" si="55"/>
        <v>1.0000000005247687</v>
      </c>
      <c r="AL48" s="32">
        <f t="shared" si="56"/>
        <v>3.2396567778969199E-5</v>
      </c>
      <c r="AM48" s="32" t="str">
        <f t="shared" si="40"/>
        <v>1+0.0032720533468206i</v>
      </c>
      <c r="AN48" s="32">
        <f t="shared" si="57"/>
        <v>1.0000053531522242</v>
      </c>
      <c r="AO48" s="32">
        <f t="shared" si="58"/>
        <v>3.2720416696645897E-3</v>
      </c>
      <c r="AP48" s="60" t="str">
        <f t="shared" si="59"/>
        <v>-0.430139173671734+132.773083263671i</v>
      </c>
      <c r="AQ48" s="51">
        <f t="shared" si="60"/>
        <v>42.462246392239386</v>
      </c>
      <c r="AR48" s="63">
        <f t="shared" si="61"/>
        <v>90.185617991458273</v>
      </c>
      <c r="AS48" s="60" t="str">
        <f t="shared" si="62"/>
        <v>3120.77604015674+16883.2915421535i</v>
      </c>
      <c r="AT48" s="66">
        <f t="shared" si="63"/>
        <v>84.695050514378224</v>
      </c>
      <c r="AU48" s="63">
        <f t="shared" si="64"/>
        <v>79.527421505997921</v>
      </c>
      <c r="AX48" s="32">
        <f t="shared" si="65"/>
        <v>0</v>
      </c>
      <c r="AY48" s="32">
        <f t="shared" si="66"/>
        <v>0</v>
      </c>
    </row>
    <row r="49" spans="1:51" x14ac:dyDescent="0.3">
      <c r="K49" s="32"/>
      <c r="N49" s="11">
        <v>31</v>
      </c>
      <c r="O49" s="52">
        <f t="shared" si="41"/>
        <v>20.4173794466953</v>
      </c>
      <c r="P49" s="50" t="str">
        <f t="shared" si="32"/>
        <v>131.578947368421</v>
      </c>
      <c r="Q49" s="18" t="str">
        <f t="shared" si="33"/>
        <v>1+0.192429267825879i</v>
      </c>
      <c r="R49" s="18">
        <f t="shared" si="42"/>
        <v>1.0183462196699136</v>
      </c>
      <c r="S49" s="18">
        <f t="shared" si="43"/>
        <v>0.19010552500431763</v>
      </c>
      <c r="T49" s="18" t="str">
        <f t="shared" si="34"/>
        <v>1+4.23344389216934E-07i</v>
      </c>
      <c r="U49" s="18">
        <f t="shared" si="44"/>
        <v>1.0000000000000897</v>
      </c>
      <c r="V49" s="18">
        <f t="shared" si="45"/>
        <v>4.2334438921690869E-7</v>
      </c>
      <c r="W49" s="32" t="str">
        <f t="shared" si="35"/>
        <v>1-0.000102628942840469i</v>
      </c>
      <c r="X49" s="18">
        <f t="shared" si="46"/>
        <v>1.0000000052663498</v>
      </c>
      <c r="Y49" s="18">
        <f t="shared" si="47"/>
        <v>-1.0262894248014904E-4</v>
      </c>
      <c r="Z49" s="32" t="str">
        <f t="shared" si="36"/>
        <v>0.999999999733204+0.0000434372499302861i</v>
      </c>
      <c r="AA49" s="18">
        <f t="shared" si="48"/>
        <v>1.0000000006766012</v>
      </c>
      <c r="AB49" s="18">
        <f t="shared" si="49"/>
        <v>4.3437249914555932E-5</v>
      </c>
      <c r="AC49" s="68" t="str">
        <f t="shared" si="50"/>
        <v>126.877123030679-24.4340354213001i</v>
      </c>
      <c r="AD49" s="66">
        <f t="shared" si="51"/>
        <v>42.225819083564588</v>
      </c>
      <c r="AE49" s="63">
        <f t="shared" si="52"/>
        <v>-10.900588965373148</v>
      </c>
      <c r="AF49" s="32" t="str">
        <f t="shared" si="37"/>
        <v>-0.434440565864413</v>
      </c>
      <c r="AG49" s="32" t="str">
        <f t="shared" si="38"/>
        <v>0.0033482692601703i</v>
      </c>
      <c r="AH49" s="32">
        <f t="shared" si="53"/>
        <v>3.3482692601702999E-3</v>
      </c>
      <c r="AI49" s="32">
        <f t="shared" si="54"/>
        <v>1.5707963267948966</v>
      </c>
      <c r="AJ49" s="32" t="str">
        <f t="shared" si="39"/>
        <v>1+0.0000331511807937653i</v>
      </c>
      <c r="AK49" s="32">
        <f t="shared" si="55"/>
        <v>1.0000000005495004</v>
      </c>
      <c r="AL49" s="32">
        <f t="shared" si="56"/>
        <v>3.315118078162091E-5</v>
      </c>
      <c r="AM49" s="32" t="str">
        <f t="shared" si="40"/>
        <v>1+0.0033482692601703i</v>
      </c>
      <c r="AN49" s="32">
        <f t="shared" si="57"/>
        <v>1.0000056054378088</v>
      </c>
      <c r="AO49" s="32">
        <f t="shared" si="58"/>
        <v>3.3482567478759924E-3</v>
      </c>
      <c r="AP49" s="60" t="str">
        <f t="shared" si="59"/>
        <v>-0.430139173650458+129.750799548113i</v>
      </c>
      <c r="AQ49" s="51">
        <f t="shared" si="60"/>
        <v>42.26224858333731</v>
      </c>
      <c r="AR49" s="63">
        <f t="shared" si="61"/>
        <v>90.189941557634825</v>
      </c>
      <c r="AS49" s="60" t="str">
        <f t="shared" si="62"/>
        <v>3115.76081124504+16472.9181934i</v>
      </c>
      <c r="AT49" s="66">
        <f t="shared" si="63"/>
        <v>84.488067666901912</v>
      </c>
      <c r="AU49" s="63">
        <f t="shared" si="64"/>
        <v>79.289352592261693</v>
      </c>
      <c r="AX49" s="32">
        <f t="shared" si="65"/>
        <v>0</v>
      </c>
      <c r="AY49" s="32">
        <f t="shared" si="66"/>
        <v>0</v>
      </c>
    </row>
    <row r="50" spans="1:51" ht="15.6" x14ac:dyDescent="0.3">
      <c r="A50" s="53" t="s">
        <v>255</v>
      </c>
      <c r="N50" s="11">
        <v>32</v>
      </c>
      <c r="O50" s="52">
        <f t="shared" si="41"/>
        <v>20.8929613085404</v>
      </c>
      <c r="P50" s="50" t="str">
        <f t="shared" si="32"/>
        <v>131.578947368421</v>
      </c>
      <c r="Q50" s="18" t="str">
        <f t="shared" si="33"/>
        <v>1+0.196911521275939i</v>
      </c>
      <c r="R50" s="18">
        <f t="shared" si="42"/>
        <v>1.0192027017287604</v>
      </c>
      <c r="S50" s="18">
        <f t="shared" si="43"/>
        <v>0.19442411265330492</v>
      </c>
      <c r="T50" s="18" t="str">
        <f t="shared" si="34"/>
        <v>1+4.33205346807067E-07i</v>
      </c>
      <c r="U50" s="18">
        <f t="shared" si="44"/>
        <v>1.0000000000000937</v>
      </c>
      <c r="V50" s="18">
        <f t="shared" si="45"/>
        <v>4.3320534680703992E-7</v>
      </c>
      <c r="W50" s="32" t="str">
        <f t="shared" si="35"/>
        <v>1-0.000105019478013834i</v>
      </c>
      <c r="X50" s="18">
        <f t="shared" si="46"/>
        <v>1.0000000055145453</v>
      </c>
      <c r="Y50" s="18">
        <f t="shared" si="47"/>
        <v>-1.0501947762774422E-4</v>
      </c>
      <c r="Z50" s="32" t="str">
        <f t="shared" si="36"/>
        <v>0.99999999972063+0.0000444490334576097i</v>
      </c>
      <c r="AA50" s="18">
        <f t="shared" si="48"/>
        <v>1.0000000007084882</v>
      </c>
      <c r="AB50" s="18">
        <f t="shared" si="49"/>
        <v>4.4449033440754534E-5</v>
      </c>
      <c r="AC50" s="68" t="str">
        <f t="shared" si="50"/>
        <v>126.663804134726-24.9611722714356i</v>
      </c>
      <c r="AD50" s="66">
        <f t="shared" si="51"/>
        <v>42.218516871493996</v>
      </c>
      <c r="AE50" s="63">
        <f t="shared" si="52"/>
        <v>-11.148220184626682</v>
      </c>
      <c r="AF50" s="32" t="str">
        <f t="shared" si="37"/>
        <v>-0.434440565864413</v>
      </c>
      <c r="AG50" s="32" t="str">
        <f t="shared" si="38"/>
        <v>0.00342626047020135i</v>
      </c>
      <c r="AH50" s="32">
        <f t="shared" si="53"/>
        <v>3.4262604702013501E-3</v>
      </c>
      <c r="AI50" s="32">
        <f t="shared" si="54"/>
        <v>1.5707963267948966</v>
      </c>
      <c r="AJ50" s="32" t="str">
        <f t="shared" si="39"/>
        <v>1+0.0000339233709920926i</v>
      </c>
      <c r="AK50" s="32">
        <f t="shared" si="55"/>
        <v>1.0000000005753975</v>
      </c>
      <c r="AL50" s="32">
        <f t="shared" si="56"/>
        <v>3.392337097907965E-5</v>
      </c>
      <c r="AM50" s="32" t="str">
        <f t="shared" si="40"/>
        <v>1+0.00342626047020135i</v>
      </c>
      <c r="AN50" s="32">
        <f t="shared" si="57"/>
        <v>1.0000058696131786</v>
      </c>
      <c r="AO50" s="32">
        <f t="shared" si="58"/>
        <v>3.4262470630406967E-3</v>
      </c>
      <c r="AP50" s="60" t="str">
        <f t="shared" si="59"/>
        <v>-0.430139173628179+126.79731142393i</v>
      </c>
      <c r="AQ50" s="51">
        <f t="shared" si="60"/>
        <v>42.062250877697302</v>
      </c>
      <c r="AR50" s="63">
        <f t="shared" si="61"/>
        <v>90.194365830297357</v>
      </c>
      <c r="AS50" s="60" t="str">
        <f t="shared" si="62"/>
        <v>3110.52646996847+16071.3665970242i</v>
      </c>
      <c r="AT50" s="66">
        <f t="shared" si="63"/>
        <v>84.280767749191327</v>
      </c>
      <c r="AU50" s="63">
        <f t="shared" si="64"/>
        <v>79.046145645670734</v>
      </c>
      <c r="AX50" s="32">
        <f t="shared" si="65"/>
        <v>0</v>
      </c>
      <c r="AY50" s="32">
        <f t="shared" si="66"/>
        <v>0</v>
      </c>
    </row>
    <row r="51" spans="1:51" x14ac:dyDescent="0.3">
      <c r="A51" t="s">
        <v>220</v>
      </c>
      <c r="N51" s="11">
        <v>33</v>
      </c>
      <c r="O51" s="52">
        <f t="shared" si="41"/>
        <v>21.379620895022335</v>
      </c>
      <c r="P51" s="50" t="str">
        <f t="shared" si="32"/>
        <v>131.578947368421</v>
      </c>
      <c r="Q51" s="18" t="str">
        <f t="shared" si="33"/>
        <v>1+0.201498179821011i</v>
      </c>
      <c r="R51" s="18">
        <f t="shared" si="42"/>
        <v>1.0200987778010424</v>
      </c>
      <c r="S51" s="18">
        <f t="shared" si="43"/>
        <v>0.19883570145281107</v>
      </c>
      <c r="T51" s="18" t="str">
        <f t="shared" si="34"/>
        <v>1+4.43295995606224E-07i</v>
      </c>
      <c r="U51" s="18">
        <f t="shared" si="44"/>
        <v>1.0000000000000981</v>
      </c>
      <c r="V51" s="18">
        <f t="shared" si="45"/>
        <v>4.4329599560619494E-7</v>
      </c>
      <c r="W51" s="32" t="str">
        <f t="shared" si="35"/>
        <v>1-0.000107465695904539i</v>
      </c>
      <c r="X51" s="18">
        <f t="shared" si="46"/>
        <v>1.0000000057744378</v>
      </c>
      <c r="Y51" s="18">
        <f t="shared" si="47"/>
        <v>-1.0746569549083635E-4</v>
      </c>
      <c r="Z51" s="32" t="str">
        <f t="shared" si="36"/>
        <v>0.999999999707464+0.0000454843844508247i</v>
      </c>
      <c r="AA51" s="18">
        <f t="shared" si="48"/>
        <v>1.0000000007418786</v>
      </c>
      <c r="AB51" s="18">
        <f t="shared" si="49"/>
        <v>4.5484384432764038E-5</v>
      </c>
      <c r="AC51" s="68" t="str">
        <f t="shared" si="50"/>
        <v>126.441198689318-25.4977380724033i</v>
      </c>
      <c r="AD51" s="66">
        <f t="shared" si="51"/>
        <v>42.210883653508191</v>
      </c>
      <c r="AE51" s="63">
        <f t="shared" si="52"/>
        <v>-11.401184504835483</v>
      </c>
      <c r="AF51" s="32" t="str">
        <f t="shared" si="37"/>
        <v>-0.434440565864413</v>
      </c>
      <c r="AG51" s="32" t="str">
        <f t="shared" si="38"/>
        <v>0.00350606832888559i</v>
      </c>
      <c r="AH51" s="32">
        <f t="shared" si="53"/>
        <v>3.50606832888559E-3</v>
      </c>
      <c r="AI51" s="32">
        <f t="shared" si="54"/>
        <v>1.5707963267948966</v>
      </c>
      <c r="AJ51" s="32" t="str">
        <f t="shared" si="39"/>
        <v>1+0.0000347135478107485i</v>
      </c>
      <c r="AK51" s="32">
        <f t="shared" si="55"/>
        <v>1.0000000006025151</v>
      </c>
      <c r="AL51" s="32">
        <f t="shared" si="56"/>
        <v>3.4713547796804877E-5</v>
      </c>
      <c r="AM51" s="32" t="str">
        <f t="shared" si="40"/>
        <v>1+0.00350606832888559i</v>
      </c>
      <c r="AN51" s="32">
        <f t="shared" si="57"/>
        <v>1.0000061462386753</v>
      </c>
      <c r="AO51" s="32">
        <f t="shared" si="58"/>
        <v>3.5060539628588906E-3</v>
      </c>
      <c r="AP51" s="60" t="str">
        <f t="shared" si="59"/>
        <v>-0.430139173604851+123.911052912625i</v>
      </c>
      <c r="AQ51" s="51">
        <f t="shared" si="60"/>
        <v>41.862253280185854</v>
      </c>
      <c r="AR51" s="63">
        <f t="shared" si="61"/>
        <v>90.198893155036245</v>
      </c>
      <c r="AS51" s="60" t="str">
        <f t="shared" si="62"/>
        <v>3105.06425872799+15678.4296371111i</v>
      </c>
      <c r="AT51" s="66">
        <f t="shared" si="63"/>
        <v>84.073136933694045</v>
      </c>
      <c r="AU51" s="63">
        <f t="shared" si="64"/>
        <v>78.797708650200789</v>
      </c>
      <c r="AX51" s="32">
        <f t="shared" si="65"/>
        <v>0</v>
      </c>
      <c r="AY51" s="32">
        <f t="shared" si="66"/>
        <v>0</v>
      </c>
    </row>
    <row r="52" spans="1:51" x14ac:dyDescent="0.3">
      <c r="A52" t="s">
        <v>218</v>
      </c>
      <c r="B52" s="3">
        <f>RFBT</f>
        <v>49900</v>
      </c>
      <c r="C52" s="2" t="s">
        <v>37</v>
      </c>
      <c r="E52" t="s">
        <v>221</v>
      </c>
      <c r="N52" s="11">
        <v>34</v>
      </c>
      <c r="O52" s="52">
        <f t="shared" si="41"/>
        <v>21.877616239495538</v>
      </c>
      <c r="P52" s="50" t="str">
        <f t="shared" si="32"/>
        <v>131.578947368421</v>
      </c>
      <c r="Q52" s="18" t="str">
        <f t="shared" si="33"/>
        <v>1+0.206191675368168i</v>
      </c>
      <c r="R52" s="18">
        <f t="shared" si="42"/>
        <v>1.0210362417618348</v>
      </c>
      <c r="S52" s="18">
        <f t="shared" si="43"/>
        <v>0.20334194328708483</v>
      </c>
      <c r="T52" s="18" t="str">
        <f t="shared" si="34"/>
        <v>1+4.5362168580997E-07i</v>
      </c>
      <c r="U52" s="18">
        <f t="shared" si="44"/>
        <v>1.000000000000103</v>
      </c>
      <c r="V52" s="18">
        <f t="shared" si="45"/>
        <v>4.5362168580993887E-7</v>
      </c>
      <c r="W52" s="32" t="str">
        <f t="shared" si="35"/>
        <v>1-0.00010996889352969i</v>
      </c>
      <c r="X52" s="18">
        <f t="shared" si="46"/>
        <v>1.0000000060465788</v>
      </c>
      <c r="Y52" s="18">
        <f t="shared" si="47"/>
        <v>-1.0996889308639962E-4</v>
      </c>
      <c r="Z52" s="32" t="str">
        <f t="shared" si="36"/>
        <v>0.999999999693677+0.0000465438518667326i</v>
      </c>
      <c r="AA52" s="18">
        <f t="shared" si="48"/>
        <v>1.0000000007768421</v>
      </c>
      <c r="AB52" s="18">
        <f t="shared" si="49"/>
        <v>4.6543851847380264E-5</v>
      </c>
      <c r="AC52" s="68" t="str">
        <f t="shared" si="50"/>
        <v>126.208938593423-26.0437665902051i</v>
      </c>
      <c r="AD52" s="66">
        <f t="shared" si="51"/>
        <v>42.202905046610482</v>
      </c>
      <c r="AE52" s="63">
        <f t="shared" si="52"/>
        <v>-11.659576677455082</v>
      </c>
      <c r="AF52" s="32" t="str">
        <f t="shared" si="37"/>
        <v>-0.434440565864413</v>
      </c>
      <c r="AG52" s="32" t="str">
        <f t="shared" si="38"/>
        <v>0.00358773515140613i</v>
      </c>
      <c r="AH52" s="32">
        <f t="shared" si="53"/>
        <v>3.5877351514061301E-3</v>
      </c>
      <c r="AI52" s="32">
        <f t="shared" si="54"/>
        <v>1.5707963267948966</v>
      </c>
      <c r="AJ52" s="32" t="str">
        <f t="shared" si="39"/>
        <v>1+0.0000355221302119418i</v>
      </c>
      <c r="AK52" s="32">
        <f t="shared" si="55"/>
        <v>1.0000000006309109</v>
      </c>
      <c r="AL52" s="32">
        <f t="shared" si="56"/>
        <v>3.5522130197000929E-5</v>
      </c>
      <c r="AM52" s="32" t="str">
        <f t="shared" si="40"/>
        <v>1+0.00358773515140613i</v>
      </c>
      <c r="AN52" s="32">
        <f t="shared" si="57"/>
        <v>1.0000064359010479</v>
      </c>
      <c r="AO52" s="32">
        <f t="shared" si="58"/>
        <v>3.5877197579365326E-3</v>
      </c>
      <c r="AP52" s="60" t="str">
        <f t="shared" si="59"/>
        <v>-0.430139173580422+121.090493681731i</v>
      </c>
      <c r="AQ52" s="51">
        <f t="shared" si="60"/>
        <v>41.66225579589878</v>
      </c>
      <c r="AR52" s="63">
        <f t="shared" si="61"/>
        <v>90.203525932065858</v>
      </c>
      <c r="AS52" s="60" t="str">
        <f t="shared" si="62"/>
        <v>3099.36514519467+15293.9051255629i</v>
      </c>
      <c r="AT52" s="66">
        <f t="shared" si="63"/>
        <v>83.865160842509269</v>
      </c>
      <c r="AU52" s="63">
        <f t="shared" si="64"/>
        <v>78.54394925461078</v>
      </c>
      <c r="AX52" s="32">
        <f t="shared" si="65"/>
        <v>0</v>
      </c>
      <c r="AY52" s="32">
        <f t="shared" si="66"/>
        <v>0</v>
      </c>
    </row>
    <row r="53" spans="1:51" x14ac:dyDescent="0.3">
      <c r="A53" t="s">
        <v>219</v>
      </c>
      <c r="B53" s="3">
        <f>RFBB</f>
        <v>4530</v>
      </c>
      <c r="C53" s="2" t="s">
        <v>37</v>
      </c>
      <c r="E53" t="s">
        <v>222</v>
      </c>
      <c r="N53" s="11">
        <v>35</v>
      </c>
      <c r="O53" s="52">
        <f t="shared" si="41"/>
        <v>22.387211385683404</v>
      </c>
      <c r="P53" s="50" t="str">
        <f t="shared" si="32"/>
        <v>131.578947368421</v>
      </c>
      <c r="Q53" s="18" t="str">
        <f t="shared" si="33"/>
        <v>1+0.210994496470875i</v>
      </c>
      <c r="R53" s="18">
        <f t="shared" si="42"/>
        <v>1.0220169653880498</v>
      </c>
      <c r="S53" s="18">
        <f t="shared" si="43"/>
        <v>0.20794449504128171</v>
      </c>
      <c r="T53" s="18" t="str">
        <f t="shared" si="34"/>
        <v>1+4.64187892235925E-07i</v>
      </c>
      <c r="U53" s="18">
        <f t="shared" si="44"/>
        <v>1.0000000000001077</v>
      </c>
      <c r="V53" s="18">
        <f t="shared" si="45"/>
        <v>4.6418789223589164E-7</v>
      </c>
      <c r="W53" s="32" t="str">
        <f t="shared" si="35"/>
        <v>1-0.0001125303981178i</v>
      </c>
      <c r="X53" s="18">
        <f t="shared" si="46"/>
        <v>1.0000000063315453</v>
      </c>
      <c r="Y53" s="18">
        <f t="shared" si="47"/>
        <v>-1.125303976428058E-4</v>
      </c>
      <c r="Z53" s="32" t="str">
        <f t="shared" si="36"/>
        <v>0.99999999967924+0.0000476279974489811i</v>
      </c>
      <c r="AA53" s="18">
        <f t="shared" si="48"/>
        <v>1.0000000008134529</v>
      </c>
      <c r="AB53" s="18">
        <f t="shared" si="49"/>
        <v>4.7627997428244724E-5</v>
      </c>
      <c r="AC53" s="68" t="str">
        <f t="shared" si="50"/>
        <v>125.966644489901-26.5992811219805i</v>
      </c>
      <c r="AD53" s="66">
        <f t="shared" si="51"/>
        <v>42.194566100171286</v>
      </c>
      <c r="AE53" s="63">
        <f t="shared" si="52"/>
        <v>-11.923491742928574</v>
      </c>
      <c r="AF53" s="32" t="str">
        <f t="shared" si="37"/>
        <v>-0.434440565864413</v>
      </c>
      <c r="AG53" s="32" t="str">
        <f t="shared" si="38"/>
        <v>0.00367130423859323i</v>
      </c>
      <c r="AH53" s="32">
        <f t="shared" si="53"/>
        <v>3.67130423859323E-3</v>
      </c>
      <c r="AI53" s="32">
        <f t="shared" si="54"/>
        <v>1.5707963267948966</v>
      </c>
      <c r="AJ53" s="32" t="str">
        <f t="shared" si="39"/>
        <v>1+0.0000363495469167646i</v>
      </c>
      <c r="AK53" s="32">
        <f t="shared" si="55"/>
        <v>1.0000000006606447</v>
      </c>
      <c r="AL53" s="32">
        <f t="shared" si="56"/>
        <v>3.6349546900755179E-5</v>
      </c>
      <c r="AM53" s="32" t="str">
        <f t="shared" si="40"/>
        <v>1+0.00367130423859323i</v>
      </c>
      <c r="AN53" s="32">
        <f t="shared" si="57"/>
        <v>1.0000067392146976</v>
      </c>
      <c r="AO53" s="32">
        <f t="shared" si="58"/>
        <v>3.6712877441993854E-3</v>
      </c>
      <c r="AP53" s="60" t="str">
        <f t="shared" si="59"/>
        <v>-0.430139173554843+118.334138233409i</v>
      </c>
      <c r="AQ53" s="51">
        <f t="shared" si="60"/>
        <v>41.462258430172028</v>
      </c>
      <c r="AR53" s="63">
        <f t="shared" si="61"/>
        <v>90.208266617496108</v>
      </c>
      <c r="AS53" s="60" t="str">
        <f t="shared" si="62"/>
        <v>3093.41982084138+14917.5957146656i</v>
      </c>
      <c r="AT53" s="66">
        <f t="shared" si="63"/>
        <v>83.656824530343314</v>
      </c>
      <c r="AU53" s="63">
        <f t="shared" si="64"/>
        <v>78.284774874567546</v>
      </c>
      <c r="AV53" s="32"/>
      <c r="AX53" s="32">
        <f t="shared" si="65"/>
        <v>0</v>
      </c>
      <c r="AY53" s="32">
        <f t="shared" si="66"/>
        <v>0</v>
      </c>
    </row>
    <row r="54" spans="1:51" x14ac:dyDescent="0.3">
      <c r="A54" t="s">
        <v>208</v>
      </c>
      <c r="B54" s="3">
        <f>RCOMP</f>
        <v>2610</v>
      </c>
      <c r="C54" s="2" t="s">
        <v>37</v>
      </c>
      <c r="E54" s="32" t="s">
        <v>215</v>
      </c>
      <c r="N54" s="11">
        <v>36</v>
      </c>
      <c r="O54" s="52">
        <f t="shared" si="41"/>
        <v>22.908676527677727</v>
      </c>
      <c r="P54" s="50" t="str">
        <f t="shared" si="32"/>
        <v>131.578947368421</v>
      </c>
      <c r="Q54" s="18" t="str">
        <f t="shared" si="33"/>
        <v>1+0.215909189648452i</v>
      </c>
      <c r="R54" s="18">
        <f t="shared" si="42"/>
        <v>1.0230429014340754</v>
      </c>
      <c r="S54" s="18">
        <f t="shared" si="43"/>
        <v>0.21264501669923933</v>
      </c>
      <c r="T54" s="18" t="str">
        <f t="shared" si="34"/>
        <v>1+4.75000217226596E-07i</v>
      </c>
      <c r="U54" s="18">
        <f t="shared" si="44"/>
        <v>1.0000000000001128</v>
      </c>
      <c r="V54" s="18">
        <f t="shared" si="45"/>
        <v>4.7500021722656024E-7</v>
      </c>
      <c r="W54" s="32" t="str">
        <f t="shared" si="35"/>
        <v>1-0.000115151567812508i</v>
      </c>
      <c r="X54" s="18">
        <f t="shared" si="46"/>
        <v>1.0000000066299417</v>
      </c>
      <c r="Y54" s="18">
        <f t="shared" si="47"/>
        <v>-1.1515156730354254E-4</v>
      </c>
      <c r="Z54" s="32" t="str">
        <f t="shared" si="36"/>
        <v>0.999999999664123+0.000048737396025908i</v>
      </c>
      <c r="AA54" s="18">
        <f t="shared" si="48"/>
        <v>1.0000000008517897</v>
      </c>
      <c r="AB54" s="18">
        <f t="shared" si="49"/>
        <v>4.8737396003688579E-5</v>
      </c>
      <c r="AC54" s="68" t="str">
        <f t="shared" si="50"/>
        <v>125.713925738013-27.1642936708973i</v>
      </c>
      <c r="AD54" s="66">
        <f t="shared" si="51"/>
        <v>42.185851278807093</v>
      </c>
      <c r="AE54" s="63">
        <f t="shared" si="52"/>
        <v>-12.193024921753894</v>
      </c>
      <c r="AF54" s="32" t="str">
        <f t="shared" si="37"/>
        <v>-0.434440565864413</v>
      </c>
      <c r="AG54" s="32" t="str">
        <f t="shared" si="38"/>
        <v>0.00375681989988308i</v>
      </c>
      <c r="AH54" s="32">
        <f t="shared" si="53"/>
        <v>3.7568198998830802E-3</v>
      </c>
      <c r="AI54" s="32">
        <f t="shared" si="54"/>
        <v>1.5707963267948966</v>
      </c>
      <c r="AJ54" s="32" t="str">
        <f t="shared" si="39"/>
        <v>1+0.0000371962366325057i</v>
      </c>
      <c r="AK54" s="32">
        <f t="shared" si="55"/>
        <v>1.00000000069178</v>
      </c>
      <c r="AL54" s="32">
        <f t="shared" si="56"/>
        <v>3.7196236615351289E-5</v>
      </c>
      <c r="AM54" s="32" t="str">
        <f t="shared" si="40"/>
        <v>1+0.00375681989988308i</v>
      </c>
      <c r="AN54" s="32">
        <f t="shared" si="57"/>
        <v>1.0000070568229806</v>
      </c>
      <c r="AO54" s="32">
        <f t="shared" si="58"/>
        <v>3.7568022258283834E-3</v>
      </c>
      <c r="AP54" s="60" t="str">
        <f t="shared" si="59"/>
        <v>-0.430139173528058+115.640525111516i</v>
      </c>
      <c r="AQ54" s="51">
        <f t="shared" si="60"/>
        <v>41.262261188593044</v>
      </c>
      <c r="AR54" s="63">
        <f t="shared" si="61"/>
        <v>90.213117724633491</v>
      </c>
      <c r="AS54" s="60" t="str">
        <f t="shared" si="62"/>
        <v>3087.21870026808+14549.308813003i</v>
      </c>
      <c r="AT54" s="66">
        <f t="shared" si="63"/>
        <v>83.448112467400136</v>
      </c>
      <c r="AU54" s="63">
        <f t="shared" si="64"/>
        <v>78.020092802879574</v>
      </c>
      <c r="AV54" s="32"/>
      <c r="AX54" s="32">
        <f t="shared" si="65"/>
        <v>0</v>
      </c>
      <c r="AY54" s="32">
        <f t="shared" si="66"/>
        <v>0</v>
      </c>
    </row>
    <row r="55" spans="1:51" x14ac:dyDescent="0.3">
      <c r="A55" t="s">
        <v>213</v>
      </c>
      <c r="B55" s="3">
        <f>CCOMP</f>
        <v>1E-8</v>
      </c>
      <c r="C55" s="2" t="s">
        <v>189</v>
      </c>
      <c r="E55" s="32" t="s">
        <v>216</v>
      </c>
      <c r="N55" s="11">
        <v>37</v>
      </c>
      <c r="O55" s="52">
        <f t="shared" si="41"/>
        <v>23.442288153199236</v>
      </c>
      <c r="P55" s="50" t="str">
        <f t="shared" si="32"/>
        <v>131.578947368421</v>
      </c>
      <c r="Q55" s="18" t="str">
        <f t="shared" si="33"/>
        <v>1+0.220938360736278i</v>
      </c>
      <c r="R55" s="18">
        <f t="shared" si="42"/>
        <v>1.0241160868011172</v>
      </c>
      <c r="S55" s="18">
        <f t="shared" si="43"/>
        <v>0.21744516929370186</v>
      </c>
      <c r="T55" s="18" t="str">
        <f t="shared" si="34"/>
        <v>1+4.86064393619812E-07i</v>
      </c>
      <c r="U55" s="18">
        <f t="shared" si="44"/>
        <v>1.0000000000001181</v>
      </c>
      <c r="V55" s="18">
        <f t="shared" si="45"/>
        <v>4.8606439361977369E-7</v>
      </c>
      <c r="W55" s="32" t="str">
        <f t="shared" si="35"/>
        <v>1-0.000117833792392682i</v>
      </c>
      <c r="X55" s="18">
        <f t="shared" si="46"/>
        <v>1.0000000069424013</v>
      </c>
      <c r="Y55" s="18">
        <f t="shared" si="47"/>
        <v>-1.1783379184731569E-4</v>
      </c>
      <c r="Z55" s="32" t="str">
        <f t="shared" si="36"/>
        <v>0.999999999648294+0.0000498726358153235i</v>
      </c>
      <c r="AA55" s="18">
        <f t="shared" si="48"/>
        <v>1.0000000008919339</v>
      </c>
      <c r="AB55" s="18">
        <f t="shared" si="49"/>
        <v>4.9872635791514942E-5</v>
      </c>
      <c r="AC55" s="68" t="str">
        <f t="shared" si="50"/>
        <v>125.450380421896-27.7388040835611i</v>
      </c>
      <c r="AD55" s="66">
        <f t="shared" si="51"/>
        <v>42.176744445243422</v>
      </c>
      <c r="AE55" s="63">
        <f t="shared" si="52"/>
        <v>-12.468271497099384</v>
      </c>
      <c r="AF55" s="32" t="str">
        <f t="shared" si="37"/>
        <v>-0.434440565864413</v>
      </c>
      <c r="AG55" s="32" t="str">
        <f t="shared" si="38"/>
        <v>0.00384432747681124i</v>
      </c>
      <c r="AH55" s="32">
        <f t="shared" si="53"/>
        <v>3.84432747681124E-3</v>
      </c>
      <c r="AI55" s="32">
        <f t="shared" si="54"/>
        <v>1.5707963267948966</v>
      </c>
      <c r="AJ55" s="32" t="str">
        <f t="shared" si="39"/>
        <v>1+0.0000380626482852598i</v>
      </c>
      <c r="AK55" s="32">
        <f t="shared" si="55"/>
        <v>1.0000000007243826</v>
      </c>
      <c r="AL55" s="32">
        <f t="shared" si="56"/>
        <v>3.8062648266878521E-5</v>
      </c>
      <c r="AM55" s="32" t="str">
        <f t="shared" si="40"/>
        <v>1+0.00384432747681124i</v>
      </c>
      <c r="AN55" s="32">
        <f t="shared" si="57"/>
        <v>1.0000073893995729</v>
      </c>
      <c r="AO55" s="32">
        <f t="shared" si="58"/>
        <v>3.8443085387279887E-3</v>
      </c>
      <c r="AP55" s="60" t="str">
        <f t="shared" si="59"/>
        <v>-0.43013917350001+113.008226126721i</v>
      </c>
      <c r="AQ55" s="51">
        <f t="shared" si="60"/>
        <v>41.062264077012607</v>
      </c>
      <c r="AR55" s="63">
        <f t="shared" si="61"/>
        <v>90.218081825312439</v>
      </c>
      <c r="AS55" s="60" t="str">
        <f t="shared" si="62"/>
        <v>3080.75192140995+14188.8565046632i</v>
      </c>
      <c r="AT55" s="66">
        <f t="shared" si="63"/>
        <v>83.239008522256043</v>
      </c>
      <c r="AU55" s="63">
        <f t="shared" si="64"/>
        <v>77.749810328213059</v>
      </c>
      <c r="AV55" s="32"/>
      <c r="AX55" s="32">
        <f t="shared" si="65"/>
        <v>0</v>
      </c>
      <c r="AY55" s="32">
        <f t="shared" si="66"/>
        <v>0</v>
      </c>
    </row>
    <row r="56" spans="1:51" x14ac:dyDescent="0.3">
      <c r="A56" t="s">
        <v>214</v>
      </c>
      <c r="B56" s="3">
        <f>CHF</f>
        <v>1E-10</v>
      </c>
      <c r="C56" s="2" t="s">
        <v>189</v>
      </c>
      <c r="E56" s="32" t="s">
        <v>217</v>
      </c>
      <c r="N56" s="11">
        <v>38</v>
      </c>
      <c r="O56" s="52">
        <f t="shared" si="41"/>
        <v>23.988329190194907</v>
      </c>
      <c r="P56" s="50" t="str">
        <f t="shared" si="32"/>
        <v>131.578947368421</v>
      </c>
      <c r="Q56" s="18" t="str">
        <f t="shared" si="33"/>
        <v>1+0.22608467626743i</v>
      </c>
      <c r="R56" s="18">
        <f t="shared" si="42"/>
        <v>1.0252386458005514</v>
      </c>
      <c r="S56" s="18">
        <f t="shared" si="43"/>
        <v>0.22234661270241771</v>
      </c>
      <c r="T56" s="18" t="str">
        <f t="shared" si="34"/>
        <v>1+4.97386287788346E-07i</v>
      </c>
      <c r="U56" s="18">
        <f t="shared" si="44"/>
        <v>1.0000000000001237</v>
      </c>
      <c r="V56" s="18">
        <f t="shared" si="45"/>
        <v>4.9738628778830499E-7</v>
      </c>
      <c r="W56" s="32" t="str">
        <f t="shared" si="35"/>
        <v>1-0.000120578494009296i</v>
      </c>
      <c r="X56" s="18">
        <f t="shared" si="46"/>
        <v>1.0000000072695865</v>
      </c>
      <c r="Y56" s="18">
        <f t="shared" si="47"/>
        <v>-1.2057849342492547E-4</v>
      </c>
      <c r="Z56" s="32" t="str">
        <f t="shared" si="36"/>
        <v>0.999999999631718+0.0000510343187363906i</v>
      </c>
      <c r="AA56" s="18">
        <f t="shared" si="48"/>
        <v>1.0000000009339687</v>
      </c>
      <c r="AB56" s="18">
        <f t="shared" si="49"/>
        <v>5.1034318710879295E-5</v>
      </c>
      <c r="AC56" s="68" t="str">
        <f t="shared" si="50"/>
        <v>125.17559539891-28.3227991499898i</v>
      </c>
      <c r="AD56" s="66">
        <f t="shared" si="51"/>
        <v>42.16722884322153</v>
      </c>
      <c r="AE56" s="63">
        <f t="shared" si="52"/>
        <v>-12.749326688589141</v>
      </c>
      <c r="AF56" s="32" t="str">
        <f t="shared" si="37"/>
        <v>-0.434440565864413</v>
      </c>
      <c r="AG56" s="32" t="str">
        <f t="shared" si="38"/>
        <v>0.00393387336705328i</v>
      </c>
      <c r="AH56" s="32">
        <f t="shared" si="53"/>
        <v>3.9338733670532802E-3</v>
      </c>
      <c r="AI56" s="32">
        <f t="shared" si="54"/>
        <v>1.5707963267948966</v>
      </c>
      <c r="AJ56" s="32" t="str">
        <f t="shared" si="39"/>
        <v>1+0.0000389492412579533i</v>
      </c>
      <c r="AK56" s="32">
        <f t="shared" si="55"/>
        <v>1.0000000007585217</v>
      </c>
      <c r="AL56" s="32">
        <f t="shared" si="56"/>
        <v>3.8949241238257407E-5</v>
      </c>
      <c r="AM56" s="32" t="str">
        <f t="shared" si="40"/>
        <v>1+0.00393387336705328i</v>
      </c>
      <c r="AN56" s="32">
        <f t="shared" si="57"/>
        <v>1.0000077376498984</v>
      </c>
      <c r="AO56" s="32">
        <f t="shared" si="58"/>
        <v>3.9338530745399525E-3</v>
      </c>
      <c r="AP56" s="60" t="str">
        <f t="shared" si="59"/>
        <v>-0.430139173470641+110.435845599258i</v>
      </c>
      <c r="AQ56" s="51">
        <f t="shared" si="60"/>
        <v>40.862267101557052</v>
      </c>
      <c r="AR56" s="63">
        <f t="shared" si="61"/>
        <v>90.223161551257505</v>
      </c>
      <c r="AS56" s="60" t="str">
        <f t="shared" si="62"/>
        <v>3074.00934672349+13836.055471686i</v>
      </c>
      <c r="AT56" s="66">
        <f t="shared" si="63"/>
        <v>83.029495944778603</v>
      </c>
      <c r="AU56" s="63">
        <f t="shared" si="64"/>
        <v>77.473834862668397</v>
      </c>
      <c r="AX56" s="32">
        <f t="shared" si="65"/>
        <v>0</v>
      </c>
      <c r="AY56" s="32">
        <f t="shared" si="66"/>
        <v>0</v>
      </c>
    </row>
    <row r="57" spans="1:51" x14ac:dyDescent="0.3">
      <c r="N57" s="11">
        <v>39</v>
      </c>
      <c r="O57" s="52">
        <f t="shared" si="41"/>
        <v>24.547089156850316</v>
      </c>
      <c r="P57" s="50" t="str">
        <f t="shared" si="32"/>
        <v>131.578947368421</v>
      </c>
      <c r="Q57" s="18" t="str">
        <f t="shared" si="33"/>
        <v>1+0.231350864886523i</v>
      </c>
      <c r="R57" s="18">
        <f t="shared" si="42"/>
        <v>1.026412793511335</v>
      </c>
      <c r="S57" s="18">
        <f t="shared" si="43"/>
        <v>0.22735100328361937</v>
      </c>
      <c r="T57" s="18" t="str">
        <f t="shared" si="34"/>
        <v>1+5.08971902750352E-07i</v>
      </c>
      <c r="U57" s="18">
        <f t="shared" si="44"/>
        <v>1.0000000000001297</v>
      </c>
      <c r="V57" s="18">
        <f t="shared" si="45"/>
        <v>5.0897190275030809E-7</v>
      </c>
      <c r="W57" s="32" t="str">
        <f t="shared" si="35"/>
        <v>1-0.000123387127939479i</v>
      </c>
      <c r="X57" s="18">
        <f t="shared" si="46"/>
        <v>1.0000000076121915</v>
      </c>
      <c r="Y57" s="18">
        <f t="shared" si="47"/>
        <v>-1.2338712731331471E-4</v>
      </c>
      <c r="Z57" s="32" t="str">
        <f t="shared" si="36"/>
        <v>0.999999999614362+0.0000522230607287708i</v>
      </c>
      <c r="AA57" s="18">
        <f t="shared" si="48"/>
        <v>1.0000000009779859</v>
      </c>
      <c r="AB57" s="18">
        <f t="shared" si="49"/>
        <v>5.2223060701434918E-5</v>
      </c>
      <c r="AC57" s="68" t="str">
        <f t="shared" si="50"/>
        <v>124.889146391918-28.9162516664438i</v>
      </c>
      <c r="AD57" s="66">
        <f t="shared" si="51"/>
        <v>42.157287080510699</v>
      </c>
      <c r="AE57" s="63">
        <f t="shared" si="52"/>
        <v>-13.0362855168871</v>
      </c>
      <c r="AF57" s="32" t="str">
        <f t="shared" si="37"/>
        <v>-0.434440565864413</v>
      </c>
      <c r="AG57" s="32" t="str">
        <f t="shared" si="38"/>
        <v>0.00402550504902551i</v>
      </c>
      <c r="AH57" s="32">
        <f t="shared" si="53"/>
        <v>4.0255050490255097E-3</v>
      </c>
      <c r="AI57" s="32">
        <f t="shared" si="54"/>
        <v>1.5707963267948966</v>
      </c>
      <c r="AJ57" s="32" t="str">
        <f t="shared" si="39"/>
        <v>1+0.000039856485633916i</v>
      </c>
      <c r="AK57" s="32">
        <f t="shared" si="55"/>
        <v>1.0000000007942698</v>
      </c>
      <c r="AL57" s="32">
        <f t="shared" si="56"/>
        <v>3.985648561281147E-5</v>
      </c>
      <c r="AM57" s="32" t="str">
        <f t="shared" si="40"/>
        <v>1+0.00402550504902551i</v>
      </c>
      <c r="AN57" s="32">
        <f t="shared" si="57"/>
        <v>1.0000081023126262</v>
      </c>
      <c r="AO57" s="32">
        <f t="shared" si="58"/>
        <v>4.0254833052152418E-3</v>
      </c>
      <c r="AP57" s="60" t="str">
        <f t="shared" si="59"/>
        <v>-0.430139173439888+107.922019618924i</v>
      </c>
      <c r="AQ57" s="51">
        <f t="shared" si="60"/>
        <v>40.662270268641699</v>
      </c>
      <c r="AR57" s="63">
        <f t="shared" si="61"/>
        <v>90.228359595477357</v>
      </c>
      <c r="AS57" s="60" t="str">
        <f t="shared" si="62"/>
        <v>3066.98056545106+13490.72691969i</v>
      </c>
      <c r="AT57" s="66">
        <f t="shared" si="63"/>
        <v>82.819557349152376</v>
      </c>
      <c r="AU57" s="63">
        <f t="shared" si="64"/>
        <v>77.192074078590238</v>
      </c>
      <c r="AX57" s="32">
        <f t="shared" si="65"/>
        <v>0</v>
      </c>
      <c r="AY57" s="32">
        <f t="shared" si="66"/>
        <v>0</v>
      </c>
    </row>
    <row r="58" spans="1:51" x14ac:dyDescent="0.3">
      <c r="A58" t="s">
        <v>258</v>
      </c>
      <c r="B58" s="1">
        <f>-(RFBB)/(RFBB+RFBT)*gm_ea*RCOMP</f>
        <v>-0.43444056586441299</v>
      </c>
      <c r="C58" t="s">
        <v>175</v>
      </c>
      <c r="N58" s="11">
        <v>40</v>
      </c>
      <c r="O58" s="52">
        <f t="shared" si="41"/>
        <v>25.118864315095799</v>
      </c>
      <c r="P58" s="50" t="str">
        <f t="shared" si="32"/>
        <v>131.578947368421</v>
      </c>
      <c r="Q58" s="18" t="str">
        <f t="shared" si="33"/>
        <v>1+0.236739718796472i</v>
      </c>
      <c r="R58" s="18">
        <f t="shared" si="42"/>
        <v>1.0276408392312133</v>
      </c>
      <c r="S58" s="18">
        <f t="shared" si="43"/>
        <v>0.23245999134440729</v>
      </c>
      <c r="T58" s="18" t="str">
        <f t="shared" si="34"/>
        <v>1+5.20827381352239E-07i</v>
      </c>
      <c r="U58" s="18">
        <f t="shared" si="44"/>
        <v>1.0000000000001357</v>
      </c>
      <c r="V58" s="18">
        <f t="shared" si="45"/>
        <v>5.2082738135219192E-7</v>
      </c>
      <c r="W58" s="32" t="str">
        <f t="shared" si="35"/>
        <v>1-0.000126261183358118i</v>
      </c>
      <c r="X58" s="18">
        <f t="shared" si="46"/>
        <v>1.0000000079709432</v>
      </c>
      <c r="Y58" s="18">
        <f t="shared" si="47"/>
        <v>-1.2626118268717088E-4</v>
      </c>
      <c r="Z58" s="32" t="str">
        <f t="shared" si="36"/>
        <v>0.999999999596187+0.0000534394920792036i</v>
      </c>
      <c r="AA58" s="18">
        <f t="shared" si="48"/>
        <v>1.0000000010240766</v>
      </c>
      <c r="AB58" s="18">
        <f t="shared" si="49"/>
        <v>5.3439492049912691E-5</v>
      </c>
      <c r="AC58" s="68" t="str">
        <f t="shared" si="50"/>
        <v>124.590598129824-29.5191194616812i</v>
      </c>
      <c r="AD58" s="66">
        <f t="shared" si="51"/>
        <v>42.146901112096778</v>
      </c>
      <c r="AE58" s="63">
        <f t="shared" si="52"/>
        <v>-13.329242658709502</v>
      </c>
      <c r="AF58" s="32" t="str">
        <f t="shared" si="37"/>
        <v>-0.434440565864413</v>
      </c>
      <c r="AG58" s="32" t="str">
        <f t="shared" si="38"/>
        <v>0.00411927110705862i</v>
      </c>
      <c r="AH58" s="32">
        <f t="shared" si="53"/>
        <v>4.1192711070586197E-3</v>
      </c>
      <c r="AI58" s="32">
        <f t="shared" si="54"/>
        <v>1.5707963267948966</v>
      </c>
      <c r="AJ58" s="32" t="str">
        <f t="shared" si="39"/>
        <v>1+0.0000407848624461249i</v>
      </c>
      <c r="AK58" s="32">
        <f t="shared" si="55"/>
        <v>1.0000000008317025</v>
      </c>
      <c r="AL58" s="32">
        <f t="shared" si="56"/>
        <v>4.0784862423510984E-5</v>
      </c>
      <c r="AM58" s="32" t="str">
        <f t="shared" si="40"/>
        <v>1+0.00411927110705862i</v>
      </c>
      <c r="AN58" s="32">
        <f t="shared" si="57"/>
        <v>1.0000084841612362</v>
      </c>
      <c r="AO58" s="32">
        <f t="shared" si="58"/>
        <v>4.1192478081568248E-3</v>
      </c>
      <c r="AP58" s="60" t="str">
        <f t="shared" si="59"/>
        <v>-0.430139173407686+105.465415321908i</v>
      </c>
      <c r="AQ58" s="51">
        <f t="shared" si="60"/>
        <v>40.462273584983912</v>
      </c>
      <c r="AR58" s="63">
        <f t="shared" si="61"/>
        <v>90.233678713691006</v>
      </c>
      <c r="AS58" s="60" t="str">
        <f t="shared" si="62"/>
        <v>3059.65489706929+13152.6965066118i</v>
      </c>
      <c r="AT58" s="66">
        <f t="shared" si="63"/>
        <v>82.609174697080689</v>
      </c>
      <c r="AU58" s="63">
        <f t="shared" si="64"/>
        <v>76.904436054981531</v>
      </c>
      <c r="AX58" s="32">
        <f t="shared" si="65"/>
        <v>0</v>
      </c>
      <c r="AY58" s="32">
        <f t="shared" si="66"/>
        <v>0</v>
      </c>
    </row>
    <row r="59" spans="1:51" x14ac:dyDescent="0.3">
      <c r="A59" t="s">
        <v>257</v>
      </c>
      <c r="B59" s="253">
        <f>1/(RCOMP*CCOMP)</f>
        <v>38314.176245210729</v>
      </c>
      <c r="C59" s="32" t="s">
        <v>245</v>
      </c>
      <c r="D59" s="248">
        <f>B59/(2*PI())</f>
        <v>6097.8905399193618</v>
      </c>
      <c r="E59" t="s">
        <v>272</v>
      </c>
      <c r="N59" s="11">
        <v>41</v>
      </c>
      <c r="O59" s="52">
        <f t="shared" si="41"/>
        <v>25.703957827688647</v>
      </c>
      <c r="P59" s="50" t="str">
        <f t="shared" si="32"/>
        <v>131.578947368421</v>
      </c>
      <c r="Q59" s="18" t="str">
        <f t="shared" si="33"/>
        <v>1+0.242254095238945i</v>
      </c>
      <c r="R59" s="18">
        <f t="shared" si="42"/>
        <v>1.0289251900211402</v>
      </c>
      <c r="S59" s="18">
        <f t="shared" si="43"/>
        <v>0.23767521843571679</v>
      </c>
      <c r="T59" s="18" t="str">
        <f t="shared" si="34"/>
        <v>1+5.3295900952568E-07i</v>
      </c>
      <c r="U59" s="18">
        <f t="shared" si="44"/>
        <v>1.0000000000001421</v>
      </c>
      <c r="V59" s="18">
        <f t="shared" si="45"/>
        <v>5.3295900952562945E-7</v>
      </c>
      <c r="W59" s="32" t="str">
        <f t="shared" si="35"/>
        <v>1-0.000129202184127438i</v>
      </c>
      <c r="X59" s="18">
        <f t="shared" si="46"/>
        <v>1.0000000083466021</v>
      </c>
      <c r="Y59" s="18">
        <f t="shared" si="47"/>
        <v>-1.2920218340850518E-4</v>
      </c>
      <c r="Z59" s="32" t="str">
        <f t="shared" si="36"/>
        <v>0.999999999577156+0.0000546842577556918i</v>
      </c>
      <c r="AA59" s="18">
        <f t="shared" si="48"/>
        <v>1.00000000107234</v>
      </c>
      <c r="AB59" s="18">
        <f t="shared" si="49"/>
        <v>5.4684257724306022E-5</v>
      </c>
      <c r="AC59" s="68" t="str">
        <f t="shared" si="50"/>
        <v>124.279504540905-30.1313443875157i</v>
      </c>
      <c r="AD59" s="66">
        <f t="shared" si="51"/>
        <v>42.136052223624134</v>
      </c>
      <c r="AE59" s="63">
        <f t="shared" si="52"/>
        <v>-13.628292291901186</v>
      </c>
      <c r="AF59" s="32" t="str">
        <f t="shared" si="37"/>
        <v>-0.434440565864413</v>
      </c>
      <c r="AG59" s="32" t="str">
        <f t="shared" si="38"/>
        <v>0.00421522125715765i</v>
      </c>
      <c r="AH59" s="32">
        <f t="shared" si="53"/>
        <v>4.2152212571576501E-3</v>
      </c>
      <c r="AI59" s="32">
        <f t="shared" si="54"/>
        <v>1.5707963267948966</v>
      </c>
      <c r="AJ59" s="32" t="str">
        <f t="shared" si="39"/>
        <v>1+0.000041734863932254i</v>
      </c>
      <c r="AK59" s="32">
        <f t="shared" si="55"/>
        <v>1.0000000008708994</v>
      </c>
      <c r="AL59" s="32">
        <f t="shared" si="56"/>
        <v>4.1734863908022753E-5</v>
      </c>
      <c r="AM59" s="32" t="str">
        <f t="shared" si="40"/>
        <v>1+0.00421522125715765i</v>
      </c>
      <c r="AN59" s="32">
        <f t="shared" si="57"/>
        <v>1.0000088840056607</v>
      </c>
      <c r="AO59" s="32">
        <f t="shared" si="58"/>
        <v>4.2151962919465642E-3</v>
      </c>
      <c r="AP59" s="60" t="str">
        <f t="shared" si="59"/>
        <v>-0.430139173373965+103.064730184096i</v>
      </c>
      <c r="AQ59" s="51">
        <f t="shared" si="60"/>
        <v>40.262277057617844</v>
      </c>
      <c r="AR59" s="63">
        <f t="shared" si="61"/>
        <v>90.239121725787243</v>
      </c>
      <c r="AS59" s="60" t="str">
        <f t="shared" si="62"/>
        <v>3052.02139603283+12821.794274489i</v>
      </c>
      <c r="AT59" s="66">
        <f t="shared" si="63"/>
        <v>82.398329281241985</v>
      </c>
      <c r="AU59" s="63">
        <f t="shared" si="64"/>
        <v>76.610829433886067</v>
      </c>
      <c r="AX59" s="32">
        <f t="shared" si="65"/>
        <v>0</v>
      </c>
      <c r="AY59" s="32">
        <f t="shared" si="66"/>
        <v>0</v>
      </c>
    </row>
    <row r="60" spans="1:51" x14ac:dyDescent="0.3">
      <c r="B60" s="253">
        <f>wz_ea/(2*PI())</f>
        <v>6097.8905399193618</v>
      </c>
      <c r="C60" s="32" t="s">
        <v>70</v>
      </c>
      <c r="N60" s="11">
        <v>42</v>
      </c>
      <c r="O60" s="52">
        <f t="shared" si="41"/>
        <v>26.302679918953825</v>
      </c>
      <c r="P60" s="50" t="str">
        <f t="shared" si="32"/>
        <v>131.578947368421</v>
      </c>
      <c r="Q60" s="18" t="str">
        <f t="shared" si="33"/>
        <v>1+0.247896918009327i</v>
      </c>
      <c r="R60" s="18">
        <f t="shared" si="42"/>
        <v>1.0302683543419757</v>
      </c>
      <c r="S60" s="18">
        <f t="shared" si="43"/>
        <v>0.24299831446776129</v>
      </c>
      <c r="T60" s="18" t="str">
        <f t="shared" si="34"/>
        <v>1+5.45373219620519E-07i</v>
      </c>
      <c r="U60" s="18">
        <f t="shared" si="44"/>
        <v>1.0000000000001488</v>
      </c>
      <c r="V60" s="18">
        <f t="shared" si="45"/>
        <v>5.4537321962046492E-7</v>
      </c>
      <c r="W60" s="32" t="str">
        <f t="shared" si="35"/>
        <v>1-0.000132211689604974i</v>
      </c>
      <c r="X60" s="18">
        <f t="shared" si="46"/>
        <v>1.0000000087399654</v>
      </c>
      <c r="Y60" s="18">
        <f t="shared" si="47"/>
        <v>-1.3221168883462362E-4</v>
      </c>
      <c r="Z60" s="32" t="str">
        <f t="shared" si="36"/>
        <v>0.999999999557228+0.0000559580177494738i</v>
      </c>
      <c r="AA60" s="18">
        <f t="shared" si="48"/>
        <v>1.0000000011228778</v>
      </c>
      <c r="AB60" s="18">
        <f t="shared" si="49"/>
        <v>5.5958017715843341E-5</v>
      </c>
      <c r="AC60" s="68" t="str">
        <f t="shared" si="50"/>
        <v>123.955409003658-30.752851274916i</v>
      </c>
      <c r="AD60" s="66">
        <f t="shared" si="51"/>
        <v>42.124721015173961</v>
      </c>
      <c r="AE60" s="63">
        <f t="shared" si="52"/>
        <v>-13.933527930229314</v>
      </c>
      <c r="AF60" s="32" t="str">
        <f t="shared" si="37"/>
        <v>-0.434440565864413</v>
      </c>
      <c r="AG60" s="32" t="str">
        <f t="shared" si="38"/>
        <v>0.00431340637336229i</v>
      </c>
      <c r="AH60" s="32">
        <f t="shared" si="53"/>
        <v>4.3134063733622904E-3</v>
      </c>
      <c r="AI60" s="32">
        <f t="shared" si="54"/>
        <v>1.5707963267948966</v>
      </c>
      <c r="AJ60" s="32" t="str">
        <f t="shared" si="39"/>
        <v>1+0.0000427069937956663i</v>
      </c>
      <c r="AK60" s="32">
        <f t="shared" si="55"/>
        <v>1.0000000009119436</v>
      </c>
      <c r="AL60" s="32">
        <f t="shared" si="56"/>
        <v>4.2706993769702048E-5</v>
      </c>
      <c r="AM60" s="32" t="str">
        <f t="shared" si="40"/>
        <v>1+0.00431340637336229i</v>
      </c>
      <c r="AN60" s="32">
        <f t="shared" si="57"/>
        <v>1.0000093026940007</v>
      </c>
      <c r="AO60" s="32">
        <f t="shared" si="58"/>
        <v>4.3133796226700926E-3</v>
      </c>
      <c r="AP60" s="60" t="str">
        <f t="shared" si="59"/>
        <v>-0.430139173338656+100.718691330451i</v>
      </c>
      <c r="AQ60" s="51">
        <f t="shared" si="60"/>
        <v>40.062280693909038</v>
      </c>
      <c r="AR60" s="63">
        <f t="shared" si="61"/>
        <v>90.244691517318032</v>
      </c>
      <c r="AS60" s="60" t="str">
        <f t="shared" si="62"/>
        <v>3044.06885792984+12497.8545842044i</v>
      </c>
      <c r="AT60" s="66">
        <f t="shared" si="63"/>
        <v>82.187001709082992</v>
      </c>
      <c r="AU60" s="63">
        <f t="shared" si="64"/>
        <v>76.3111635870887</v>
      </c>
      <c r="AX60" s="32">
        <f t="shared" si="65"/>
        <v>0</v>
      </c>
      <c r="AY60" s="32">
        <f t="shared" si="66"/>
        <v>0</v>
      </c>
    </row>
    <row r="61" spans="1:51" x14ac:dyDescent="0.3">
      <c r="A61" t="s">
        <v>262</v>
      </c>
      <c r="B61" s="253">
        <f>1/(RCOMP*CCOMP)</f>
        <v>38314.176245210729</v>
      </c>
      <c r="C61" s="32" t="s">
        <v>245</v>
      </c>
      <c r="D61" s="248">
        <f>B61/(2*PI())</f>
        <v>6097.8905399193618</v>
      </c>
      <c r="E61" t="s">
        <v>273</v>
      </c>
      <c r="N61" s="11">
        <v>43</v>
      </c>
      <c r="O61" s="52">
        <f t="shared" si="41"/>
        <v>26.915348039269158</v>
      </c>
      <c r="P61" s="50" t="str">
        <f t="shared" si="32"/>
        <v>131.578947368421</v>
      </c>
      <c r="Q61" s="18" t="str">
        <f t="shared" si="33"/>
        <v>1+0.253671179006941i</v>
      </c>
      <c r="R61" s="18">
        <f t="shared" si="42"/>
        <v>1.031672945782127</v>
      </c>
      <c r="S61" s="18">
        <f t="shared" si="43"/>
        <v>0.24843089464000659</v>
      </c>
      <c r="T61" s="18" t="str">
        <f t="shared" si="34"/>
        <v>1+5.58076593815271E-07i</v>
      </c>
      <c r="U61" s="18">
        <f t="shared" si="44"/>
        <v>1.0000000000001559</v>
      </c>
      <c r="V61" s="18">
        <f t="shared" si="45"/>
        <v>5.580765938152131E-7</v>
      </c>
      <c r="W61" s="32" t="str">
        <f t="shared" si="35"/>
        <v>1-0.000135291295470369i</v>
      </c>
      <c r="X61" s="18">
        <f t="shared" si="46"/>
        <v>1.0000000091518673</v>
      </c>
      <c r="Y61" s="18">
        <f t="shared" si="47"/>
        <v>-1.352912946449237E-4</v>
      </c>
      <c r="Z61" s="32" t="str">
        <f t="shared" si="36"/>
        <v>0.999999999536361+0.0000572614474249587i</v>
      </c>
      <c r="AA61" s="18">
        <f t="shared" si="48"/>
        <v>1.0000000011757975</v>
      </c>
      <c r="AB61" s="18">
        <f t="shared" si="49"/>
        <v>5.7261447388923E-5</v>
      </c>
      <c r="AC61" s="68" t="str">
        <f t="shared" si="50"/>
        <v>123.617844660098-31.3835468572493i</v>
      </c>
      <c r="AD61" s="66">
        <f t="shared" si="51"/>
        <v>42.112887385470415</v>
      </c>
      <c r="AE61" s="63">
        <f t="shared" si="52"/>
        <v>-14.245042247550387</v>
      </c>
      <c r="AF61" s="32" t="str">
        <f t="shared" si="37"/>
        <v>-0.434440565864413</v>
      </c>
      <c r="AG61" s="32" t="str">
        <f t="shared" si="38"/>
        <v>0.00441387851472079i</v>
      </c>
      <c r="AH61" s="32">
        <f t="shared" si="53"/>
        <v>4.4138785147207898E-3</v>
      </c>
      <c r="AI61" s="32">
        <f t="shared" si="54"/>
        <v>1.5707963267948966</v>
      </c>
      <c r="AJ61" s="32" t="str">
        <f t="shared" si="39"/>
        <v>1+0.000043701767472483i</v>
      </c>
      <c r="AK61" s="32">
        <f t="shared" si="55"/>
        <v>1.0000000009549221</v>
      </c>
      <c r="AL61" s="32">
        <f t="shared" si="56"/>
        <v>4.370176744466181E-5</v>
      </c>
      <c r="AM61" s="32" t="str">
        <f t="shared" si="40"/>
        <v>1+0.00441387851472079i</v>
      </c>
      <c r="AN61" s="32">
        <f t="shared" si="57"/>
        <v>1.0000097411143267</v>
      </c>
      <c r="AO61" s="32">
        <f t="shared" si="58"/>
        <v>4.413849850852752E-3</v>
      </c>
      <c r="AP61" s="60" t="str">
        <f t="shared" si="59"/>
        <v>-0.430139173301682+98.4260548601179i</v>
      </c>
      <c r="AQ61" s="51">
        <f t="shared" si="60"/>
        <v>39.862284501570002</v>
      </c>
      <c r="AR61" s="63">
        <f t="shared" si="61"/>
        <v>90.250391041026461</v>
      </c>
      <c r="AS61" s="60" t="str">
        <f t="shared" si="62"/>
        <v>3035.78582716927+12180.7160531048i</v>
      </c>
      <c r="AT61" s="66">
        <f t="shared" si="63"/>
        <v>81.975171887040418</v>
      </c>
      <c r="AU61" s="63">
        <f t="shared" si="64"/>
        <v>76.005348793476102</v>
      </c>
      <c r="AX61" s="32">
        <f t="shared" si="65"/>
        <v>0</v>
      </c>
      <c r="AY61" s="32">
        <f t="shared" si="66"/>
        <v>0</v>
      </c>
    </row>
    <row r="62" spans="1:51" x14ac:dyDescent="0.3">
      <c r="B62" s="253">
        <f>wp0_ea/(2*PI())</f>
        <v>6097.8905399193618</v>
      </c>
      <c r="C62" s="32" t="s">
        <v>70</v>
      </c>
      <c r="N62" s="11">
        <v>44</v>
      </c>
      <c r="O62" s="52">
        <f t="shared" si="41"/>
        <v>27.542287033381665</v>
      </c>
      <c r="P62" s="50" t="str">
        <f t="shared" si="32"/>
        <v>131.578947368421</v>
      </c>
      <c r="Q62" s="18" t="str">
        <f t="shared" si="33"/>
        <v>1+0.2595799398214i</v>
      </c>
      <c r="R62" s="18">
        <f t="shared" si="42"/>
        <v>1.0331416868744003</v>
      </c>
      <c r="S62" s="18">
        <f t="shared" si="43"/>
        <v>0.25397455618015352</v>
      </c>
      <c r="T62" s="18" t="str">
        <f t="shared" si="34"/>
        <v>1+5.71075867607081E-07i</v>
      </c>
      <c r="U62" s="18">
        <f t="shared" si="44"/>
        <v>1.000000000000163</v>
      </c>
      <c r="V62" s="18">
        <f t="shared" si="45"/>
        <v>5.7107586760701901E-7</v>
      </c>
      <c r="W62" s="32" t="str">
        <f t="shared" si="35"/>
        <v>1-0.000138442634571414i</v>
      </c>
      <c r="X62" s="18">
        <f t="shared" si="46"/>
        <v>1.0000000095831816</v>
      </c>
      <c r="Y62" s="18">
        <f t="shared" si="47"/>
        <v>-1.3844263368693343E-4</v>
      </c>
      <c r="Z62" s="32" t="str">
        <f t="shared" si="36"/>
        <v>0.99999999951451+0.0000585952378778132i</v>
      </c>
      <c r="AA62" s="18">
        <f t="shared" si="48"/>
        <v>1.0000000012312109</v>
      </c>
      <c r="AB62" s="18">
        <f t="shared" si="49"/>
        <v>5.8595237839200263E-5</v>
      </c>
      <c r="AC62" s="68" t="str">
        <f t="shared" si="50"/>
        <v>123.266334796613-32.0233186627246i</v>
      </c>
      <c r="AD62" s="66">
        <f t="shared" si="51"/>
        <v>42.10053051661319</v>
      </c>
      <c r="AE62" s="63">
        <f t="shared" si="52"/>
        <v>-14.562926891036732</v>
      </c>
      <c r="AF62" s="32" t="str">
        <f t="shared" si="37"/>
        <v>-0.434440565864413</v>
      </c>
      <c r="AG62" s="32" t="str">
        <f t="shared" si="38"/>
        <v>0.00451669095289237i</v>
      </c>
      <c r="AH62" s="32">
        <f t="shared" si="53"/>
        <v>4.5166909528923703E-3</v>
      </c>
      <c r="AI62" s="32">
        <f t="shared" si="54"/>
        <v>1.5707963267948966</v>
      </c>
      <c r="AJ62" s="32" t="str">
        <f t="shared" si="39"/>
        <v>1+0.000044719712404875i</v>
      </c>
      <c r="AK62" s="32">
        <f t="shared" si="55"/>
        <v>1.0000000009999264</v>
      </c>
      <c r="AL62" s="32">
        <f t="shared" si="56"/>
        <v>4.4719712375064052E-5</v>
      </c>
      <c r="AM62" s="32" t="str">
        <f t="shared" si="40"/>
        <v>1+0.00451669095289237i</v>
      </c>
      <c r="AN62" s="32">
        <f t="shared" si="57"/>
        <v>1.0000102001965601</v>
      </c>
      <c r="AO62" s="32">
        <f t="shared" si="58"/>
        <v>4.5166602390213249E-3</v>
      </c>
      <c r="AP62" s="60" t="str">
        <f t="shared" si="59"/>
        <v>-0.430139173262966+96.1856051868951i</v>
      </c>
      <c r="AQ62" s="51">
        <f t="shared" si="60"/>
        <v>39.662288488676978</v>
      </c>
      <c r="AR62" s="63">
        <f t="shared" si="61"/>
        <v>90.256223318410335</v>
      </c>
      <c r="AS62" s="60" t="str">
        <f t="shared" si="62"/>
        <v>3027.16060632639+11870.2214953974i</v>
      </c>
      <c r="AT62" s="66">
        <f t="shared" si="63"/>
        <v>81.762819005290183</v>
      </c>
      <c r="AU62" s="63">
        <f t="shared" si="64"/>
        <v>75.693296427373625</v>
      </c>
      <c r="AX62" s="32">
        <f t="shared" si="65"/>
        <v>0</v>
      </c>
      <c r="AY62" s="32">
        <f t="shared" si="66"/>
        <v>0</v>
      </c>
    </row>
    <row r="63" spans="1:51" x14ac:dyDescent="0.3">
      <c r="A63" s="32" t="s">
        <v>263</v>
      </c>
      <c r="B63" s="253">
        <f>(CCOMP+CHF)/(RCOMP*CHF*CCOMP)</f>
        <v>3869731.8007662832</v>
      </c>
      <c r="C63" s="32" t="s">
        <v>245</v>
      </c>
      <c r="D63" s="248">
        <f>B63/(2*PI())</f>
        <v>615886.94453185552</v>
      </c>
      <c r="E63" s="32" t="s">
        <v>274</v>
      </c>
      <c r="N63" s="11">
        <v>45</v>
      </c>
      <c r="O63" s="52">
        <f t="shared" si="41"/>
        <v>28.183829312644548</v>
      </c>
      <c r="P63" s="50" t="str">
        <f t="shared" si="32"/>
        <v>131.578947368421</v>
      </c>
      <c r="Q63" s="18" t="str">
        <f t="shared" si="33"/>
        <v>1+0.265626333355899i</v>
      </c>
      <c r="R63" s="18">
        <f t="shared" si="42"/>
        <v>1.0346774129998679</v>
      </c>
      <c r="S63" s="18">
        <f t="shared" si="43"/>
        <v>0.25963087488692471</v>
      </c>
      <c r="T63" s="18" t="str">
        <f t="shared" si="34"/>
        <v>1+5.84377933382978E-07i</v>
      </c>
      <c r="U63" s="18">
        <f t="shared" si="44"/>
        <v>1.0000000000001708</v>
      </c>
      <c r="V63" s="18">
        <f t="shared" si="45"/>
        <v>5.8437793338291148E-7</v>
      </c>
      <c r="W63" s="32" t="str">
        <f t="shared" si="35"/>
        <v>1-0.000141667377789813i</v>
      </c>
      <c r="X63" s="18">
        <f t="shared" si="46"/>
        <v>1.000000010034823</v>
      </c>
      <c r="Y63" s="18">
        <f t="shared" si="47"/>
        <v>-1.4166737684207496E-4</v>
      </c>
      <c r="Z63" s="32" t="str">
        <f t="shared" si="36"/>
        <v>0.99999999949163+0.00005996009630139i</v>
      </c>
      <c r="AA63" s="18">
        <f t="shared" si="48"/>
        <v>1.0000000012892365</v>
      </c>
      <c r="AB63" s="18">
        <f t="shared" si="49"/>
        <v>5.9960096260015477E-5</v>
      </c>
      <c r="AC63" s="68" t="str">
        <f t="shared" si="50"/>
        <v>122.900393297641-32.6720338785415i</v>
      </c>
      <c r="AD63" s="66">
        <f t="shared" si="51"/>
        <v>42.087628859443534</v>
      </c>
      <c r="AE63" s="63">
        <f t="shared" si="52"/>
        <v>-14.887272283163345</v>
      </c>
      <c r="AF63" s="32" t="str">
        <f t="shared" si="37"/>
        <v>-0.434440565864413</v>
      </c>
      <c r="AG63" s="32" t="str">
        <f t="shared" si="38"/>
        <v>0.00462189820039265i</v>
      </c>
      <c r="AH63" s="32">
        <f t="shared" si="53"/>
        <v>4.6218982003926497E-3</v>
      </c>
      <c r="AI63" s="32">
        <f t="shared" si="54"/>
        <v>1.5707963267948966</v>
      </c>
      <c r="AJ63" s="32" t="str">
        <f t="shared" si="39"/>
        <v>1+0.0000457613683207193i</v>
      </c>
      <c r="AK63" s="32">
        <f t="shared" si="55"/>
        <v>1.0000000010470513</v>
      </c>
      <c r="AL63" s="32">
        <f t="shared" si="56"/>
        <v>4.5761368288776298E-5</v>
      </c>
      <c r="AM63" s="32" t="str">
        <f t="shared" si="40"/>
        <v>1+0.00462189820039265i</v>
      </c>
      <c r="AN63" s="32">
        <f t="shared" si="57"/>
        <v>1.0000106809144464</v>
      </c>
      <c r="AO63" s="32">
        <f t="shared" si="58"/>
        <v>4.6218652899058703E-3</v>
      </c>
      <c r="AP63" s="60" t="str">
        <f t="shared" si="59"/>
        <v>-0.430139173222426+93.9961543947089i</v>
      </c>
      <c r="AQ63" s="51">
        <f t="shared" si="60"/>
        <v>39.462292663686547</v>
      </c>
      <c r="AR63" s="63">
        <f t="shared" si="61"/>
        <v>90.262191441321917</v>
      </c>
      <c r="AS63" s="60" t="str">
        <f t="shared" si="62"/>
        <v>3018.18126727479+11566.2178652155i</v>
      </c>
      <c r="AT63" s="66">
        <f t="shared" si="63"/>
        <v>81.549921523130067</v>
      </c>
      <c r="AU63" s="63">
        <f t="shared" si="64"/>
        <v>75.374919158158548</v>
      </c>
      <c r="AX63" s="32">
        <f t="shared" si="65"/>
        <v>0</v>
      </c>
      <c r="AY63" s="32">
        <f t="shared" si="66"/>
        <v>0</v>
      </c>
    </row>
    <row r="64" spans="1:51" x14ac:dyDescent="0.3">
      <c r="B64" s="253">
        <f>wp1_ea/(2*PI())</f>
        <v>615886.94453185552</v>
      </c>
      <c r="C64" s="32" t="s">
        <v>70</v>
      </c>
      <c r="N64" s="11">
        <v>46</v>
      </c>
      <c r="O64" s="52">
        <f t="shared" si="41"/>
        <v>28.840315031266066</v>
      </c>
      <c r="P64" s="50" t="str">
        <f t="shared" si="32"/>
        <v>131.578947368421</v>
      </c>
      <c r="Q64" s="18" t="str">
        <f t="shared" si="33"/>
        <v>1+0.271813565488323i</v>
      </c>
      <c r="R64" s="18">
        <f t="shared" si="42"/>
        <v>1.0362830763760811</v>
      </c>
      <c r="S64" s="18">
        <f t="shared" si="43"/>
        <v>0.26540140147197749</v>
      </c>
      <c r="T64" s="18" t="str">
        <f t="shared" si="34"/>
        <v>1+5.97989844074311E-07i</v>
      </c>
      <c r="U64" s="18">
        <f t="shared" si="44"/>
        <v>1.0000000000001787</v>
      </c>
      <c r="V64" s="18">
        <f t="shared" si="45"/>
        <v>5.9798984407423972E-7</v>
      </c>
      <c r="W64" s="32" t="str">
        <f t="shared" si="35"/>
        <v>1-0.000144967234927106i</v>
      </c>
      <c r="X64" s="18">
        <f t="shared" si="46"/>
        <v>1.0000000105077496</v>
      </c>
      <c r="Y64" s="18">
        <f t="shared" si="47"/>
        <v>-1.4496723391158641E-4</v>
      </c>
      <c r="Z64" s="32" t="str">
        <f t="shared" si="36"/>
        <v>0.999999999467671+0.0000613567463616916i</v>
      </c>
      <c r="AA64" s="18">
        <f t="shared" si="48"/>
        <v>1.0000000013499961</v>
      </c>
      <c r="AB64" s="18">
        <f t="shared" si="49"/>
        <v>6.1356746317357998E-5</v>
      </c>
      <c r="AC64" s="68" t="str">
        <f t="shared" si="50"/>
        <v>122.519525177552-33.3295381897649i</v>
      </c>
      <c r="AD64" s="66">
        <f t="shared" si="51"/>
        <v>42.074160119657648</v>
      </c>
      <c r="AE64" s="63">
        <f t="shared" si="52"/>
        <v>-15.21816741218667</v>
      </c>
      <c r="AF64" s="32" t="str">
        <f t="shared" si="37"/>
        <v>-0.434440565864413</v>
      </c>
      <c r="AG64" s="32" t="str">
        <f t="shared" si="38"/>
        <v>0.00472955603949682i</v>
      </c>
      <c r="AH64" s="32">
        <f t="shared" si="53"/>
        <v>4.7295560394968201E-3</v>
      </c>
      <c r="AI64" s="32">
        <f t="shared" si="54"/>
        <v>1.5707963267948966</v>
      </c>
      <c r="AJ64" s="32" t="str">
        <f t="shared" si="39"/>
        <v>1+0.0000468272875197705i</v>
      </c>
      <c r="AK64" s="32">
        <f t="shared" si="55"/>
        <v>1.0000000010963974</v>
      </c>
      <c r="AL64" s="32">
        <f t="shared" si="56"/>
        <v>4.6827287485542957E-5</v>
      </c>
      <c r="AM64" s="32" t="str">
        <f t="shared" si="40"/>
        <v>1+0.00472955603949682i</v>
      </c>
      <c r="AN64" s="32">
        <f t="shared" si="57"/>
        <v>1.0000111842876211</v>
      </c>
      <c r="AO64" s="32">
        <f t="shared" si="58"/>
        <v>4.7295207752961928E-3</v>
      </c>
      <c r="AP64" s="60" t="str">
        <f t="shared" si="59"/>
        <v>-0.430139173179974+91.8565416077694i</v>
      </c>
      <c r="AQ64" s="51">
        <f t="shared" si="60"/>
        <v>39.262297035453983</v>
      </c>
      <c r="AR64" s="63">
        <f t="shared" si="61"/>
        <v>90.268298573604937</v>
      </c>
      <c r="AS64" s="60" t="str">
        <f t="shared" si="62"/>
        <v>3008.8356642376+11268.5562022354i</v>
      </c>
      <c r="AT64" s="66">
        <f t="shared" si="63"/>
        <v>81.33645715511166</v>
      </c>
      <c r="AU64" s="63">
        <f t="shared" si="64"/>
        <v>75.050131161418321</v>
      </c>
      <c r="AX64" s="32">
        <f t="shared" si="65"/>
        <v>0</v>
      </c>
      <c r="AY64" s="32">
        <f t="shared" si="66"/>
        <v>0</v>
      </c>
    </row>
    <row r="65" spans="1:51" x14ac:dyDescent="0.3">
      <c r="N65" s="11">
        <v>47</v>
      </c>
      <c r="O65" s="52">
        <f t="shared" si="41"/>
        <v>29.512092266663863</v>
      </c>
      <c r="P65" s="50" t="str">
        <f t="shared" si="32"/>
        <v>131.578947368421</v>
      </c>
      <c r="Q65" s="18" t="str">
        <f t="shared" si="33"/>
        <v>1+0.278144916771046i</v>
      </c>
      <c r="R65" s="18">
        <f t="shared" si="42"/>
        <v>1.0379617501264544</v>
      </c>
      <c r="S65" s="18">
        <f t="shared" si="43"/>
        <v>0.27128765769682489</v>
      </c>
      <c r="T65" s="18" t="str">
        <f t="shared" si="34"/>
        <v>1+6.11918816896302E-07i</v>
      </c>
      <c r="U65" s="18">
        <f t="shared" si="44"/>
        <v>1.0000000000001872</v>
      </c>
      <c r="V65" s="18">
        <f t="shared" si="45"/>
        <v>6.1191881689622564E-7</v>
      </c>
      <c r="W65" s="32" t="str">
        <f t="shared" si="35"/>
        <v>1-0.000148343955611225i</v>
      </c>
      <c r="X65" s="18">
        <f t="shared" si="46"/>
        <v>1.0000000110029645</v>
      </c>
      <c r="Y65" s="18">
        <f t="shared" si="47"/>
        <v>-1.4834395452307614E-4</v>
      </c>
      <c r="Z65" s="32" t="str">
        <f t="shared" si="36"/>
        <v>0.999999999442583+0.0000627859285810666i</v>
      </c>
      <c r="AA65" s="18">
        <f t="shared" si="48"/>
        <v>1.0000000014136194</v>
      </c>
      <c r="AB65" s="18">
        <f t="shared" si="49"/>
        <v>6.2785928533562311E-5</v>
      </c>
      <c r="AC65" s="68" t="str">
        <f t="shared" si="50"/>
        <v>122.123227196234-33.9956545965058i</v>
      </c>
      <c r="AD65" s="66">
        <f t="shared" si="51"/>
        <v>42.060101244791063</v>
      </c>
      <c r="AE65" s="63">
        <f t="shared" si="52"/>
        <v>-15.555699610880415</v>
      </c>
      <c r="AF65" s="32" t="str">
        <f t="shared" si="37"/>
        <v>-0.434440565864413</v>
      </c>
      <c r="AG65" s="32" t="str">
        <f t="shared" si="38"/>
        <v>0.00483972155181621i</v>
      </c>
      <c r="AH65" s="32">
        <f t="shared" si="53"/>
        <v>4.8397215518162099E-3</v>
      </c>
      <c r="AI65" s="32">
        <f t="shared" si="54"/>
        <v>1.5707963267948966</v>
      </c>
      <c r="AJ65" s="32" t="str">
        <f t="shared" si="39"/>
        <v>1+0.0000479180351664972i</v>
      </c>
      <c r="AK65" s="32">
        <f t="shared" si="55"/>
        <v>1.000000001148069</v>
      </c>
      <c r="AL65" s="32">
        <f t="shared" si="56"/>
        <v>4.7918035129821724E-5</v>
      </c>
      <c r="AM65" s="32" t="str">
        <f t="shared" si="40"/>
        <v>1+0.00483972155181621i</v>
      </c>
      <c r="AN65" s="32">
        <f t="shared" si="57"/>
        <v>1.0000117113837712</v>
      </c>
      <c r="AO65" s="32">
        <f t="shared" si="58"/>
        <v>4.8396837655683535E-3</v>
      </c>
      <c r="AP65" s="60" t="str">
        <f t="shared" si="59"/>
        <v>-0.430139173135522+89.7656323750554i</v>
      </c>
      <c r="AQ65" s="51">
        <f t="shared" si="60"/>
        <v>39.062301613251762</v>
      </c>
      <c r="AR65" s="63">
        <f t="shared" si="61"/>
        <v>90.274547952769538</v>
      </c>
      <c r="AS65" s="60" t="str">
        <f t="shared" si="62"/>
        <v>2999.11144889247+10977.0915797109i</v>
      </c>
      <c r="AT65" s="66">
        <f t="shared" si="63"/>
        <v>81.122402858042847</v>
      </c>
      <c r="AU65" s="63">
        <f t="shared" si="64"/>
        <v>74.718848341889213</v>
      </c>
      <c r="AX65" s="32">
        <f t="shared" si="65"/>
        <v>0</v>
      </c>
      <c r="AY65" s="32">
        <f t="shared" si="66"/>
        <v>0</v>
      </c>
    </row>
    <row r="66" spans="1:51" x14ac:dyDescent="0.3">
      <c r="N66" s="11">
        <v>48</v>
      </c>
      <c r="O66" s="52">
        <f t="shared" si="41"/>
        <v>30.199517204020164</v>
      </c>
      <c r="P66" s="50" t="str">
        <f t="shared" si="32"/>
        <v>131.578947368421</v>
      </c>
      <c r="Q66" s="18" t="str">
        <f t="shared" si="33"/>
        <v>1+0.284623744170325i</v>
      </c>
      <c r="R66" s="18">
        <f t="shared" si="42"/>
        <v>1.039716632427093</v>
      </c>
      <c r="S66" s="18">
        <f t="shared" si="43"/>
        <v>0.27729113230132635</v>
      </c>
      <c r="T66" s="18" t="str">
        <f t="shared" si="34"/>
        <v>1+6.26172237174716E-07i</v>
      </c>
      <c r="U66" s="18">
        <f t="shared" si="44"/>
        <v>1.0000000000001961</v>
      </c>
      <c r="V66" s="18">
        <f t="shared" si="45"/>
        <v>6.2617223717463418E-7</v>
      </c>
      <c r="W66" s="32" t="str">
        <f t="shared" si="35"/>
        <v>1-0.000151799330224174i</v>
      </c>
      <c r="X66" s="18">
        <f t="shared" si="46"/>
        <v>1.0000000115215182</v>
      </c>
      <c r="Y66" s="18">
        <f t="shared" si="47"/>
        <v>-1.5179932905820152E-4</v>
      </c>
      <c r="Z66" s="32" t="str">
        <f t="shared" si="36"/>
        <v>0.999999999416313+0.0000642484007308454i</v>
      </c>
      <c r="AA66" s="18">
        <f t="shared" si="48"/>
        <v>1.0000000014802413</v>
      </c>
      <c r="AB66" s="18">
        <f t="shared" si="49"/>
        <v>6.4248400679943609E-5</v>
      </c>
      <c r="AC66" s="68" t="str">
        <f t="shared" si="50"/>
        <v>121.710988563917-34.6701822135754i</v>
      </c>
      <c r="AD66" s="66">
        <f t="shared" si="51"/>
        <v>42.045428412204529</v>
      </c>
      <c r="AE66" s="63">
        <f t="shared" si="52"/>
        <v>-15.899954323330631</v>
      </c>
      <c r="AF66" s="32" t="str">
        <f t="shared" si="37"/>
        <v>-0.434440565864413</v>
      </c>
      <c r="AG66" s="32" t="str">
        <f t="shared" si="38"/>
        <v>0.00495245314856367i</v>
      </c>
      <c r="AH66" s="32">
        <f t="shared" si="53"/>
        <v>4.9524531485636699E-3</v>
      </c>
      <c r="AI66" s="32">
        <f t="shared" si="54"/>
        <v>1.5707963267948966</v>
      </c>
      <c r="AJ66" s="32" t="str">
        <f t="shared" si="39"/>
        <v>1+0.0000490341895897393i</v>
      </c>
      <c r="AK66" s="32">
        <f t="shared" si="55"/>
        <v>1.0000000012021759</v>
      </c>
      <c r="AL66" s="32">
        <f t="shared" si="56"/>
        <v>4.9034189550440819E-5</v>
      </c>
      <c r="AM66" s="32" t="str">
        <f t="shared" si="40"/>
        <v>1+0.00495245314856367i</v>
      </c>
      <c r="AN66" s="32">
        <f t="shared" si="57"/>
        <v>1.0000122633208999</v>
      </c>
      <c r="AO66" s="32">
        <f t="shared" si="58"/>
        <v>4.9524126598964359E-3</v>
      </c>
      <c r="AP66" s="60" t="str">
        <f t="shared" si="59"/>
        <v>-0.430139173088975+87.722318068815i</v>
      </c>
      <c r="AQ66" s="51">
        <f t="shared" si="60"/>
        <v>38.862306406789308</v>
      </c>
      <c r="AR66" s="63">
        <f t="shared" si="61"/>
        <v>90.280942891706133</v>
      </c>
      <c r="AS66" s="60" t="str">
        <f t="shared" si="62"/>
        <v>2988.99608766631+10691.683054782i</v>
      </c>
      <c r="AT66" s="66">
        <f t="shared" si="63"/>
        <v>80.907734818993816</v>
      </c>
      <c r="AU66" s="63">
        <f t="shared" si="64"/>
        <v>74.380988568375471</v>
      </c>
      <c r="AX66" s="32">
        <f t="shared" si="65"/>
        <v>0</v>
      </c>
      <c r="AY66" s="32">
        <f t="shared" si="66"/>
        <v>0</v>
      </c>
    </row>
    <row r="67" spans="1:51" x14ac:dyDescent="0.3">
      <c r="N67" s="11">
        <v>49</v>
      </c>
      <c r="O67" s="52">
        <f t="shared" si="41"/>
        <v>30.902954325135919</v>
      </c>
      <c r="P67" s="50" t="str">
        <f t="shared" si="32"/>
        <v>131.578947368421</v>
      </c>
      <c r="Q67" s="18" t="str">
        <f t="shared" si="33"/>
        <v>1+0.291253482846204i</v>
      </c>
      <c r="R67" s="18">
        <f t="shared" si="42"/>
        <v>1.0415510507267725</v>
      </c>
      <c r="S67" s="18">
        <f t="shared" si="43"/>
        <v>0.28341327672109118</v>
      </c>
      <c r="T67" s="18" t="str">
        <f t="shared" si="34"/>
        <v>1+6.40757662261649E-07i</v>
      </c>
      <c r="U67" s="18">
        <f t="shared" si="44"/>
        <v>1.0000000000002052</v>
      </c>
      <c r="V67" s="18">
        <f t="shared" si="45"/>
        <v>6.4075766226156136E-7</v>
      </c>
      <c r="W67" s="32" t="str">
        <f t="shared" si="35"/>
        <v>1-0.000155335190851309i</v>
      </c>
      <c r="X67" s="18">
        <f t="shared" si="46"/>
        <v>1.0000000120645107</v>
      </c>
      <c r="Y67" s="18">
        <f t="shared" si="47"/>
        <v>-1.5533518960194698E-4</v>
      </c>
      <c r="Z67" s="32" t="str">
        <f t="shared" si="36"/>
        <v>0.999999999388805+0.0000657449382331197i</v>
      </c>
      <c r="AA67" s="18">
        <f t="shared" si="48"/>
        <v>1.0000000015500032</v>
      </c>
      <c r="AB67" s="18">
        <f t="shared" si="49"/>
        <v>6.5744938178577427E-5</v>
      </c>
      <c r="AC67" s="68" t="str">
        <f t="shared" si="50"/>
        <v>121.28229174082-35.352895057432i</v>
      </c>
      <c r="AD67" s="66">
        <f t="shared" si="51"/>
        <v>42.030117018212678</v>
      </c>
      <c r="AE67" s="63">
        <f t="shared" si="52"/>
        <v>-16.251014859638119</v>
      </c>
      <c r="AF67" s="32" t="str">
        <f t="shared" si="37"/>
        <v>-0.434440565864413</v>
      </c>
      <c r="AG67" s="32" t="str">
        <f t="shared" si="38"/>
        <v>0.00506781060152395i</v>
      </c>
      <c r="AH67" s="32">
        <f t="shared" si="53"/>
        <v>5.0678106015239503E-3</v>
      </c>
      <c r="AI67" s="32">
        <f t="shared" si="54"/>
        <v>1.5707963267948966</v>
      </c>
      <c r="AJ67" s="32" t="str">
        <f t="shared" si="39"/>
        <v>1+0.0000501763425893461i</v>
      </c>
      <c r="AK67" s="32">
        <f t="shared" si="55"/>
        <v>1.0000000012588326</v>
      </c>
      <c r="AL67" s="32">
        <f t="shared" si="56"/>
        <v>5.0176342547237024E-5</v>
      </c>
      <c r="AM67" s="32" t="str">
        <f t="shared" si="40"/>
        <v>1+0.00506781060152395i</v>
      </c>
      <c r="AN67" s="32">
        <f t="shared" si="57"/>
        <v>1.0000128412696974</v>
      </c>
      <c r="AO67" s="32">
        <f t="shared" si="58"/>
        <v>5.0677672171654548E-3</v>
      </c>
      <c r="AP67" s="60" t="str">
        <f t="shared" si="59"/>
        <v>-0.430139173040235+85.7255152967571i</v>
      </c>
      <c r="AQ67" s="51">
        <f t="shared" si="60"/>
        <v>38.662311426233664</v>
      </c>
      <c r="AR67" s="63">
        <f t="shared" si="61"/>
        <v>90.287486780438982</v>
      </c>
      <c r="AS67" s="60" t="str">
        <f t="shared" si="62"/>
        <v>2978.47688135671+10412.193620898i</v>
      </c>
      <c r="AT67" s="66">
        <f t="shared" si="63"/>
        <v>80.692428444446335</v>
      </c>
      <c r="AU67" s="63">
        <f t="shared" si="64"/>
        <v>74.036471920800892</v>
      </c>
      <c r="AX67" s="32">
        <f t="shared" si="65"/>
        <v>0</v>
      </c>
      <c r="AY67" s="32">
        <f t="shared" si="66"/>
        <v>0</v>
      </c>
    </row>
    <row r="68" spans="1:51" x14ac:dyDescent="0.3">
      <c r="A68" s="240" t="str">
        <f>"Crossover Frequency = "&amp;B68</f>
        <v>Crossover Frequency = 7.6 kHz</v>
      </c>
      <c r="B68" s="241" t="str">
        <f>ROUND(D68,1)&amp;" kHz"</f>
        <v>7.6 kHz</v>
      </c>
      <c r="C68" s="242"/>
      <c r="D68" s="243">
        <f>AY12</f>
        <v>7.5857757502918393</v>
      </c>
      <c r="N68" s="11">
        <v>50</v>
      </c>
      <c r="O68" s="52">
        <f t="shared" si="41"/>
        <v>31.622776601683803</v>
      </c>
      <c r="P68" s="50" t="str">
        <f t="shared" si="32"/>
        <v>131.578947368421</v>
      </c>
      <c r="Q68" s="18" t="str">
        <f t="shared" si="33"/>
        <v>1+0.298037647973883i</v>
      </c>
      <c r="R68" s="18">
        <f t="shared" si="42"/>
        <v>1.0434684660351765</v>
      </c>
      <c r="S68" s="18">
        <f t="shared" si="43"/>
        <v>0.28965550059205025</v>
      </c>
      <c r="T68" s="18" t="str">
        <f t="shared" si="34"/>
        <v>1+6.55682825542543E-07i</v>
      </c>
      <c r="U68" s="18">
        <f t="shared" si="44"/>
        <v>1.0000000000002149</v>
      </c>
      <c r="V68" s="18">
        <f t="shared" si="45"/>
        <v>6.5568282554244909E-7</v>
      </c>
      <c r="W68" s="32" t="str">
        <f t="shared" si="35"/>
        <v>1-0.000158953412252738i</v>
      </c>
      <c r="X68" s="18">
        <f t="shared" si="46"/>
        <v>1.0000000126330937</v>
      </c>
      <c r="Y68" s="18">
        <f t="shared" si="47"/>
        <v>-1.5895341091402246E-4</v>
      </c>
      <c r="Z68" s="32" t="str">
        <f t="shared" si="36"/>
        <v>0.99999999936+0.0000672763345718823i</v>
      </c>
      <c r="AA68" s="18">
        <f t="shared" si="48"/>
        <v>1.0000000016230526</v>
      </c>
      <c r="AB68" s="18">
        <f t="shared" si="49"/>
        <v>6.7276334513439231E-5</v>
      </c>
      <c r="AC68" s="68" t="str">
        <f t="shared" si="50"/>
        <v>120.836613337125-36.0435408259121i</v>
      </c>
      <c r="AD68" s="66">
        <f t="shared" si="51"/>
        <v>42.014141668502234</v>
      </c>
      <c r="AE68" s="63">
        <f t="shared" si="52"/>
        <v>-16.608962138428296</v>
      </c>
      <c r="AF68" s="32" t="str">
        <f t="shared" si="37"/>
        <v>-0.434440565864413</v>
      </c>
      <c r="AG68" s="32" t="str">
        <f t="shared" si="38"/>
        <v>0.00518585507474557i</v>
      </c>
      <c r="AH68" s="32">
        <f t="shared" si="53"/>
        <v>5.1858550747455696E-3</v>
      </c>
      <c r="AI68" s="32">
        <f t="shared" si="54"/>
        <v>1.5707963267948966</v>
      </c>
      <c r="AJ68" s="32" t="str">
        <f t="shared" si="39"/>
        <v>1+0.0000513450997499561i</v>
      </c>
      <c r="AK68" s="32">
        <f t="shared" si="55"/>
        <v>1.0000000013181596</v>
      </c>
      <c r="AL68" s="32">
        <f t="shared" si="56"/>
        <v>5.1345099704835409E-5</v>
      </c>
      <c r="AM68" s="32" t="str">
        <f t="shared" si="40"/>
        <v>1+0.00518585507474557i</v>
      </c>
      <c r="AN68" s="32">
        <f t="shared" si="57"/>
        <v>1.0000134464560244</v>
      </c>
      <c r="AO68" s="32">
        <f t="shared" si="58"/>
        <v>5.1858085876016558E-3</v>
      </c>
      <c r="AP68" s="60" t="str">
        <f t="shared" si="59"/>
        <v>-0.430139172989197+83.7741653276207i</v>
      </c>
      <c r="AQ68" s="51">
        <f t="shared" si="60"/>
        <v>38.462316682230913</v>
      </c>
      <c r="AR68" s="63">
        <f t="shared" si="61"/>
        <v>90.294183087920501</v>
      </c>
      <c r="AS68" s="60" t="str">
        <f t="shared" si="62"/>
        <v>2967.54098721516+10138.4901621765i</v>
      </c>
      <c r="AT68" s="66">
        <f t="shared" si="63"/>
        <v>80.476458350733111</v>
      </c>
      <c r="AU68" s="63">
        <f t="shared" si="64"/>
        <v>73.685220949492148</v>
      </c>
      <c r="AX68" s="32">
        <f t="shared" si="65"/>
        <v>0</v>
      </c>
      <c r="AY68" s="32">
        <f t="shared" si="66"/>
        <v>0</v>
      </c>
    </row>
    <row r="69" spans="1:51" x14ac:dyDescent="0.3">
      <c r="A69" s="240" t="str">
        <f>"Phase Margin = "&amp;B69</f>
        <v>Phase Margin = 48°</v>
      </c>
      <c r="B69" s="244" t="str">
        <f>ROUND(D69,0)&amp;"°"</f>
        <v>48°</v>
      </c>
      <c r="C69" s="245"/>
      <c r="D69" s="246">
        <f>AY14</f>
        <v>48.202073312230723</v>
      </c>
      <c r="N69" s="11">
        <v>51</v>
      </c>
      <c r="O69" s="52">
        <f t="shared" si="41"/>
        <v>32.359365692962832</v>
      </c>
      <c r="P69" s="50" t="str">
        <f t="shared" si="32"/>
        <v>131.578947368421</v>
      </c>
      <c r="Q69" s="18" t="str">
        <f t="shared" si="33"/>
        <v>1+0.304979836607512i</v>
      </c>
      <c r="R69" s="18">
        <f t="shared" si="42"/>
        <v>1.0454724772738615</v>
      </c>
      <c r="S69" s="18">
        <f t="shared" si="43"/>
        <v>0.29601916704146425</v>
      </c>
      <c r="T69" s="18" t="str">
        <f t="shared" si="34"/>
        <v>1+6.70955640536528E-07i</v>
      </c>
      <c r="U69" s="18">
        <f t="shared" si="44"/>
        <v>1.0000000000002252</v>
      </c>
      <c r="V69" s="18">
        <f t="shared" si="45"/>
        <v>6.7095564053642727E-7</v>
      </c>
      <c r="W69" s="32" t="str">
        <f t="shared" si="35"/>
        <v>1-0.00016265591285734i</v>
      </c>
      <c r="X69" s="18">
        <f t="shared" si="46"/>
        <v>1.000000013228473</v>
      </c>
      <c r="Y69" s="18">
        <f t="shared" si="47"/>
        <v>-1.6265591142288047E-4</v>
      </c>
      <c r="Z69" s="32" t="str">
        <f t="shared" si="36"/>
        <v>0.999999999329838+0.0000688434017137425i</v>
      </c>
      <c r="AA69" s="18">
        <f t="shared" si="48"/>
        <v>1.0000000016995447</v>
      </c>
      <c r="AB69" s="18">
        <f t="shared" si="49"/>
        <v>6.8843401651119609E-5</v>
      </c>
      <c r="AC69" s="68" t="str">
        <f t="shared" si="50"/>
        <v>120.373425118699-36.7418396769617i</v>
      </c>
      <c r="AD69" s="66">
        <f t="shared" si="51"/>
        <v>41.997476169995991</v>
      </c>
      <c r="AE69" s="63">
        <f t="shared" si="52"/>
        <v>-16.973874417126886</v>
      </c>
      <c r="AF69" s="32" t="str">
        <f t="shared" si="37"/>
        <v>-0.434440565864413</v>
      </c>
      <c r="AG69" s="32" t="str">
        <f t="shared" si="38"/>
        <v>0.00530664915697072i</v>
      </c>
      <c r="AH69" s="32">
        <f t="shared" si="53"/>
        <v>5.3066491569707204E-3</v>
      </c>
      <c r="AI69" s="32">
        <f t="shared" si="54"/>
        <v>1.5707963267948966</v>
      </c>
      <c r="AJ69" s="32" t="str">
        <f t="shared" si="39"/>
        <v>1+0.0000525410807620864i</v>
      </c>
      <c r="AK69" s="32">
        <f t="shared" si="55"/>
        <v>1.0000000013802826</v>
      </c>
      <c r="AL69" s="32">
        <f t="shared" si="56"/>
        <v>5.2541080713738709E-5</v>
      </c>
      <c r="AM69" s="32" t="str">
        <f t="shared" si="40"/>
        <v>1+0.00530664915697072i</v>
      </c>
      <c r="AN69" s="32">
        <f t="shared" si="57"/>
        <v>1.000014080163512</v>
      </c>
      <c r="AO69" s="32">
        <f t="shared" si="58"/>
        <v>5.3065993451364502E-3</v>
      </c>
      <c r="AP69" s="60" t="str">
        <f t="shared" si="59"/>
        <v>-0.430139172935754+81.8672335298232i</v>
      </c>
      <c r="AQ69" s="51">
        <f t="shared" si="60"/>
        <v>38.262322185928859</v>
      </c>
      <c r="AR69" s="63">
        <f t="shared" si="61"/>
        <v>90.301035363867257</v>
      </c>
      <c r="AS69" s="60" t="str">
        <f t="shared" si="62"/>
        <v>2956.17544362515+9870.443409508i</v>
      </c>
      <c r="AT69" s="66">
        <f t="shared" si="63"/>
        <v>80.259798355924858</v>
      </c>
      <c r="AU69" s="63">
        <f t="shared" si="64"/>
        <v>73.327160946740335</v>
      </c>
      <c r="AX69" s="32">
        <f t="shared" si="65"/>
        <v>0</v>
      </c>
      <c r="AY69" s="32">
        <f t="shared" si="66"/>
        <v>0</v>
      </c>
    </row>
    <row r="70" spans="1:51" x14ac:dyDescent="0.3">
      <c r="N70" s="11">
        <v>52</v>
      </c>
      <c r="O70" s="52">
        <f t="shared" si="41"/>
        <v>33.113112148259127</v>
      </c>
      <c r="P70" s="50" t="str">
        <f t="shared" si="32"/>
        <v>131.578947368421</v>
      </c>
      <c r="Q70" s="18" t="str">
        <f t="shared" si="33"/>
        <v>1+0.312083729587398i</v>
      </c>
      <c r="R70" s="18">
        <f t="shared" si="42"/>
        <v>1.0475668256837747</v>
      </c>
      <c r="S70" s="18">
        <f t="shared" si="43"/>
        <v>0.30250558776579051</v>
      </c>
      <c r="T70" s="18" t="str">
        <f t="shared" si="34"/>
        <v>1+6.86584205092276E-07i</v>
      </c>
      <c r="U70" s="18">
        <f t="shared" si="44"/>
        <v>1.0000000000002358</v>
      </c>
      <c r="V70" s="18">
        <f t="shared" si="45"/>
        <v>6.8658420509216809E-7</v>
      </c>
      <c r="W70" s="32" t="str">
        <f t="shared" si="35"/>
        <v>1-0.000166444655779946i</v>
      </c>
      <c r="X70" s="18">
        <f t="shared" si="46"/>
        <v>1.0000000138519116</v>
      </c>
      <c r="Y70" s="18">
        <f t="shared" si="47"/>
        <v>-1.6644465424289491E-4</v>
      </c>
      <c r="Z70" s="32" t="str">
        <f t="shared" si="36"/>
        <v>0.999999999298254+0.0000704469705384418i</v>
      </c>
      <c r="AA70" s="18">
        <f t="shared" si="48"/>
        <v>1.0000000017796418</v>
      </c>
      <c r="AB70" s="18">
        <f t="shared" si="49"/>
        <v>7.044697047134018E-5</v>
      </c>
      <c r="AC70" s="68" t="str">
        <f t="shared" si="50"/>
        <v>119.89219512386-37.4474830133539i</v>
      </c>
      <c r="AD70" s="66">
        <f t="shared" si="51"/>
        <v>41.980093524329682</v>
      </c>
      <c r="AE70" s="63">
        <f t="shared" si="52"/>
        <v>-17.345827010025044</v>
      </c>
      <c r="AF70" s="32" t="str">
        <f t="shared" si="37"/>
        <v>-0.434440565864413</v>
      </c>
      <c r="AG70" s="32" t="str">
        <f t="shared" si="38"/>
        <v>0.00543025689482073i</v>
      </c>
      <c r="AH70" s="32">
        <f t="shared" si="53"/>
        <v>5.4302568948207302E-3</v>
      </c>
      <c r="AI70" s="32">
        <f t="shared" si="54"/>
        <v>1.5707963267948966</v>
      </c>
      <c r="AJ70" s="32" t="str">
        <f t="shared" si="39"/>
        <v>1+0.0000537649197507003i</v>
      </c>
      <c r="AK70" s="32">
        <f t="shared" si="55"/>
        <v>1.0000000014453332</v>
      </c>
      <c r="AL70" s="32">
        <f t="shared" si="56"/>
        <v>5.3764919698894816E-5</v>
      </c>
      <c r="AM70" s="32" t="str">
        <f t="shared" si="40"/>
        <v>1+0.00543025689482073i</v>
      </c>
      <c r="AN70" s="32">
        <f t="shared" si="57"/>
        <v>1.000014743736283</v>
      </c>
      <c r="AO70" s="32">
        <f t="shared" si="58"/>
        <v>5.4302035205211815E-3</v>
      </c>
      <c r="AP70" s="60" t="str">
        <f t="shared" si="59"/>
        <v>-0.430139172879792+80.0037088228841i</v>
      </c>
      <c r="AQ70" s="51">
        <f t="shared" si="60"/>
        <v>38.062327949000618</v>
      </c>
      <c r="AR70" s="63">
        <f t="shared" si="61"/>
        <v>90.308047240638331</v>
      </c>
      <c r="AS70" s="60" t="str">
        <f t="shared" si="62"/>
        <v>2944.36719750494+9607.92789819549i</v>
      </c>
      <c r="AT70" s="66">
        <f t="shared" si="63"/>
        <v>80.042421473330293</v>
      </c>
      <c r="AU70" s="63">
        <f t="shared" si="64"/>
        <v>72.962220230613312</v>
      </c>
      <c r="AX70" s="32">
        <f t="shared" si="65"/>
        <v>0</v>
      </c>
      <c r="AY70" s="32">
        <f t="shared" si="66"/>
        <v>0</v>
      </c>
    </row>
    <row r="71" spans="1:51" x14ac:dyDescent="0.3">
      <c r="N71" s="11">
        <v>53</v>
      </c>
      <c r="O71" s="52">
        <f t="shared" si="41"/>
        <v>33.884415613920268</v>
      </c>
      <c r="P71" s="50" t="str">
        <f t="shared" si="32"/>
        <v>131.578947368421</v>
      </c>
      <c r="Q71" s="18" t="str">
        <f t="shared" si="33"/>
        <v>1+0.319353093491625i</v>
      </c>
      <c r="R71" s="18">
        <f t="shared" si="42"/>
        <v>1.0497553992824569</v>
      </c>
      <c r="S71" s="18">
        <f t="shared" si="43"/>
        <v>0.30911601789711363</v>
      </c>
      <c r="T71" s="18" t="str">
        <f t="shared" si="34"/>
        <v>1+7.02576805681575E-07i</v>
      </c>
      <c r="U71" s="18">
        <f t="shared" si="44"/>
        <v>1.0000000000002469</v>
      </c>
      <c r="V71" s="18">
        <f t="shared" si="45"/>
        <v>7.0257680568145938E-7</v>
      </c>
      <c r="W71" s="32" t="str">
        <f t="shared" si="35"/>
        <v>1-0.0001703216498622i</v>
      </c>
      <c r="X71" s="18">
        <f t="shared" si="46"/>
        <v>1.0000000145047321</v>
      </c>
      <c r="Y71" s="18">
        <f t="shared" si="47"/>
        <v>-1.7032164821522008E-4</v>
      </c>
      <c r="Z71" s="32" t="str">
        <f t="shared" si="36"/>
        <v>0.999999999265182+0.000072087891279396i</v>
      </c>
      <c r="AA71" s="18">
        <f t="shared" si="48"/>
        <v>1.000000001863514</v>
      </c>
      <c r="AB71" s="18">
        <f t="shared" si="49"/>
        <v>7.2087891207495296E-5</v>
      </c>
      <c r="AC71" s="68" t="str">
        <f t="shared" si="50"/>
        <v>119.392388896167-38.1601322811511i</v>
      </c>
      <c r="AD71" s="66">
        <f t="shared" si="51"/>
        <v>41.961965923111137</v>
      </c>
      <c r="AE71" s="63">
        <f t="shared" si="52"/>
        <v>-17.724891994231868</v>
      </c>
      <c r="AF71" s="32" t="str">
        <f t="shared" si="37"/>
        <v>-0.434440565864413</v>
      </c>
      <c r="AG71" s="32" t="str">
        <f t="shared" si="38"/>
        <v>0.00555674382675428i</v>
      </c>
      <c r="AH71" s="32">
        <f t="shared" si="53"/>
        <v>5.5567438267542799E-3</v>
      </c>
      <c r="AI71" s="32">
        <f t="shared" si="54"/>
        <v>1.5707963267948966</v>
      </c>
      <c r="AJ71" s="32" t="str">
        <f t="shared" si="39"/>
        <v>1+0.0000550172656114285i</v>
      </c>
      <c r="AK71" s="32">
        <f t="shared" si="55"/>
        <v>1.0000000015134498</v>
      </c>
      <c r="AL71" s="32">
        <f t="shared" si="56"/>
        <v>5.5017265555917925E-5</v>
      </c>
      <c r="AM71" s="32" t="str">
        <f t="shared" si="40"/>
        <v>1+0.00555674382675428i</v>
      </c>
      <c r="AN71" s="32">
        <f t="shared" si="57"/>
        <v>1.0000154385818032</v>
      </c>
      <c r="AO71" s="32">
        <f t="shared" si="58"/>
        <v>5.5566866352095966E-3</v>
      </c>
      <c r="AP71" s="60" t="str">
        <f t="shared" si="59"/>
        <v>-0.430139172821193+78.1826031413374i</v>
      </c>
      <c r="AQ71" s="51">
        <f t="shared" si="60"/>
        <v>37.862333983669416</v>
      </c>
      <c r="AR71" s="63">
        <f t="shared" si="61"/>
        <v>90.315222435157551</v>
      </c>
      <c r="AS71" s="60" t="str">
        <f t="shared" si="62"/>
        <v>2932.10313455723+9350.8219268994i</v>
      </c>
      <c r="AT71" s="66">
        <f t="shared" si="63"/>
        <v>79.824299906780539</v>
      </c>
      <c r="AU71" s="63">
        <f t="shared" si="64"/>
        <v>72.590330440925683</v>
      </c>
      <c r="AX71" s="32">
        <f t="shared" si="65"/>
        <v>0</v>
      </c>
      <c r="AY71" s="32">
        <f t="shared" si="66"/>
        <v>0</v>
      </c>
    </row>
    <row r="72" spans="1:51" x14ac:dyDescent="0.3">
      <c r="N72" s="11">
        <v>54</v>
      </c>
      <c r="O72" s="52">
        <f t="shared" si="41"/>
        <v>34.67368504525318</v>
      </c>
      <c r="P72" s="50" t="str">
        <f t="shared" si="32"/>
        <v>131.578947368421</v>
      </c>
      <c r="Q72" s="18" t="str">
        <f t="shared" si="33"/>
        <v>1+0.32679178263316i</v>
      </c>
      <c r="R72" s="18">
        <f t="shared" si="42"/>
        <v>1.0520422373633858</v>
      </c>
      <c r="S72" s="18">
        <f t="shared" si="43"/>
        <v>0.3158516506613166</v>
      </c>
      <c r="T72" s="18" t="str">
        <f t="shared" si="34"/>
        <v>1+7.18941921792953E-07i</v>
      </c>
      <c r="U72" s="18">
        <f t="shared" si="44"/>
        <v>1.0000000000002585</v>
      </c>
      <c r="V72" s="18">
        <f t="shared" si="45"/>
        <v>7.1894192179282912E-7</v>
      </c>
      <c r="W72" s="32" t="str">
        <f t="shared" si="35"/>
        <v>1-0.000174288950737686i</v>
      </c>
      <c r="X72" s="18">
        <f t="shared" si="46"/>
        <v>1.000000015188319</v>
      </c>
      <c r="Y72" s="18">
        <f t="shared" si="47"/>
        <v>-1.742889489729152E-4</v>
      </c>
      <c r="Z72" s="32" t="str">
        <f t="shared" si="36"/>
        <v>0.999999999230551+0.0000737670339745029i</v>
      </c>
      <c r="AA72" s="18">
        <f t="shared" si="48"/>
        <v>1.0000000019513386</v>
      </c>
      <c r="AB72" s="18">
        <f t="shared" si="49"/>
        <v>7.3767033897459899E-5</v>
      </c>
      <c r="AC72" s="68" t="str">
        <f t="shared" si="50"/>
        <v>118.873470837949-38.8794177905165i</v>
      </c>
      <c r="AD72" s="66">
        <f t="shared" si="51"/>
        <v>41.943064745143488</v>
      </c>
      <c r="AE72" s="63">
        <f t="shared" si="52"/>
        <v>-18.111137903697493</v>
      </c>
      <c r="AF72" s="32" t="str">
        <f t="shared" si="37"/>
        <v>-0.434440565864413</v>
      </c>
      <c r="AG72" s="32" t="str">
        <f t="shared" si="38"/>
        <v>0.005686177017817i</v>
      </c>
      <c r="AH72" s="32">
        <f t="shared" si="53"/>
        <v>5.6861770178170002E-3</v>
      </c>
      <c r="AI72" s="32">
        <f t="shared" si="54"/>
        <v>1.5707963267948966</v>
      </c>
      <c r="AJ72" s="32" t="str">
        <f t="shared" si="39"/>
        <v>1+0.0000562987823546237i</v>
      </c>
      <c r="AK72" s="32">
        <f t="shared" si="55"/>
        <v>1.0000000015847763</v>
      </c>
      <c r="AL72" s="32">
        <f t="shared" si="56"/>
        <v>5.6298782295143041E-5</v>
      </c>
      <c r="AM72" s="32" t="str">
        <f t="shared" si="40"/>
        <v>1+0.005686177017817i</v>
      </c>
      <c r="AN72" s="32">
        <f t="shared" si="57"/>
        <v>1.0000161661738662</v>
      </c>
      <c r="AO72" s="32">
        <f t="shared" si="58"/>
        <v>5.686115736026281E-3</v>
      </c>
      <c r="AP72" s="60" t="str">
        <f t="shared" si="59"/>
        <v>-0.430139172759832+76.4029509108451i</v>
      </c>
      <c r="AQ72" s="51">
        <f t="shared" si="60"/>
        <v>37.662340302734371</v>
      </c>
      <c r="AR72" s="63">
        <f t="shared" si="61"/>
        <v>90.322564750879977</v>
      </c>
      <c r="AS72" s="60" t="str">
        <f t="shared" si="62"/>
        <v>2919.37011248174+9099.00751763939i</v>
      </c>
      <c r="AT72" s="66">
        <f t="shared" si="63"/>
        <v>79.605405047877852</v>
      </c>
      <c r="AU72" s="63">
        <f t="shared" si="64"/>
        <v>72.211426847182523</v>
      </c>
      <c r="AX72" s="32">
        <f t="shared" si="65"/>
        <v>0</v>
      </c>
      <c r="AY72" s="32">
        <f t="shared" si="66"/>
        <v>0</v>
      </c>
    </row>
    <row r="73" spans="1:51" x14ac:dyDescent="0.3">
      <c r="N73" s="11">
        <v>55</v>
      </c>
      <c r="O73" s="52">
        <f t="shared" si="41"/>
        <v>35.481338923357555</v>
      </c>
      <c r="P73" s="50" t="str">
        <f t="shared" si="32"/>
        <v>131.578947368421</v>
      </c>
      <c r="Q73" s="18" t="str">
        <f t="shared" si="33"/>
        <v>1+0.334403741103448i</v>
      </c>
      <c r="R73" s="18">
        <f t="shared" si="42"/>
        <v>1.0544315350291749</v>
      </c>
      <c r="S73" s="18">
        <f t="shared" si="43"/>
        <v>0.32271361183266217</v>
      </c>
      <c r="T73" s="18" t="str">
        <f t="shared" si="34"/>
        <v>1+7.35688230427587E-07i</v>
      </c>
      <c r="U73" s="18">
        <f t="shared" si="44"/>
        <v>1.0000000000002707</v>
      </c>
      <c r="V73" s="18">
        <f t="shared" si="45"/>
        <v>7.356882304274542E-7</v>
      </c>
      <c r="W73" s="32" t="str">
        <f t="shared" si="35"/>
        <v>1-0.000178348661921839i</v>
      </c>
      <c r="X73" s="18">
        <f t="shared" si="46"/>
        <v>1.0000000159041225</v>
      </c>
      <c r="Y73" s="18">
        <f t="shared" si="47"/>
        <v>-1.7834866003085305E-4</v>
      </c>
      <c r="Z73" s="32" t="str">
        <f t="shared" si="36"/>
        <v>0.999999999194288+0.0000754852889274451i</v>
      </c>
      <c r="AA73" s="18">
        <f t="shared" si="48"/>
        <v>1.0000000020433022</v>
      </c>
      <c r="AB73" s="18">
        <f t="shared" si="49"/>
        <v>7.5485288844892056E-5</v>
      </c>
      <c r="AC73" s="68" t="str">
        <f t="shared" si="50"/>
        <v>118.334905688851-39.604937568298i</v>
      </c>
      <c r="AD73" s="66">
        <f t="shared" si="51"/>
        <v>41.923360555798837</v>
      </c>
      <c r="AE73" s="63">
        <f t="shared" si="52"/>
        <v>-18.504629411571724</v>
      </c>
      <c r="AF73" s="32" t="str">
        <f t="shared" si="37"/>
        <v>-0.434440565864413</v>
      </c>
      <c r="AG73" s="32" t="str">
        <f t="shared" si="38"/>
        <v>0.00581862509520001i</v>
      </c>
      <c r="AH73" s="32">
        <f t="shared" si="53"/>
        <v>5.8186250952000102E-3</v>
      </c>
      <c r="AI73" s="32">
        <f t="shared" si="54"/>
        <v>1.5707963267948966</v>
      </c>
      <c r="AJ73" s="32" t="str">
        <f t="shared" si="39"/>
        <v>1+0.0000576101494574258i</v>
      </c>
      <c r="AK73" s="32">
        <f t="shared" si="55"/>
        <v>1.0000000016594646</v>
      </c>
      <c r="AL73" s="32">
        <f t="shared" si="56"/>
        <v>5.7610149393691129E-5</v>
      </c>
      <c r="AM73" s="32" t="str">
        <f t="shared" si="40"/>
        <v>1+0.00581862509520001i</v>
      </c>
      <c r="AN73" s="32">
        <f t="shared" si="57"/>
        <v>1.0000169280557196</v>
      </c>
      <c r="AO73" s="32">
        <f t="shared" si="58"/>
        <v>5.8185594306382283E-3</v>
      </c>
      <c r="AP73" s="60" t="str">
        <f t="shared" si="59"/>
        <v>-0.430139172695579+74.6638085362385i</v>
      </c>
      <c r="AQ73" s="51">
        <f t="shared" si="60"/>
        <v>37.462346919597842</v>
      </c>
      <c r="AR73" s="63">
        <f t="shared" si="61"/>
        <v>90.330078079804238</v>
      </c>
      <c r="AS73" s="60" t="str">
        <f t="shared" si="62"/>
        <v>2906.15499725507+8852.3703765865i</v>
      </c>
      <c r="AT73" s="66">
        <f t="shared" si="63"/>
        <v>79.385707475396686</v>
      </c>
      <c r="AU73" s="63">
        <f t="shared" si="64"/>
        <v>71.825448668232511</v>
      </c>
      <c r="AX73" s="32">
        <f t="shared" si="65"/>
        <v>0</v>
      </c>
      <c r="AY73" s="32">
        <f t="shared" si="66"/>
        <v>0</v>
      </c>
    </row>
    <row r="74" spans="1:51" x14ac:dyDescent="0.3">
      <c r="N74" s="11">
        <v>56</v>
      </c>
      <c r="O74" s="52">
        <f t="shared" si="41"/>
        <v>36.307805477010156</v>
      </c>
      <c r="P74" s="50" t="str">
        <f t="shared" si="32"/>
        <v>131.578947368421</v>
      </c>
      <c r="Q74" s="18" t="str">
        <f t="shared" si="33"/>
        <v>1+0.342193004863627i</v>
      </c>
      <c r="R74" s="18">
        <f t="shared" si="42"/>
        <v>1.0569276477496454</v>
      </c>
      <c r="S74" s="18">
        <f t="shared" si="43"/>
        <v>0.32970295399127136</v>
      </c>
      <c r="T74" s="18" t="str">
        <f t="shared" si="34"/>
        <v>1+7.52824610699981E-07i</v>
      </c>
      <c r="U74" s="18">
        <f t="shared" si="44"/>
        <v>1.0000000000002833</v>
      </c>
      <c r="V74" s="18">
        <f t="shared" si="45"/>
        <v>7.5282461069983877E-7</v>
      </c>
      <c r="W74" s="32" t="str">
        <f t="shared" si="35"/>
        <v>1-0.000182502935927268i</v>
      </c>
      <c r="X74" s="18">
        <f t="shared" si="46"/>
        <v>1.0000000166536607</v>
      </c>
      <c r="Y74" s="18">
        <f t="shared" si="47"/>
        <v>-1.8250293390104005E-4</v>
      </c>
      <c r="Z74" s="32" t="str">
        <f t="shared" si="36"/>
        <v>0.999999999156316+0.0000772435671797428i</v>
      </c>
      <c r="AA74" s="18">
        <f t="shared" si="48"/>
        <v>1.0000000021396003</v>
      </c>
      <c r="AB74" s="18">
        <f t="shared" si="49"/>
        <v>7.7243567091285598E-5</v>
      </c>
      <c r="AC74" s="68" t="str">
        <f t="shared" si="50"/>
        <v>117.776160133139-40.3362562526856i</v>
      </c>
      <c r="AD74" s="66">
        <f t="shared" si="51"/>
        <v>41.902823108734466</v>
      </c>
      <c r="AE74" s="63">
        <f t="shared" si="52"/>
        <v>-18.905427001273072</v>
      </c>
      <c r="AF74" s="32" t="str">
        <f t="shared" si="37"/>
        <v>-0.434440565864413</v>
      </c>
      <c r="AG74" s="32" t="str">
        <f t="shared" si="38"/>
        <v>0.00595415828462712i</v>
      </c>
      <c r="AH74" s="32">
        <f t="shared" si="53"/>
        <v>5.9541582846271198E-3</v>
      </c>
      <c r="AI74" s="32">
        <f t="shared" si="54"/>
        <v>1.5707963267948966</v>
      </c>
      <c r="AJ74" s="32" t="str">
        <f t="shared" si="39"/>
        <v>1+0.0000589520622240309i</v>
      </c>
      <c r="AK74" s="32">
        <f t="shared" si="55"/>
        <v>1.0000000017376727</v>
      </c>
      <c r="AL74" s="32">
        <f t="shared" si="56"/>
        <v>5.8952062155737968E-5</v>
      </c>
      <c r="AM74" s="32" t="str">
        <f t="shared" si="40"/>
        <v>1+0.00595415828462712i</v>
      </c>
      <c r="AN74" s="32">
        <f t="shared" si="57"/>
        <v>1.0000177258433365</v>
      </c>
      <c r="AO74" s="32">
        <f t="shared" si="58"/>
        <v>5.9540879238488597E-3</v>
      </c>
      <c r="AP74" s="60" t="str">
        <f t="shared" si="59"/>
        <v>-0.430139172628299+72.96425390121i</v>
      </c>
      <c r="AQ74" s="51">
        <f t="shared" si="60"/>
        <v>37.262353848293657</v>
      </c>
      <c r="AR74" s="63">
        <f t="shared" si="61"/>
        <v>90.337766404531223</v>
      </c>
      <c r="AS74" s="60" t="str">
        <f t="shared" si="62"/>
        <v>2892.44470257022+8610.79985535538i</v>
      </c>
      <c r="AT74" s="66">
        <f t="shared" si="63"/>
        <v>79.165176957028137</v>
      </c>
      <c r="AU74" s="63">
        <f t="shared" si="64"/>
        <v>71.432339403258155</v>
      </c>
      <c r="AX74" s="32">
        <f t="shared" si="65"/>
        <v>0</v>
      </c>
      <c r="AY74" s="32">
        <f t="shared" si="66"/>
        <v>0</v>
      </c>
    </row>
    <row r="75" spans="1:51" x14ac:dyDescent="0.3">
      <c r="N75" s="11">
        <v>57</v>
      </c>
      <c r="O75" s="52">
        <f t="shared" si="41"/>
        <v>37.15352290971726</v>
      </c>
      <c r="P75" s="50" t="str">
        <f t="shared" si="32"/>
        <v>131.578947368421</v>
      </c>
      <c r="Q75" s="18" t="str">
        <f t="shared" si="33"/>
        <v>1+0.350163703884444i</v>
      </c>
      <c r="R75" s="18">
        <f t="shared" si="42"/>
        <v>1.0595350959350391</v>
      </c>
      <c r="S75" s="18">
        <f t="shared" si="43"/>
        <v>0.336820650591793</v>
      </c>
      <c r="T75" s="18" t="str">
        <f t="shared" si="34"/>
        <v>1+7.70360148545777E-07i</v>
      </c>
      <c r="U75" s="18">
        <f t="shared" si="44"/>
        <v>1.0000000000002967</v>
      </c>
      <c r="V75" s="18">
        <f t="shared" si="45"/>
        <v>7.7036014854562467E-7</v>
      </c>
      <c r="W75" s="32" t="str">
        <f t="shared" si="35"/>
        <v>1-0.000186753975405037i</v>
      </c>
      <c r="X75" s="18">
        <f t="shared" si="46"/>
        <v>1.0000000174385235</v>
      </c>
      <c r="Y75" s="18">
        <f t="shared" si="47"/>
        <v>-1.8675397323389463E-4</v>
      </c>
      <c r="Z75" s="32" t="str">
        <f t="shared" si="36"/>
        <v>0.999999999116554+0.0000790428009937984i</v>
      </c>
      <c r="AA75" s="18">
        <f t="shared" si="48"/>
        <v>1.0000000022404361</v>
      </c>
      <c r="AB75" s="18">
        <f t="shared" si="49"/>
        <v>7.9042800899014839E-5</v>
      </c>
      <c r="AC75" s="68" t="str">
        <f t="shared" si="50"/>
        <v>117.196704538902-41.0729040410916i</v>
      </c>
      <c r="AD75" s="66">
        <f t="shared" si="51"/>
        <v>41.881421350150525</v>
      </c>
      <c r="AE75" s="63">
        <f t="shared" si="52"/>
        <v>-19.313586626741184</v>
      </c>
      <c r="AF75" s="32" t="str">
        <f t="shared" si="37"/>
        <v>-0.434440565864413</v>
      </c>
      <c r="AG75" s="32" t="str">
        <f t="shared" si="38"/>
        <v>0.00609284844758933i</v>
      </c>
      <c r="AH75" s="32">
        <f t="shared" si="53"/>
        <v>6.0928484475893298E-3</v>
      </c>
      <c r="AI75" s="32">
        <f t="shared" si="54"/>
        <v>1.5707963267948966</v>
      </c>
      <c r="AJ75" s="32" t="str">
        <f t="shared" si="39"/>
        <v>1+0.0000603252321543498i</v>
      </c>
      <c r="AK75" s="32">
        <f t="shared" si="55"/>
        <v>1.0000000018195667</v>
      </c>
      <c r="AL75" s="32">
        <f t="shared" si="56"/>
        <v>6.0325232081172601E-5</v>
      </c>
      <c r="AM75" s="32" t="str">
        <f t="shared" si="40"/>
        <v>1+0.00609284844758933i</v>
      </c>
      <c r="AN75" s="32">
        <f t="shared" si="57"/>
        <v>1.000018561228843</v>
      </c>
      <c r="AO75" s="32">
        <f t="shared" si="58"/>
        <v>6.0927730547326699E-3</v>
      </c>
      <c r="AP75" s="60" t="str">
        <f t="shared" si="59"/>
        <v>-0.430139172557847+71.303385879396i</v>
      </c>
      <c r="AQ75" s="51">
        <f t="shared" si="60"/>
        <v>37.062361103516992</v>
      </c>
      <c r="AR75" s="63">
        <f t="shared" si="61"/>
        <v>90.345633800370805</v>
      </c>
      <c r="AS75" s="60" t="str">
        <f t="shared" si="62"/>
        <v>2878.22623251249+8374.18891248967i</v>
      </c>
      <c r="AT75" s="66">
        <f t="shared" si="63"/>
        <v>78.943782453667509</v>
      </c>
      <c r="AU75" s="63">
        <f t="shared" si="64"/>
        <v>71.032047173629607</v>
      </c>
      <c r="AX75" s="32">
        <f t="shared" si="65"/>
        <v>0</v>
      </c>
      <c r="AY75" s="32">
        <f t="shared" si="66"/>
        <v>0</v>
      </c>
    </row>
    <row r="76" spans="1:51" x14ac:dyDescent="0.3">
      <c r="N76" s="11">
        <v>58</v>
      </c>
      <c r="O76" s="52">
        <f t="shared" si="41"/>
        <v>38.018939632056139</v>
      </c>
      <c r="P76" s="50" t="str">
        <f t="shared" si="32"/>
        <v>131.578947368421</v>
      </c>
      <c r="Q76" s="18" t="str">
        <f t="shared" si="33"/>
        <v>1+0.358320064336024i</v>
      </c>
      <c r="R76" s="18">
        <f t="shared" si="42"/>
        <v>1.0622585695139259</v>
      </c>
      <c r="S76" s="18">
        <f t="shared" si="43"/>
        <v>0.34406758985362507</v>
      </c>
      <c r="T76" s="18" t="str">
        <f t="shared" si="34"/>
        <v>1+7.88304141539254E-07i</v>
      </c>
      <c r="U76" s="18">
        <f t="shared" si="44"/>
        <v>1.0000000000003109</v>
      </c>
      <c r="V76" s="18">
        <f t="shared" si="45"/>
        <v>7.8830414153909076E-7</v>
      </c>
      <c r="W76" s="32" t="str">
        <f t="shared" si="35"/>
        <v>1-0.000191104034312546i</v>
      </c>
      <c r="X76" s="18">
        <f t="shared" si="46"/>
        <v>1.0000000182603759</v>
      </c>
      <c r="Y76" s="18">
        <f t="shared" si="47"/>
        <v>-1.9110403198612503E-4</v>
      </c>
      <c r="Z76" s="32" t="str">
        <f t="shared" si="36"/>
        <v>0.999999999074919+0.0000808839443471961i</v>
      </c>
      <c r="AA76" s="18">
        <f t="shared" si="48"/>
        <v>1.0000000023460252</v>
      </c>
      <c r="AB76" s="18">
        <f t="shared" si="49"/>
        <v>8.088394424563366E-5</v>
      </c>
      <c r="AC76" s="68" t="str">
        <f t="shared" si="50"/>
        <v>116.596014831523-41.8143757032661i</v>
      </c>
      <c r="AD76" s="66">
        <f t="shared" si="51"/>
        <v>41.859123425790941</v>
      </c>
      <c r="AE76" s="63">
        <f t="shared" si="52"/>
        <v>-19.729159362467048</v>
      </c>
      <c r="AF76" s="32" t="str">
        <f t="shared" si="37"/>
        <v>-0.434440565864413</v>
      </c>
      <c r="AG76" s="32" t="str">
        <f t="shared" si="38"/>
        <v>0.00623476911944683i</v>
      </c>
      <c r="AH76" s="32">
        <f t="shared" si="53"/>
        <v>6.2347691194468303E-3</v>
      </c>
      <c r="AI76" s="32">
        <f t="shared" si="54"/>
        <v>1.5707963267948966</v>
      </c>
      <c r="AJ76" s="32" t="str">
        <f t="shared" si="39"/>
        <v>1+0.0000617303873212558i</v>
      </c>
      <c r="AK76" s="32">
        <f t="shared" si="55"/>
        <v>1.0000000019053203</v>
      </c>
      <c r="AL76" s="32">
        <f t="shared" si="56"/>
        <v>6.1730387242845029E-5</v>
      </c>
      <c r="AM76" s="32" t="str">
        <f t="shared" si="40"/>
        <v>1+0.00623476911944683i</v>
      </c>
      <c r="AN76" s="32">
        <f t="shared" si="57"/>
        <v>1.0000194359841077</v>
      </c>
      <c r="AO76" s="32">
        <f t="shared" si="58"/>
        <v>6.2346883346302423E-3</v>
      </c>
      <c r="AP76" s="60" t="str">
        <f t="shared" si="59"/>
        <v>-0.430139172484076+69.680323856587i</v>
      </c>
      <c r="AQ76" s="51">
        <f t="shared" si="60"/>
        <v>36.862368700655466</v>
      </c>
      <c r="AR76" s="63">
        <f t="shared" si="61"/>
        <v>90.353684437497023</v>
      </c>
      <c r="AS76" s="60" t="str">
        <f t="shared" si="62"/>
        <v>2863.48672753001+8142.43407481088i</v>
      </c>
      <c r="AT76" s="66">
        <f t="shared" si="63"/>
        <v>78.721492126446407</v>
      </c>
      <c r="AU76" s="63">
        <f t="shared" si="64"/>
        <v>70.624525075029993</v>
      </c>
      <c r="AX76" s="32">
        <f t="shared" si="65"/>
        <v>0</v>
      </c>
      <c r="AY76" s="32">
        <f t="shared" si="66"/>
        <v>0</v>
      </c>
    </row>
    <row r="77" spans="1:51" x14ac:dyDescent="0.3">
      <c r="N77" s="11">
        <v>59</v>
      </c>
      <c r="O77" s="52">
        <f t="shared" si="41"/>
        <v>38.904514499428053</v>
      </c>
      <c r="P77" s="50" t="str">
        <f t="shared" si="32"/>
        <v>131.578947368421</v>
      </c>
      <c r="Q77" s="18" t="str">
        <f t="shared" si="33"/>
        <v>1+0.366666410828643i</v>
      </c>
      <c r="R77" s="18">
        <f t="shared" si="42"/>
        <v>1.0651029325046286</v>
      </c>
      <c r="S77" s="18">
        <f t="shared" si="43"/>
        <v>0.35144456848519678</v>
      </c>
      <c r="T77" s="18" t="str">
        <f t="shared" si="34"/>
        <v>1+8.06666103823015E-07i</v>
      </c>
      <c r="U77" s="18">
        <f t="shared" si="44"/>
        <v>1.0000000000003255</v>
      </c>
      <c r="V77" s="18">
        <f t="shared" si="45"/>
        <v>8.0666610382284E-7</v>
      </c>
      <c r="W77" s="32" t="str">
        <f t="shared" si="35"/>
        <v>1-0.00019555541910861i</v>
      </c>
      <c r="X77" s="18">
        <f t="shared" si="46"/>
        <v>1.0000000191209608</v>
      </c>
      <c r="Y77" s="18">
        <f t="shared" si="47"/>
        <v>-1.9555541661580501E-4</v>
      </c>
      <c r="Z77" s="32" t="str">
        <f t="shared" si="36"/>
        <v>0.999999999031321+0.0000827679734385123i</v>
      </c>
      <c r="AA77" s="18">
        <f t="shared" si="48"/>
        <v>1.0000000024565896</v>
      </c>
      <c r="AB77" s="18">
        <f t="shared" si="49"/>
        <v>8.2767973329686193E-5</v>
      </c>
      <c r="AC77" s="68" t="str">
        <f t="shared" si="50"/>
        <v>115.973574502918-42.5601296724931i</v>
      </c>
      <c r="AD77" s="66">
        <f t="shared" si="51"/>
        <v>41.835896690892525</v>
      </c>
      <c r="AE77" s="63">
        <f t="shared" si="52"/>
        <v>-20.152191044018579</v>
      </c>
      <c r="AF77" s="32" t="str">
        <f t="shared" si="37"/>
        <v>-0.434440565864413</v>
      </c>
      <c r="AG77" s="32" t="str">
        <f t="shared" si="38"/>
        <v>0.00637999554841839i</v>
      </c>
      <c r="AH77" s="32">
        <f t="shared" si="53"/>
        <v>6.37999554841839E-3</v>
      </c>
      <c r="AI77" s="32">
        <f t="shared" si="54"/>
        <v>1.5707963267948966</v>
      </c>
      <c r="AJ77" s="32" t="str">
        <f t="shared" si="39"/>
        <v>1+0.0000631682727566178i</v>
      </c>
      <c r="AK77" s="32">
        <f t="shared" si="55"/>
        <v>1.0000000019951152</v>
      </c>
      <c r="AL77" s="32">
        <f t="shared" si="56"/>
        <v>6.3168272672599142E-5</v>
      </c>
      <c r="AM77" s="32" t="str">
        <f t="shared" si="40"/>
        <v>1+0.00637999554841839i</v>
      </c>
      <c r="AN77" s="32">
        <f t="shared" si="57"/>
        <v>1.0000203519644977</v>
      </c>
      <c r="AO77" s="32">
        <f t="shared" si="58"/>
        <v>6.3799089860229917E-3</v>
      </c>
      <c r="AP77" s="60" t="str">
        <f t="shared" si="59"/>
        <v>-0.430139172406827+68.0942072638149i</v>
      </c>
      <c r="AQ77" s="51">
        <f t="shared" si="60"/>
        <v>36.662376655821795</v>
      </c>
      <c r="AR77" s="63">
        <f t="shared" si="61"/>
        <v>90.361922583153429</v>
      </c>
      <c r="AS77" s="60" t="str">
        <f t="shared" si="62"/>
        <v>2848.21351373584+7915.43539828203i</v>
      </c>
      <c r="AT77" s="66">
        <f t="shared" si="63"/>
        <v>78.498273346714328</v>
      </c>
      <c r="AU77" s="63">
        <f t="shared" si="64"/>
        <v>70.209731539134836</v>
      </c>
      <c r="AX77" s="32">
        <f t="shared" si="65"/>
        <v>0</v>
      </c>
      <c r="AY77" s="32">
        <f t="shared" si="66"/>
        <v>0</v>
      </c>
    </row>
    <row r="78" spans="1:51" x14ac:dyDescent="0.3">
      <c r="N78" s="11">
        <v>60</v>
      </c>
      <c r="O78" s="52">
        <f t="shared" si="41"/>
        <v>39.810717055349755</v>
      </c>
      <c r="P78" s="50" t="str">
        <f t="shared" si="32"/>
        <v>131.578947368421</v>
      </c>
      <c r="Q78" s="18" t="str">
        <f t="shared" si="33"/>
        <v>1+0.375207168705685i</v>
      </c>
      <c r="R78" s="18">
        <f t="shared" si="42"/>
        <v>1.0680732275682863</v>
      </c>
      <c r="S78" s="18">
        <f t="shared" si="43"/>
        <v>0.35895228525714018</v>
      </c>
      <c r="T78" s="18" t="str">
        <f t="shared" si="34"/>
        <v>1+8.25455771152508E-07i</v>
      </c>
      <c r="U78" s="18">
        <f t="shared" si="44"/>
        <v>1.0000000000003406</v>
      </c>
      <c r="V78" s="18">
        <f t="shared" si="45"/>
        <v>8.254557711523205E-7</v>
      </c>
      <c r="W78" s="32" t="str">
        <f t="shared" si="35"/>
        <v>1-0.000200110489976366i</v>
      </c>
      <c r="X78" s="18">
        <f t="shared" si="46"/>
        <v>1.000000020022104</v>
      </c>
      <c r="Y78" s="18">
        <f t="shared" si="47"/>
        <v>-2.0011048730527735E-4</v>
      </c>
      <c r="Z78" s="32" t="str">
        <f t="shared" si="36"/>
        <v>0.999999998985668+0.0000846958872049091i</v>
      </c>
      <c r="AA78" s="18">
        <f t="shared" si="48"/>
        <v>1.0000000025723648</v>
      </c>
      <c r="AB78" s="18">
        <f t="shared" si="49"/>
        <v>8.4695887088299872E-5</v>
      </c>
      <c r="AC78" s="68" t="str">
        <f t="shared" si="50"/>
        <v>115.328876757058-43.3095872285174i</v>
      </c>
      <c r="AD78" s="66">
        <f t="shared" si="51"/>
        <v>41.811707723289928</v>
      </c>
      <c r="AE78" s="63">
        <f t="shared" si="52"/>
        <v>-20.582721899909416</v>
      </c>
      <c r="AF78" s="32" t="str">
        <f t="shared" si="37"/>
        <v>-0.434440565864413</v>
      </c>
      <c r="AG78" s="32" t="str">
        <f t="shared" si="38"/>
        <v>0.00652860473547893i</v>
      </c>
      <c r="AH78" s="32">
        <f t="shared" si="53"/>
        <v>6.5286047354789298E-3</v>
      </c>
      <c r="AI78" s="32">
        <f t="shared" si="54"/>
        <v>1.5707963267948966</v>
      </c>
      <c r="AJ78" s="32" t="str">
        <f t="shared" si="39"/>
        <v>1+0.0000646396508463261i</v>
      </c>
      <c r="AK78" s="32">
        <f t="shared" si="55"/>
        <v>1.0000000020891422</v>
      </c>
      <c r="AL78" s="32">
        <f t="shared" si="56"/>
        <v>6.4639650756298473E-5</v>
      </c>
      <c r="AM78" s="32" t="str">
        <f t="shared" si="40"/>
        <v>1+0.00652860473547893i</v>
      </c>
      <c r="AN78" s="32">
        <f t="shared" si="57"/>
        <v>1.0000213111128142</v>
      </c>
      <c r="AO78" s="32">
        <f t="shared" si="58"/>
        <v>6.5285119823079085E-3</v>
      </c>
      <c r="AP78" s="60" t="str">
        <f t="shared" si="59"/>
        <v>-0.430139172325937+66.5441951210681i</v>
      </c>
      <c r="AQ78" s="51">
        <f t="shared" si="60"/>
        <v>36.462384985888022</v>
      </c>
      <c r="AR78" s="63">
        <f t="shared" si="61"/>
        <v>90.370352603909296</v>
      </c>
      <c r="AS78" s="60" t="str">
        <f t="shared" si="62"/>
        <v>2832.39415555382+7693.09642801954i</v>
      </c>
      <c r="AT78" s="66">
        <f t="shared" si="63"/>
        <v>78.27409270917795</v>
      </c>
      <c r="AU78" s="63">
        <f t="shared" si="64"/>
        <v>69.787630703999895</v>
      </c>
      <c r="AX78" s="32">
        <f t="shared" si="65"/>
        <v>0</v>
      </c>
      <c r="AY78" s="32">
        <f t="shared" si="66"/>
        <v>0</v>
      </c>
    </row>
    <row r="79" spans="1:51" x14ac:dyDescent="0.3">
      <c r="N79" s="11">
        <v>61</v>
      </c>
      <c r="O79" s="52">
        <f t="shared" si="41"/>
        <v>40.738027780411279</v>
      </c>
      <c r="P79" s="50" t="str">
        <f t="shared" si="32"/>
        <v>131.578947368421</v>
      </c>
      <c r="Q79" s="18" t="str">
        <f t="shared" si="33"/>
        <v>1+0.383946866390031i</v>
      </c>
      <c r="R79" s="18">
        <f t="shared" si="42"/>
        <v>1.0711746805310161</v>
      </c>
      <c r="S79" s="18">
        <f t="shared" si="43"/>
        <v>0.3665913344416688</v>
      </c>
      <c r="T79" s="18" t="str">
        <f t="shared" si="34"/>
        <v>1+8.44683106058068E-07i</v>
      </c>
      <c r="U79" s="18">
        <f t="shared" si="44"/>
        <v>1.0000000000003566</v>
      </c>
      <c r="V79" s="18">
        <f t="shared" si="45"/>
        <v>8.4468310605786713E-7</v>
      </c>
      <c r="W79" s="32" t="str">
        <f t="shared" si="35"/>
        <v>1-0.000204771662074683i</v>
      </c>
      <c r="X79" s="18">
        <f t="shared" si="46"/>
        <v>1.0000000209657167</v>
      </c>
      <c r="Y79" s="18">
        <f t="shared" si="47"/>
        <v>-2.0477165921255994E-4</v>
      </c>
      <c r="Z79" s="32" t="str">
        <f t="shared" si="36"/>
        <v>0.999999998937864+0.0000866687078517847i</v>
      </c>
      <c r="AA79" s="18">
        <f t="shared" si="48"/>
        <v>1.0000000026935962</v>
      </c>
      <c r="AB79" s="18">
        <f t="shared" si="49"/>
        <v>8.6668707726835677E-5</v>
      </c>
      <c r="AC79" s="68" t="str">
        <f t="shared" si="50"/>
        <v>114.661426791114-44.0621317866072i</v>
      </c>
      <c r="AD79" s="66">
        <f t="shared" si="51"/>
        <v>41.786522339881593</v>
      </c>
      <c r="AE79" s="63">
        <f t="shared" si="52"/>
        <v>-21.020786175804812</v>
      </c>
      <c r="AF79" s="32" t="str">
        <f t="shared" si="37"/>
        <v>-0.434440565864413</v>
      </c>
      <c r="AG79" s="32" t="str">
        <f t="shared" si="38"/>
        <v>0.00668067547518654i</v>
      </c>
      <c r="AH79" s="32">
        <f t="shared" si="53"/>
        <v>6.6806754751865399E-3</v>
      </c>
      <c r="AI79" s="32">
        <f t="shared" si="54"/>
        <v>1.5707963267948966</v>
      </c>
      <c r="AJ79" s="32" t="str">
        <f t="shared" si="39"/>
        <v>1+0.0000661453017345202i</v>
      </c>
      <c r="AK79" s="32">
        <f t="shared" si="55"/>
        <v>1.0000000021876003</v>
      </c>
      <c r="AL79" s="32">
        <f t="shared" si="56"/>
        <v>6.6145301638053861E-5</v>
      </c>
      <c r="AM79" s="32" t="str">
        <f t="shared" si="40"/>
        <v>1+0.00668067547518654i</v>
      </c>
      <c r="AN79" s="32">
        <f t="shared" si="57"/>
        <v>1.0000223154634125</v>
      </c>
      <c r="AO79" s="32">
        <f t="shared" si="58"/>
        <v>6.6805760884929496E-3</v>
      </c>
      <c r="AP79" s="60" t="str">
        <f t="shared" si="59"/>
        <v>-0.430139172241236+65.0294655913905i</v>
      </c>
      <c r="AQ79" s="51">
        <f t="shared" si="60"/>
        <v>36.262393708520982</v>
      </c>
      <c r="AR79" s="63">
        <f t="shared" si="61"/>
        <v>90.378978967968166</v>
      </c>
      <c r="AS79" s="60" t="str">
        <f t="shared" si="62"/>
        <v>2816.01651169256+7475.32415706636i</v>
      </c>
      <c r="AT79" s="66">
        <f t="shared" si="63"/>
        <v>78.04891604840256</v>
      </c>
      <c r="AU79" s="63">
        <f t="shared" si="64"/>
        <v>69.358192792163351</v>
      </c>
      <c r="AX79" s="32">
        <f t="shared" si="65"/>
        <v>0</v>
      </c>
      <c r="AY79" s="32">
        <f t="shared" si="66"/>
        <v>0</v>
      </c>
    </row>
    <row r="80" spans="1:51" x14ac:dyDescent="0.3">
      <c r="N80" s="11">
        <v>62</v>
      </c>
      <c r="O80" s="52">
        <f t="shared" si="41"/>
        <v>41.686938347033561</v>
      </c>
      <c r="P80" s="50" t="str">
        <f t="shared" si="32"/>
        <v>131.578947368421</v>
      </c>
      <c r="Q80" s="18" t="str">
        <f t="shared" si="33"/>
        <v>1+0.392890137785074i</v>
      </c>
      <c r="R80" s="18">
        <f t="shared" si="42"/>
        <v>1.0744127048619514</v>
      </c>
      <c r="S80" s="18">
        <f t="shared" si="43"/>
        <v>0.37436219913798907</v>
      </c>
      <c r="T80" s="18" t="str">
        <f t="shared" si="34"/>
        <v>1+8.64358303127164E-07i</v>
      </c>
      <c r="U80" s="18">
        <f t="shared" si="44"/>
        <v>1.0000000000003735</v>
      </c>
      <c r="V80" s="18">
        <f t="shared" si="45"/>
        <v>8.6435830312694872E-7</v>
      </c>
      <c r="W80" s="32" t="str">
        <f t="shared" si="35"/>
        <v>1-0.000209541406818706i</v>
      </c>
      <c r="X80" s="18">
        <f t="shared" si="46"/>
        <v>1.0000000219538003</v>
      </c>
      <c r="Y80" s="18">
        <f t="shared" si="47"/>
        <v>-2.0954140375188589E-4</v>
      </c>
      <c r="Z80" s="32" t="str">
        <f t="shared" si="36"/>
        <v>0.999999998887807+0.0000886874813947594i</v>
      </c>
      <c r="AA80" s="18">
        <f t="shared" si="48"/>
        <v>1.0000000028205416</v>
      </c>
      <c r="AB80" s="18">
        <f t="shared" si="49"/>
        <v>8.8687481260874102E-5</v>
      </c>
      <c r="AC80" s="68" t="str">
        <f t="shared" si="50"/>
        <v>113.970744210328-44.8171083078445i</v>
      </c>
      <c r="AD80" s="66">
        <f t="shared" si="51"/>
        <v>41.760305616663338</v>
      </c>
      <c r="AE80" s="63">
        <f t="shared" si="52"/>
        <v>-21.466411752200269</v>
      </c>
      <c r="AF80" s="32" t="str">
        <f t="shared" si="37"/>
        <v>-0.434440565864413</v>
      </c>
      <c r="AG80" s="32" t="str">
        <f t="shared" si="38"/>
        <v>0.0068362883974603i</v>
      </c>
      <c r="AH80" s="32">
        <f t="shared" si="53"/>
        <v>6.8362883974603002E-3</v>
      </c>
      <c r="AI80" s="32">
        <f t="shared" si="54"/>
        <v>1.5707963267948966</v>
      </c>
      <c r="AJ80" s="32" t="str">
        <f t="shared" si="39"/>
        <v>1+0.0000676860237372307i</v>
      </c>
      <c r="AK80" s="32">
        <f t="shared" si="55"/>
        <v>1.0000000022906987</v>
      </c>
      <c r="AL80" s="32">
        <f t="shared" si="56"/>
        <v>6.7686023633865171E-5</v>
      </c>
      <c r="AM80" s="32" t="str">
        <f t="shared" si="40"/>
        <v>1+0.0068362883974603i</v>
      </c>
      <c r="AN80" s="32">
        <f t="shared" si="57"/>
        <v>1.0000233671465149</v>
      </c>
      <c r="AO80" s="32">
        <f t="shared" si="58"/>
        <v>6.8361819028338305E-3</v>
      </c>
      <c r="AP80" s="60" t="str">
        <f t="shared" si="59"/>
        <v>-0.430139172152543+63.549215545136i</v>
      </c>
      <c r="AQ80" s="51">
        <f t="shared" si="60"/>
        <v>36.062402842220159</v>
      </c>
      <c r="AR80" s="63">
        <f t="shared" si="61"/>
        <v>90.387806247529852</v>
      </c>
      <c r="AS80" s="60" t="str">
        <f t="shared" si="62"/>
        <v>2799.06879440068+7262.0289835275i</v>
      </c>
      <c r="AT80" s="66">
        <f t="shared" si="63"/>
        <v>77.822708458883497</v>
      </c>
      <c r="AU80" s="63">
        <f t="shared" si="64"/>
        <v>68.921394495329551</v>
      </c>
      <c r="AX80" s="32">
        <f t="shared" si="65"/>
        <v>0</v>
      </c>
      <c r="AY80" s="32">
        <f t="shared" si="66"/>
        <v>0</v>
      </c>
    </row>
    <row r="81" spans="14:51" x14ac:dyDescent="0.3">
      <c r="N81" s="11">
        <v>63</v>
      </c>
      <c r="O81" s="52">
        <f t="shared" si="41"/>
        <v>42.657951880159267</v>
      </c>
      <c r="P81" s="50" t="str">
        <f t="shared" si="32"/>
        <v>131.578947368421</v>
      </c>
      <c r="Q81" s="18" t="str">
        <f t="shared" si="33"/>
        <v>1+0.402041724731686i</v>
      </c>
      <c r="R81" s="18">
        <f t="shared" si="42"/>
        <v>1.0777929060933871</v>
      </c>
      <c r="S81" s="18">
        <f t="shared" si="43"/>
        <v>0.38226524450635274</v>
      </c>
      <c r="T81" s="18" t="str">
        <f t="shared" si="34"/>
        <v>1+8.8449179440971E-07i</v>
      </c>
      <c r="U81" s="18">
        <f t="shared" si="44"/>
        <v>1.0000000000003912</v>
      </c>
      <c r="V81" s="18">
        <f t="shared" si="45"/>
        <v>8.8449179440947939E-7</v>
      </c>
      <c r="W81" s="32" t="str">
        <f t="shared" si="35"/>
        <v>1-0.000214422253190233i</v>
      </c>
      <c r="X81" s="18">
        <f t="shared" si="46"/>
        <v>1.0000000229884511</v>
      </c>
      <c r="Y81" s="18">
        <f t="shared" si="47"/>
        <v>-2.1442224990407606E-4</v>
      </c>
      <c r="Z81" s="32" t="str">
        <f t="shared" si="36"/>
        <v>0.999999998835391+0.0000907532782142871i</v>
      </c>
      <c r="AA81" s="18">
        <f t="shared" si="48"/>
        <v>1.0000000029534697</v>
      </c>
      <c r="AB81" s="18">
        <f t="shared" si="49"/>
        <v>9.0753278070826419E-5</v>
      </c>
      <c r="AC81" s="68" t="str">
        <f t="shared" si="50"/>
        <v>113.256365573252-45.5738228463312i</v>
      </c>
      <c r="AD81" s="66">
        <f t="shared" si="51"/>
        <v>41.733021912528734</v>
      </c>
      <c r="AE81" s="63">
        <f t="shared" si="52"/>
        <v>-21.919619756867313</v>
      </c>
      <c r="AF81" s="32" t="str">
        <f t="shared" si="37"/>
        <v>-0.434440565864413</v>
      </c>
      <c r="AG81" s="32" t="str">
        <f t="shared" si="38"/>
        <v>0.00699552601033135i</v>
      </c>
      <c r="AH81" s="32">
        <f t="shared" si="53"/>
        <v>6.9955260103313497E-3</v>
      </c>
      <c r="AI81" s="32">
        <f t="shared" si="54"/>
        <v>1.5707963267948966</v>
      </c>
      <c r="AJ81" s="32" t="str">
        <f t="shared" si="39"/>
        <v>1+0.0000692626337656569i</v>
      </c>
      <c r="AK81" s="32">
        <f t="shared" si="55"/>
        <v>1.0000000023986562</v>
      </c>
      <c r="AL81" s="32">
        <f t="shared" si="56"/>
        <v>6.9262633654898736E-5</v>
      </c>
      <c r="AM81" s="32" t="str">
        <f t="shared" si="40"/>
        <v>1+0.00699552601033135i</v>
      </c>
      <c r="AN81" s="32">
        <f t="shared" si="57"/>
        <v>1.0000244683927295</v>
      </c>
      <c r="AO81" s="32">
        <f t="shared" si="58"/>
        <v>6.9954118994339787E-3</v>
      </c>
      <c r="AP81" s="60" t="str">
        <f t="shared" si="59"/>
        <v>-0.430139172059669+62.1026601341374i</v>
      </c>
      <c r="AQ81" s="51">
        <f t="shared" si="60"/>
        <v>35.862412406356803</v>
      </c>
      <c r="AR81" s="63">
        <f t="shared" si="61"/>
        <v>90.396839121206767</v>
      </c>
      <c r="AS81" s="60" t="str">
        <f t="shared" si="62"/>
        <v>2781.53963192093+7053.12466565i</v>
      </c>
      <c r="AT81" s="66">
        <f t="shared" si="63"/>
        <v>77.595434318885538</v>
      </c>
      <c r="AU81" s="63">
        <f t="shared" si="64"/>
        <v>68.477219364339433</v>
      </c>
      <c r="AX81" s="32">
        <f t="shared" si="65"/>
        <v>0</v>
      </c>
      <c r="AY81" s="32">
        <f t="shared" si="66"/>
        <v>0</v>
      </c>
    </row>
    <row r="82" spans="14:51" x14ac:dyDescent="0.3">
      <c r="N82" s="11">
        <v>64</v>
      </c>
      <c r="O82" s="52">
        <f t="shared" si="41"/>
        <v>43.651583224016633</v>
      </c>
      <c r="P82" s="50" t="str">
        <f t="shared" si="32"/>
        <v>131.578947368421</v>
      </c>
      <c r="Q82" s="18" t="str">
        <f t="shared" si="33"/>
        <v>1+0.411406479522402i</v>
      </c>
      <c r="R82" s="18">
        <f t="shared" si="42"/>
        <v>1.0813210861686813</v>
      </c>
      <c r="S82" s="18">
        <f t="shared" si="43"/>
        <v>0.39030071093606716</v>
      </c>
      <c r="T82" s="18" t="str">
        <f t="shared" si="34"/>
        <v>1+9.05094254949285E-07i</v>
      </c>
      <c r="U82" s="18">
        <f t="shared" si="44"/>
        <v>1.0000000000004095</v>
      </c>
      <c r="V82" s="18">
        <f t="shared" si="45"/>
        <v>9.0509425494903788E-7</v>
      </c>
      <c r="W82" s="32" t="str">
        <f t="shared" si="35"/>
        <v>1-0.000219416789078614i</v>
      </c>
      <c r="X82" s="18">
        <f t="shared" si="46"/>
        <v>1.0000000240718634</v>
      </c>
      <c r="Y82" s="18">
        <f t="shared" si="47"/>
        <v>-2.1941678555743342E-4</v>
      </c>
      <c r="Z82" s="32" t="str">
        <f t="shared" si="36"/>
        <v>0.999999998780505+0.0000928671936231854i</v>
      </c>
      <c r="AA82" s="18">
        <f t="shared" si="48"/>
        <v>1.0000000030926628</v>
      </c>
      <c r="AB82" s="18">
        <f t="shared" si="49"/>
        <v>9.2867193469464479E-5</v>
      </c>
      <c r="AC82" s="68" t="str">
        <f t="shared" si="50"/>
        <v>112.517847062452-46.3315422494919i</v>
      </c>
      <c r="AD82" s="66">
        <f t="shared" si="51"/>
        <v>41.704634897030814</v>
      </c>
      <c r="AE82" s="63">
        <f t="shared" si="52"/>
        <v>-22.380424173519085</v>
      </c>
      <c r="AF82" s="32" t="str">
        <f t="shared" si="37"/>
        <v>-0.434440565864413</v>
      </c>
      <c r="AG82" s="32" t="str">
        <f t="shared" si="38"/>
        <v>0.0071584727436898i</v>
      </c>
      <c r="AH82" s="32">
        <f t="shared" si="53"/>
        <v>7.1584727436897998E-3</v>
      </c>
      <c r="AI82" s="32">
        <f t="shared" si="54"/>
        <v>1.5707963267948966</v>
      </c>
      <c r="AJ82" s="32" t="str">
        <f t="shared" si="39"/>
        <v>1+0.000070875967759305i</v>
      </c>
      <c r="AK82" s="32">
        <f t="shared" si="55"/>
        <v>1.0000000025117013</v>
      </c>
      <c r="AL82" s="32">
        <f t="shared" si="56"/>
        <v>7.0875967640625492E-5</v>
      </c>
      <c r="AM82" s="32" t="str">
        <f t="shared" si="40"/>
        <v>1+0.0071584727436898i</v>
      </c>
      <c r="AN82" s="32">
        <f t="shared" si="57"/>
        <v>1.0000256215377794</v>
      </c>
      <c r="AO82" s="32">
        <f t="shared" si="58"/>
        <v>7.1583504718295225E-3</v>
      </c>
      <c r="AP82" s="60" t="str">
        <f t="shared" si="59"/>
        <v>-0.430139171962419+60.6890323755676i</v>
      </c>
      <c r="AQ82" s="51">
        <f t="shared" si="60"/>
        <v>35.662422421214714</v>
      </c>
      <c r="AR82" s="63">
        <f t="shared" si="61"/>
        <v>90.406082376496599</v>
      </c>
      <c r="AS82" s="60" t="str">
        <f t="shared" si="62"/>
        <v>2763.41813402296+6848.52827442125i</v>
      </c>
      <c r="AT82" s="66">
        <f t="shared" si="63"/>
        <v>77.367057318245514</v>
      </c>
      <c r="AU82" s="63">
        <f t="shared" si="64"/>
        <v>68.025658202977482</v>
      </c>
      <c r="AX82" s="32">
        <f t="shared" si="65"/>
        <v>0</v>
      </c>
      <c r="AY82" s="32">
        <f t="shared" si="66"/>
        <v>0</v>
      </c>
    </row>
    <row r="83" spans="14:51" x14ac:dyDescent="0.3">
      <c r="N83" s="11">
        <v>65</v>
      </c>
      <c r="O83" s="52">
        <f t="shared" si="41"/>
        <v>44.668359215096324</v>
      </c>
      <c r="P83" s="50" t="str">
        <f t="shared" ref="P83:P146" si="67">COMPLEX(Adc,0)</f>
        <v>131.578947368421</v>
      </c>
      <c r="Q83" s="18" t="str">
        <f t="shared" ref="Q83:Q146" si="68">IMSUM(COMPLEX(1,0),IMDIV(COMPLEX(0,2*PI()*O83),COMPLEX(wp_lf,0)))</f>
        <v>1+0.420989367474169i</v>
      </c>
      <c r="R83" s="18">
        <f t="shared" si="42"/>
        <v>1.0850032477031122</v>
      </c>
      <c r="S83" s="18">
        <f t="shared" si="43"/>
        <v>0.39846870717569066</v>
      </c>
      <c r="T83" s="18" t="str">
        <f t="shared" ref="T83:T146" si="69">IMSUM(COMPLEX(1,0),IMDIV(COMPLEX(0,2*PI()*O83),COMPLEX(wz_esr,0)))</f>
        <v>1+9.26176608443173E-07i</v>
      </c>
      <c r="U83" s="18">
        <f t="shared" si="44"/>
        <v>1.000000000000429</v>
      </c>
      <c r="V83" s="18">
        <f t="shared" si="45"/>
        <v>9.2617660844290821E-7</v>
      </c>
      <c r="W83" s="32" t="str">
        <f t="shared" ref="W83:W146" si="70">IMSUB(COMPLEX(1,0),IMDIV(COMPLEX(0,2*PI()*O83),COMPLEX(wz_rhp,0)))</f>
        <v>1-0.00022452766265289i</v>
      </c>
      <c r="X83" s="18">
        <f t="shared" si="46"/>
        <v>1.0000000252063355</v>
      </c>
      <c r="Y83" s="18">
        <f t="shared" si="47"/>
        <v>-2.2452765887987704E-4</v>
      </c>
      <c r="Z83" s="32" t="str">
        <f t="shared" ref="Z83:Z146" si="71">IMSUM(COMPLEX(1,0),IMDIV(COMPLEX(0,2*PI()*O83),COMPLEX(Q*(wsl/2),0)),IMDIV(IMPOWER(COMPLEX(0,2*PI()*O83),2),IMPOWER(COMPLEX(wsl/2,0),2)))</f>
        <v>0.999999998723032+0.0000950303484473856i</v>
      </c>
      <c r="AA83" s="18">
        <f t="shared" si="48"/>
        <v>1.0000000032384155</v>
      </c>
      <c r="AB83" s="18">
        <f t="shared" si="49"/>
        <v>9.5030348282670665E-5</v>
      </c>
      <c r="AC83" s="68" t="str">
        <f t="shared" si="50"/>
        <v>111.7547672741-47.0894940280203i</v>
      </c>
      <c r="AD83" s="66">
        <f t="shared" si="51"/>
        <v>41.675107582292554</v>
      </c>
      <c r="AE83" s="63">
        <f t="shared" si="52"/>
        <v>-22.848831448310605</v>
      </c>
      <c r="AF83" s="32" t="str">
        <f t="shared" ref="AF83:AF146" si="72">COMPLEX(Adc_ea,0)</f>
        <v>-0.434440565864413</v>
      </c>
      <c r="AG83" s="32" t="str">
        <f t="shared" ref="AG83:AG146" si="73">IMDIV(COMPLEX(0,2*PI()*O83),COMPLEX(wp0_ea,0))</f>
        <v>0.00732521499405056i</v>
      </c>
      <c r="AH83" s="32">
        <f t="shared" si="53"/>
        <v>7.3252149940505598E-3</v>
      </c>
      <c r="AI83" s="32">
        <f t="shared" si="54"/>
        <v>1.5707963267948966</v>
      </c>
      <c r="AJ83" s="32" t="str">
        <f t="shared" ref="AJ83:AJ146" si="74">IMSUM(COMPLEX(1,0),IMDIV(COMPLEX(0,2*PI()*O83),COMPLEX(wp1_ea,0)))</f>
        <v>1+0.0000725268811292134i</v>
      </c>
      <c r="AK83" s="32">
        <f t="shared" si="55"/>
        <v>1.0000000026300742</v>
      </c>
      <c r="AL83" s="32">
        <f t="shared" si="56"/>
        <v>7.2526881002046018E-5</v>
      </c>
      <c r="AM83" s="32" t="str">
        <f t="shared" ref="AM83:AM146" si="75">IMSUM(COMPLEX(1,0),IMDIV(COMPLEX(0,2*PI()*O83),COMPLEX(wz_ea,0)))</f>
        <v>1+0.00732521499405056i</v>
      </c>
      <c r="AN83" s="32">
        <f t="shared" si="57"/>
        <v>1.0000268290274561</v>
      </c>
      <c r="AO83" s="32">
        <f t="shared" si="58"/>
        <v>7.3250839775816238E-3</v>
      </c>
      <c r="AP83" s="60" t="str">
        <f t="shared" si="59"/>
        <v>-0.430139171860585+59.3075827452772i</v>
      </c>
      <c r="AQ83" s="51">
        <f t="shared" si="60"/>
        <v>35.462432908033506</v>
      </c>
      <c r="AR83" s="63">
        <f t="shared" si="61"/>
        <v>90.41554091231167</v>
      </c>
      <c r="AS83" s="60" t="str">
        <f t="shared" si="62"/>
        <v>2744.6939604533+6648.16014325243i</v>
      </c>
      <c r="AT83" s="66">
        <f t="shared" si="63"/>
        <v>77.137540490326074</v>
      </c>
      <c r="AU83" s="63">
        <f t="shared" si="64"/>
        <v>67.56670946400105</v>
      </c>
      <c r="AX83" s="32">
        <f t="shared" si="65"/>
        <v>0</v>
      </c>
      <c r="AY83" s="32">
        <f t="shared" si="66"/>
        <v>0</v>
      </c>
    </row>
    <row r="84" spans="14:51" x14ac:dyDescent="0.3">
      <c r="N84" s="11">
        <v>66</v>
      </c>
      <c r="O84" s="52">
        <f t="shared" ref="O84:O118" si="76">10^(1+(N84/100))</f>
        <v>45.70881896148753</v>
      </c>
      <c r="P84" s="50" t="str">
        <f t="shared" si="67"/>
        <v>131.578947368421</v>
      </c>
      <c r="Q84" s="18" t="str">
        <f t="shared" si="68"/>
        <v>1+0.430795469561025i</v>
      </c>
      <c r="R84" s="18">
        <f t="shared" ref="R84:R147" si="77">IMABS(Q84)</f>
        <v>1.0888455981425025</v>
      </c>
      <c r="S84" s="18">
        <f t="shared" ref="S84:S147" si="78">IMARGUMENT(Q84)</f>
        <v>0.40676920345654005</v>
      </c>
      <c r="T84" s="18" t="str">
        <f t="shared" si="69"/>
        <v>1+9.47750033034255E-07i</v>
      </c>
      <c r="U84" s="18">
        <f t="shared" ref="U84:U147" si="79">IMABS(T84)</f>
        <v>1.000000000000449</v>
      </c>
      <c r="V84" s="18">
        <f t="shared" ref="V84:V147" si="80">IMARGUMENT(T84)</f>
        <v>9.4775003303397128E-7</v>
      </c>
      <c r="W84" s="32" t="str">
        <f t="shared" si="70"/>
        <v>1-0.00022975758376588i</v>
      </c>
      <c r="X84" s="18">
        <f t="shared" ref="X84:X147" si="81">IMABS(W84)</f>
        <v>1.0000000263942732</v>
      </c>
      <c r="Y84" s="18">
        <f t="shared" ref="Y84:Y147" si="82">IMARGUMENT(W84)</f>
        <v>-2.2975757972302379E-4</v>
      </c>
      <c r="Z84" s="32" t="str">
        <f t="shared" si="71"/>
        <v>0.99999999866285+0.0000972438896202079i</v>
      </c>
      <c r="AA84" s="18">
        <f t="shared" ref="AA84:AA147" si="83">IMABS(Z84)</f>
        <v>1.000000003391037</v>
      </c>
      <c r="AB84" s="18">
        <f t="shared" ref="AB84:AB147" si="84">IMARGUMENT(Z84)</f>
        <v>9.7243889443712696E-5</v>
      </c>
      <c r="AC84" s="68" t="str">
        <f t="shared" ref="AC84:AC147" si="85">(IMDIV(IMPRODUCT(P84,T84,W84),IMPRODUCT(Q84,Z84)))</f>
        <v>110.966730118003-47.8468664122124i</v>
      </c>
      <c r="AD84" s="66">
        <f t="shared" ref="AD84:AD147" si="86">20*LOG(IMABS(AC84))</f>
        <v>41.644402359238768</v>
      </c>
      <c r="AE84" s="63">
        <f t="shared" ref="AE84:AE147" si="87">(180/PI())*IMARGUMENT(AC84)</f>
        <v>-23.32484009595888</v>
      </c>
      <c r="AF84" s="32" t="str">
        <f t="shared" si="72"/>
        <v>-0.434440565864413</v>
      </c>
      <c r="AG84" s="32" t="str">
        <f t="shared" si="73"/>
        <v>0.00749584117036184i</v>
      </c>
      <c r="AH84" s="32">
        <f t="shared" ref="AH84:AH147" si="88">IMABS(AG84)</f>
        <v>7.4958411703618397E-3</v>
      </c>
      <c r="AI84" s="32">
        <f t="shared" ref="AI84:AI147" si="89">IMARGUMENT(AG84)</f>
        <v>1.5707963267948966</v>
      </c>
      <c r="AJ84" s="32" t="str">
        <f t="shared" si="74"/>
        <v>1+0.0000742162492115034i</v>
      </c>
      <c r="AK84" s="32">
        <f t="shared" ref="AK84:AK147" si="90">IMABS(AJ84)</f>
        <v>1.0000000027540257</v>
      </c>
      <c r="AL84" s="32">
        <f t="shared" ref="AL84:AL147" si="91">IMARGUMENT(AJ84)</f>
        <v>7.4216249075241086E-5</v>
      </c>
      <c r="AM84" s="32" t="str">
        <f t="shared" si="75"/>
        <v>1+0.00749584117036184i</v>
      </c>
      <c r="AN84" s="32">
        <f t="shared" ref="AN84:AN147" si="92">IMABS(AM84)</f>
        <v>1.0000280934228054</v>
      </c>
      <c r="AO84" s="32">
        <f t="shared" ref="AO84:AO147" si="93">IMARGUMENT(AM84)</f>
        <v>7.4957007838990716E-3</v>
      </c>
      <c r="AP84" s="60" t="str">
        <f t="shared" ref="AP84:AP147" si="94">IMPRODUCT(AF84,IMDIV(AM84,IMPRODUCT(AG84,AJ84)))</f>
        <v>-0.430139171753953+57.9575787803875i</v>
      </c>
      <c r="AQ84" s="51">
        <f t="shared" ref="AQ84:AQ147" si="95">20*LOG(IMABS(AP84))</f>
        <v>35.262443889053777</v>
      </c>
      <c r="AR84" s="63">
        <f t="shared" ref="AR84:AR147" si="96">(180/PI())*IMARGUMENT(AP84)</f>
        <v>90.425219741567005</v>
      </c>
      <c r="AS84" s="60" t="str">
        <f t="shared" ref="AS84:AS147" si="97">IMPRODUCT(AC84,AP84)</f>
        <v>2725.35739209527+6451.94381430573i</v>
      </c>
      <c r="AT84" s="66">
        <f t="shared" ref="AT84:AT147" si="98">20*LOG(IMABS(AS84))</f>
        <v>76.906846248292553</v>
      </c>
      <c r="AU84" s="63">
        <f t="shared" ref="AU84:AU147" si="99">(180/PI())*IMARGUMENT(AS84)</f>
        <v>67.100379645608186</v>
      </c>
      <c r="AX84" s="32">
        <f t="shared" ref="AX84:AX147" si="100">SUM((AT85&lt;0)*(AT84&gt;0))*O84</f>
        <v>0</v>
      </c>
      <c r="AY84" s="32">
        <f t="shared" ref="AY84:AY147" si="101">IF(AX84&gt;0,AU84,0)</f>
        <v>0</v>
      </c>
    </row>
    <row r="85" spans="14:51" x14ac:dyDescent="0.3">
      <c r="N85" s="11">
        <v>67</v>
      </c>
      <c r="O85" s="52">
        <f t="shared" si="76"/>
        <v>46.773514128719818</v>
      </c>
      <c r="P85" s="50" t="str">
        <f t="shared" si="67"/>
        <v>131.578947368421</v>
      </c>
      <c r="Q85" s="18" t="str">
        <f t="shared" si="68"/>
        <v>1+0.440829985108093i</v>
      </c>
      <c r="R85" s="18">
        <f t="shared" si="77"/>
        <v>1.0928545538041197</v>
      </c>
      <c r="S85" s="18">
        <f t="shared" si="78"/>
        <v>0.41520202464356126</v>
      </c>
      <c r="T85" s="18" t="str">
        <f t="shared" si="69"/>
        <v>1+9.69825967237806E-07i</v>
      </c>
      <c r="U85" s="18">
        <f t="shared" si="79"/>
        <v>1.0000000000004703</v>
      </c>
      <c r="V85" s="18">
        <f t="shared" si="80"/>
        <v>9.6982596723750198E-7</v>
      </c>
      <c r="W85" s="32" t="str">
        <f t="shared" si="70"/>
        <v>1-0.000235109325390983i</v>
      </c>
      <c r="X85" s="18">
        <f t="shared" si="81"/>
        <v>1.0000000276381971</v>
      </c>
      <c r="Y85" s="18">
        <f t="shared" si="82"/>
        <v>-2.3510932105898452E-4</v>
      </c>
      <c r="Z85" s="32" t="str">
        <f t="shared" si="71"/>
        <v>0.999999998599833+0.0000995089907904819i</v>
      </c>
      <c r="AA85" s="18">
        <f t="shared" si="83"/>
        <v>1.0000000035508525</v>
      </c>
      <c r="AB85" s="18">
        <f t="shared" si="84"/>
        <v>9.9508990601363792E-5</v>
      </c>
      <c r="AC85" s="68" t="str">
        <f t="shared" si="85"/>
        <v>110.153367817697-48.6028086114631i</v>
      </c>
      <c r="AD85" s="66">
        <f t="shared" si="86"/>
        <v>41.612481038309717</v>
      </c>
      <c r="AE85" s="63">
        <f t="shared" si="87"/>
        <v>-23.808440307433965</v>
      </c>
      <c r="AF85" s="32" t="str">
        <f t="shared" si="72"/>
        <v>-0.434440565864413</v>
      </c>
      <c r="AG85" s="32" t="str">
        <f t="shared" si="73"/>
        <v>0.00767044174088083i</v>
      </c>
      <c r="AH85" s="32">
        <f t="shared" si="88"/>
        <v>7.6704417408808298E-3</v>
      </c>
      <c r="AI85" s="32">
        <f t="shared" si="89"/>
        <v>1.5707963267948966</v>
      </c>
      <c r="AJ85" s="32" t="str">
        <f t="shared" si="74"/>
        <v>1+0.0000759449677314934i</v>
      </c>
      <c r="AK85" s="32">
        <f t="shared" si="90"/>
        <v>1.000000002883819</v>
      </c>
      <c r="AL85" s="32">
        <f t="shared" si="91"/>
        <v>7.5944967585485709E-5</v>
      </c>
      <c r="AM85" s="32" t="str">
        <f t="shared" si="75"/>
        <v>1+0.00767044174088083i</v>
      </c>
      <c r="AN85" s="32">
        <f t="shared" si="92"/>
        <v>1.0000294174055584</v>
      </c>
      <c r="AO85" s="32">
        <f t="shared" si="93"/>
        <v>7.6702913143147696E-3</v>
      </c>
      <c r="AP85" s="60" t="str">
        <f t="shared" si="94"/>
        <v>-0.430139171642294+56.6383046909265i</v>
      </c>
      <c r="AQ85" s="51">
        <f t="shared" si="95"/>
        <v>35.062455387563844</v>
      </c>
      <c r="AR85" s="63">
        <f t="shared" si="96"/>
        <v>90.435123993828171</v>
      </c>
      <c r="AS85" s="60" t="str">
        <f t="shared" si="97"/>
        <v>2705.39940458412+6259.80598102604i</v>
      </c>
      <c r="AT85" s="66">
        <f t="shared" si="98"/>
        <v>76.674936425873554</v>
      </c>
      <c r="AU85" s="63">
        <f t="shared" si="99"/>
        <v>66.626683686394216</v>
      </c>
      <c r="AX85" s="32">
        <f t="shared" si="100"/>
        <v>0</v>
      </c>
      <c r="AY85" s="32">
        <f t="shared" si="101"/>
        <v>0</v>
      </c>
    </row>
    <row r="86" spans="14:51" x14ac:dyDescent="0.3">
      <c r="N86" s="11">
        <v>68</v>
      </c>
      <c r="O86" s="52">
        <f t="shared" si="76"/>
        <v>47.863009232263877</v>
      </c>
      <c r="P86" s="50" t="str">
        <f t="shared" si="67"/>
        <v>131.578947368421</v>
      </c>
      <c r="Q86" s="18" t="str">
        <f t="shared" si="68"/>
        <v>1+0.451098234548341i</v>
      </c>
      <c r="R86" s="18">
        <f t="shared" si="77"/>
        <v>1.0970367437841952</v>
      </c>
      <c r="S86" s="18">
        <f t="shared" si="78"/>
        <v>0.42376684345056465</v>
      </c>
      <c r="T86" s="18" t="str">
        <f t="shared" si="69"/>
        <v>1+9.92416116006352E-07i</v>
      </c>
      <c r="U86" s="18">
        <f t="shared" si="79"/>
        <v>1.0000000000004925</v>
      </c>
      <c r="V86" s="18">
        <f t="shared" si="80"/>
        <v>9.9241611600602604E-7</v>
      </c>
      <c r="W86" s="32" t="str">
        <f t="shared" si="70"/>
        <v>1-0.000240585725092449i</v>
      </c>
      <c r="X86" s="18">
        <f t="shared" si="81"/>
        <v>1.0000000289407451</v>
      </c>
      <c r="Y86" s="18">
        <f t="shared" si="82"/>
        <v>-2.4058572045062901E-4</v>
      </c>
      <c r="Z86" s="32" t="str">
        <f t="shared" si="71"/>
        <v>0.999999998533845+0.00010182685294483i</v>
      </c>
      <c r="AA86" s="18">
        <f t="shared" si="83"/>
        <v>1.0000000037181991</v>
      </c>
      <c r="AB86" s="18">
        <f t="shared" si="84"/>
        <v>1.0182685274218631E-4</v>
      </c>
      <c r="AC86" s="68" t="str">
        <f t="shared" si="85"/>
        <v>109.314343998193-49.3564312935338i</v>
      </c>
      <c r="AD86" s="66">
        <f t="shared" si="86"/>
        <v>41.579304894800771</v>
      </c>
      <c r="AE86" s="63">
        <f t="shared" si="87"/>
        <v>-24.299613561339633</v>
      </c>
      <c r="AF86" s="32" t="str">
        <f t="shared" si="72"/>
        <v>-0.434440565864413</v>
      </c>
      <c r="AG86" s="32" t="str">
        <f t="shared" si="73"/>
        <v>0.00784910928114115i</v>
      </c>
      <c r="AH86" s="32">
        <f t="shared" si="88"/>
        <v>7.8491092811411502E-3</v>
      </c>
      <c r="AI86" s="32">
        <f t="shared" si="89"/>
        <v>1.5707963267948966</v>
      </c>
      <c r="AJ86" s="32" t="str">
        <f t="shared" si="74"/>
        <v>1+0.0000777139532786252i</v>
      </c>
      <c r="AK86" s="32">
        <f t="shared" si="90"/>
        <v>1.0000000030197291</v>
      </c>
      <c r="AL86" s="32">
        <f t="shared" si="91"/>
        <v>7.7713953122175144E-5</v>
      </c>
      <c r="AM86" s="32" t="str">
        <f t="shared" si="75"/>
        <v>1+0.00784910928114115i</v>
      </c>
      <c r="AN86" s="32">
        <f t="shared" si="92"/>
        <v>1.000030803783817</v>
      </c>
      <c r="AO86" s="32">
        <f t="shared" si="93"/>
        <v>7.8489480964397465E-3</v>
      </c>
      <c r="AP86" s="60" t="str">
        <f t="shared" si="94"/>
        <v>-0.430139171525373+55.3490609803087i</v>
      </c>
      <c r="AQ86" s="51">
        <f t="shared" si="95"/>
        <v>34.862467427949269</v>
      </c>
      <c r="AR86" s="63">
        <f t="shared" si="96"/>
        <v>90.445258918020059</v>
      </c>
      <c r="AS86" s="60" t="str">
        <f t="shared" si="97"/>
        <v>2684.811744073+6071.67642644448i</v>
      </c>
      <c r="AT86" s="66">
        <f t="shared" si="98"/>
        <v>76.44177232275004</v>
      </c>
      <c r="AU86" s="63">
        <f t="shared" si="99"/>
        <v>66.145645356680419</v>
      </c>
      <c r="AX86" s="32">
        <f t="shared" si="100"/>
        <v>0</v>
      </c>
      <c r="AY86" s="32">
        <f t="shared" si="101"/>
        <v>0</v>
      </c>
    </row>
    <row r="87" spans="14:51" x14ac:dyDescent="0.3">
      <c r="N87" s="11">
        <v>69</v>
      </c>
      <c r="O87" s="52">
        <f t="shared" si="76"/>
        <v>48.977881936844632</v>
      </c>
      <c r="P87" s="50" t="str">
        <f t="shared" si="67"/>
        <v>131.578947368421</v>
      </c>
      <c r="Q87" s="18" t="str">
        <f t="shared" si="68"/>
        <v>1+0.461605662243538i</v>
      </c>
      <c r="R87" s="18">
        <f t="shared" si="77"/>
        <v>1.1013990137163259</v>
      </c>
      <c r="S87" s="18">
        <f t="shared" si="78"/>
        <v>0.43246317375965054</v>
      </c>
      <c r="T87" s="18" t="str">
        <f t="shared" si="69"/>
        <v>1+1.01553245693578E-06i</v>
      </c>
      <c r="U87" s="18">
        <f t="shared" si="79"/>
        <v>1.0000000000005156</v>
      </c>
      <c r="V87" s="18">
        <f t="shared" si="80"/>
        <v>1.0155324569354308E-6</v>
      </c>
      <c r="W87" s="32" t="str">
        <f t="shared" si="70"/>
        <v>1-0.000246189686529887i</v>
      </c>
      <c r="X87" s="18">
        <f t="shared" si="81"/>
        <v>1.0000000303046803</v>
      </c>
      <c r="Y87" s="18">
        <f t="shared" si="82"/>
        <v>-2.4618968155608724E-4</v>
      </c>
      <c r="Z87" s="32" t="str">
        <f t="shared" si="71"/>
        <v>0.999999998464747+0.000104198705044448i</v>
      </c>
      <c r="AA87" s="18">
        <f t="shared" si="83"/>
        <v>1.000000003893432</v>
      </c>
      <c r="AB87" s="18">
        <f t="shared" si="84"/>
        <v>1.041987048273114E-4</v>
      </c>
      <c r="AC87" s="68" t="str">
        <f t="shared" si="85"/>
        <v>108.449356846775-50.106807299779i</v>
      </c>
      <c r="AD87" s="66">
        <f t="shared" si="86"/>
        <v>41.544834718948323</v>
      </c>
      <c r="AE87" s="63">
        <f t="shared" si="87"/>
        <v>-24.798332241267154</v>
      </c>
      <c r="AF87" s="32" t="str">
        <f t="shared" si="72"/>
        <v>-0.434440565864413</v>
      </c>
      <c r="AG87" s="32" t="str">
        <f t="shared" si="73"/>
        <v>0.00803193852303758i</v>
      </c>
      <c r="AH87" s="32">
        <f t="shared" si="88"/>
        <v>8.0319385230375791E-3</v>
      </c>
      <c r="AI87" s="32">
        <f t="shared" si="89"/>
        <v>1.5707963267948966</v>
      </c>
      <c r="AJ87" s="32" t="str">
        <f t="shared" si="74"/>
        <v>1+0.0000795241437924513i</v>
      </c>
      <c r="AK87" s="32">
        <f t="shared" si="90"/>
        <v>1.0000000031620446</v>
      </c>
      <c r="AL87" s="32">
        <f t="shared" si="91"/>
        <v>7.9524143624812028E-5</v>
      </c>
      <c r="AM87" s="32" t="str">
        <f t="shared" si="75"/>
        <v>1+0.00803193852303758i</v>
      </c>
      <c r="AN87" s="32">
        <f t="shared" si="92"/>
        <v>1.0000322554980103</v>
      </c>
      <c r="AO87" s="32">
        <f t="shared" si="93"/>
        <v>8.0317658108191858E-3</v>
      </c>
      <c r="AP87" s="60" t="str">
        <f t="shared" si="94"/>
        <v>-0.430139171402942+54.0891640744543i</v>
      </c>
      <c r="AQ87" s="51">
        <f t="shared" si="95"/>
        <v>34.662480035744828</v>
      </c>
      <c r="AR87" s="63">
        <f t="shared" si="96"/>
        <v>90.455629885198306</v>
      </c>
      <c r="AS87" s="60" t="str">
        <f t="shared" si="97"/>
        <v>2663.58700479156+5887.48795682783i</v>
      </c>
      <c r="AT87" s="66">
        <f t="shared" si="98"/>
        <v>76.207314754693144</v>
      </c>
      <c r="AU87" s="63">
        <f t="shared" si="99"/>
        <v>65.657297643931145</v>
      </c>
      <c r="AX87" s="32">
        <f t="shared" si="100"/>
        <v>0</v>
      </c>
      <c r="AY87" s="32">
        <f t="shared" si="101"/>
        <v>0</v>
      </c>
    </row>
    <row r="88" spans="14:51" x14ac:dyDescent="0.3">
      <c r="N88" s="11">
        <v>70</v>
      </c>
      <c r="O88" s="52">
        <f t="shared" si="76"/>
        <v>50.118723362727238</v>
      </c>
      <c r="P88" s="50" t="str">
        <f t="shared" si="67"/>
        <v>131.578947368421</v>
      </c>
      <c r="Q88" s="18" t="str">
        <f t="shared" si="68"/>
        <v>1+0.472357839370929i</v>
      </c>
      <c r="R88" s="18">
        <f t="shared" si="77"/>
        <v>1.1059484293651185</v>
      </c>
      <c r="S88" s="18">
        <f t="shared" si="78"/>
        <v>0.44129036408748185</v>
      </c>
      <c r="T88" s="18" t="str">
        <f t="shared" si="69"/>
        <v>1+1.03918724661604E-06i</v>
      </c>
      <c r="U88" s="18">
        <f t="shared" si="79"/>
        <v>1.00000000000054</v>
      </c>
      <c r="V88" s="18">
        <f t="shared" si="80"/>
        <v>1.0391872466156657E-6</v>
      </c>
      <c r="W88" s="32" t="str">
        <f t="shared" si="70"/>
        <v>1-0.000251924180997829i</v>
      </c>
      <c r="X88" s="18">
        <f t="shared" si="81"/>
        <v>1.0000000317328961</v>
      </c>
      <c r="Y88" s="18">
        <f t="shared" si="82"/>
        <v>-2.5192417566830661E-4</v>
      </c>
      <c r="Z88" s="32" t="str">
        <f t="shared" si="71"/>
        <v>0.999999998392393+0.000106625804676713i</v>
      </c>
      <c r="AA88" s="18">
        <f t="shared" si="83"/>
        <v>1.0000000040769239</v>
      </c>
      <c r="AB88" s="18">
        <f t="shared" si="84"/>
        <v>1.0662580444404693E-4</v>
      </c>
      <c r="AC88" s="68" t="str">
        <f t="shared" si="85"/>
        <v>107.558142330083-50.8529726118857i</v>
      </c>
      <c r="AD88" s="66">
        <f t="shared" si="86"/>
        <v>41.509030870861928</v>
      </c>
      <c r="AE88" s="63">
        <f t="shared" si="87"/>
        <v>-25.304559261565679</v>
      </c>
      <c r="AF88" s="32" t="str">
        <f t="shared" si="72"/>
        <v>-0.434440565864413</v>
      </c>
      <c r="AG88" s="32" t="str">
        <f t="shared" si="73"/>
        <v>0.00821902640505417i</v>
      </c>
      <c r="AH88" s="32">
        <f t="shared" si="88"/>
        <v>8.2190264050541698E-3</v>
      </c>
      <c r="AI88" s="32">
        <f t="shared" si="89"/>
        <v>1.5707963267948966</v>
      </c>
      <c r="AJ88" s="32" t="str">
        <f t="shared" si="74"/>
        <v>1+0.0000813764990599423i</v>
      </c>
      <c r="AK88" s="32">
        <f t="shared" si="90"/>
        <v>1.0000000033110672</v>
      </c>
      <c r="AL88" s="32">
        <f t="shared" si="91"/>
        <v>8.1376498880313594E-5</v>
      </c>
      <c r="AM88" s="32" t="str">
        <f t="shared" si="75"/>
        <v>1+0.00821902640505417i</v>
      </c>
      <c r="AN88" s="32">
        <f t="shared" si="92"/>
        <v>1.0000337756271271</v>
      </c>
      <c r="AO88" s="32">
        <f t="shared" si="93"/>
        <v>8.2188413409154896E-3</v>
      </c>
      <c r="AP88" s="60" t="str">
        <f t="shared" si="94"/>
        <v>-0.430139171274742+52.8579459593473i</v>
      </c>
      <c r="AQ88" s="51">
        <f t="shared" si="95"/>
        <v>34.462493237688314</v>
      </c>
      <c r="AR88" s="63">
        <f t="shared" si="96"/>
        <v>90.466242391384711</v>
      </c>
      <c r="AS88" s="60" t="str">
        <f t="shared" si="97"/>
        <v>2641.71870798551+5707.17633026745i</v>
      </c>
      <c r="AT88" s="66">
        <f t="shared" si="98"/>
        <v>75.971524108550256</v>
      </c>
      <c r="AU88" s="63">
        <f t="shared" si="99"/>
        <v>65.161683129819039</v>
      </c>
      <c r="AX88" s="32">
        <f t="shared" si="100"/>
        <v>0</v>
      </c>
      <c r="AY88" s="32">
        <f t="shared" si="101"/>
        <v>0</v>
      </c>
    </row>
    <row r="89" spans="14:51" x14ac:dyDescent="0.3">
      <c r="N89" s="11">
        <v>71</v>
      </c>
      <c r="O89" s="52">
        <f t="shared" si="76"/>
        <v>51.28613839913649</v>
      </c>
      <c r="P89" s="50" t="str">
        <f t="shared" si="67"/>
        <v>131.578947368421</v>
      </c>
      <c r="Q89" s="18" t="str">
        <f t="shared" si="68"/>
        <v>1+0.483360466877149i</v>
      </c>
      <c r="R89" s="18">
        <f t="shared" si="77"/>
        <v>1.1106922800396586</v>
      </c>
      <c r="S89" s="18">
        <f t="shared" si="78"/>
        <v>0.45024759124366603</v>
      </c>
      <c r="T89" s="18" t="str">
        <f t="shared" si="69"/>
        <v>1+1.06339302712973E-06i</v>
      </c>
      <c r="U89" s="18">
        <f t="shared" si="79"/>
        <v>1.0000000000005653</v>
      </c>
      <c r="V89" s="18">
        <f t="shared" si="80"/>
        <v>1.0633930271293291E-6</v>
      </c>
      <c r="W89" s="32" t="str">
        <f t="shared" si="70"/>
        <v>1-0.000257792249001146i</v>
      </c>
      <c r="X89" s="18">
        <f t="shared" si="81"/>
        <v>1.0000000332284213</v>
      </c>
      <c r="Y89" s="18">
        <f t="shared" si="82"/>
        <v>-2.5779224329045984E-4</v>
      </c>
      <c r="Z89" s="32" t="str">
        <f t="shared" si="71"/>
        <v>0.999999998316628+0.000109109438721976i</v>
      </c>
      <c r="AA89" s="18">
        <f t="shared" si="83"/>
        <v>1.0000000042690627</v>
      </c>
      <c r="AB89" s="18">
        <f t="shared" si="84"/>
        <v>1.0910943847266989E-4</v>
      </c>
      <c r="AC89" s="68" t="str">
        <f t="shared" si="85"/>
        <v>106.640477448442-51.5939275847403i</v>
      </c>
      <c r="AD89" s="66">
        <f t="shared" si="86"/>
        <v>41.471853340373741</v>
      </c>
      <c r="AE89" s="63">
        <f t="shared" si="87"/>
        <v>-25.818247704122392</v>
      </c>
      <c r="AF89" s="32" t="str">
        <f t="shared" si="72"/>
        <v>-0.434440565864413</v>
      </c>
      <c r="AG89" s="32" t="str">
        <f t="shared" si="73"/>
        <v>0.00841047212366241i</v>
      </c>
      <c r="AH89" s="32">
        <f t="shared" si="88"/>
        <v>8.4104721236624106E-3</v>
      </c>
      <c r="AI89" s="32">
        <f t="shared" si="89"/>
        <v>1.5707963267948966</v>
      </c>
      <c r="AJ89" s="32" t="str">
        <f t="shared" si="74"/>
        <v>1+0.0000832720012243803i</v>
      </c>
      <c r="AK89" s="32">
        <f t="shared" si="90"/>
        <v>1.000000003467113</v>
      </c>
      <c r="AL89" s="32">
        <f t="shared" si="91"/>
        <v>8.3272001031904663E-5</v>
      </c>
      <c r="AM89" s="32" t="str">
        <f t="shared" si="75"/>
        <v>1+0.00841047212366241i</v>
      </c>
      <c r="AN89" s="32">
        <f t="shared" si="92"/>
        <v>1.0000353673952451</v>
      </c>
      <c r="AO89" s="32">
        <f t="shared" si="93"/>
        <v>8.4102738242438739E-3</v>
      </c>
      <c r="AP89" s="60" t="str">
        <f t="shared" si="94"/>
        <v>-0.430139171140499+51.6547538268453i</v>
      </c>
      <c r="AQ89" s="51">
        <f t="shared" si="95"/>
        <v>34.262507061777164</v>
      </c>
      <c r="AR89" s="63">
        <f t="shared" si="96"/>
        <v>90.477102060467786</v>
      </c>
      <c r="AS89" s="60" t="str">
        <f t="shared" si="97"/>
        <v>2619.20138177014+5530.6801798237i</v>
      </c>
      <c r="AT89" s="66">
        <f t="shared" si="98"/>
        <v>75.734360402150898</v>
      </c>
      <c r="AU89" s="63">
        <f t="shared" si="99"/>
        <v>64.658854356345415</v>
      </c>
      <c r="AX89" s="32">
        <f t="shared" si="100"/>
        <v>0</v>
      </c>
      <c r="AY89" s="32">
        <f t="shared" si="101"/>
        <v>0</v>
      </c>
    </row>
    <row r="90" spans="14:51" x14ac:dyDescent="0.3">
      <c r="N90" s="11">
        <v>72</v>
      </c>
      <c r="O90" s="52">
        <f t="shared" si="76"/>
        <v>52.480746024977286</v>
      </c>
      <c r="P90" s="50" t="str">
        <f t="shared" si="67"/>
        <v>131.578947368421</v>
      </c>
      <c r="Q90" s="18" t="str">
        <f t="shared" si="68"/>
        <v>1+0.494619378500941i</v>
      </c>
      <c r="R90" s="18">
        <f t="shared" si="77"/>
        <v>1.1156380818117753</v>
      </c>
      <c r="S90" s="18">
        <f t="shared" si="78"/>
        <v>0.4593338542289756</v>
      </c>
      <c r="T90" s="18" t="str">
        <f t="shared" si="69"/>
        <v>1+1.08816263270207E-06i</v>
      </c>
      <c r="U90" s="18">
        <f t="shared" si="79"/>
        <v>1.000000000000592</v>
      </c>
      <c r="V90" s="18">
        <f t="shared" si="80"/>
        <v>1.0881626327016406E-6</v>
      </c>
      <c r="W90" s="32" t="str">
        <f t="shared" si="70"/>
        <v>1-0.000263797001867169i</v>
      </c>
      <c r="X90" s="18">
        <f t="shared" si="81"/>
        <v>1.0000000347944284</v>
      </c>
      <c r="Y90" s="18">
        <f t="shared" si="82"/>
        <v>-2.637969957480585E-4</v>
      </c>
      <c r="Z90" s="32" t="str">
        <f t="shared" si="71"/>
        <v>0.999999998237294+0.000111650924035885i</v>
      </c>
      <c r="AA90" s="18">
        <f t="shared" si="83"/>
        <v>1.0000000044702584</v>
      </c>
      <c r="AB90" s="18">
        <f t="shared" si="84"/>
        <v>1.1165092376874859E-4</v>
      </c>
      <c r="AC90" s="68" t="str">
        <f t="shared" si="85"/>
        <v>105.696183506139-52.3286384588188i</v>
      </c>
      <c r="AD90" s="66">
        <f t="shared" si="86"/>
        <v>41.433261811845519</v>
      </c>
      <c r="AE90" s="63">
        <f t="shared" si="87"/>
        <v>-26.339340468886608</v>
      </c>
      <c r="AF90" s="32" t="str">
        <f t="shared" si="72"/>
        <v>-0.434440565864413</v>
      </c>
      <c r="AG90" s="32" t="str">
        <f t="shared" si="73"/>
        <v>0.00860637718591639i</v>
      </c>
      <c r="AH90" s="32">
        <f t="shared" si="88"/>
        <v>8.60637718591639E-3</v>
      </c>
      <c r="AI90" s="32">
        <f t="shared" si="89"/>
        <v>1.5707963267948966</v>
      </c>
      <c r="AJ90" s="32" t="str">
        <f t="shared" si="74"/>
        <v>1+0.0000852116553061029i</v>
      </c>
      <c r="AK90" s="32">
        <f t="shared" si="90"/>
        <v>1.000000003630513</v>
      </c>
      <c r="AL90" s="32">
        <f t="shared" si="91"/>
        <v>8.5211655099861545E-5</v>
      </c>
      <c r="AM90" s="32" t="str">
        <f t="shared" si="75"/>
        <v>1+0.00860637718591639i</v>
      </c>
      <c r="AN90" s="32">
        <f t="shared" si="92"/>
        <v>1.000037034178368</v>
      </c>
      <c r="AO90" s="32">
        <f t="shared" si="93"/>
        <v>8.6061647046861943E-3</v>
      </c>
      <c r="AP90" s="60" t="str">
        <f t="shared" si="94"/>
        <v>-0.430139170999929+50.4789497285535i</v>
      </c>
      <c r="AQ90" s="51">
        <f t="shared" si="95"/>
        <v>34.062521537328024</v>
      </c>
      <c r="AR90" s="63">
        <f t="shared" si="96"/>
        <v>90.488214647170423</v>
      </c>
      <c r="AS90" s="60" t="str">
        <f t="shared" si="97"/>
        <v>2596.03064137518+5357.94093087259i</v>
      </c>
      <c r="AT90" s="66">
        <f t="shared" si="98"/>
        <v>75.49578334917355</v>
      </c>
      <c r="AU90" s="63">
        <f t="shared" si="99"/>
        <v>64.148874178283819</v>
      </c>
      <c r="AX90" s="32">
        <f t="shared" si="100"/>
        <v>0</v>
      </c>
      <c r="AY90" s="32">
        <f t="shared" si="101"/>
        <v>0</v>
      </c>
    </row>
    <row r="91" spans="14:51" x14ac:dyDescent="0.3">
      <c r="N91" s="11">
        <v>73</v>
      </c>
      <c r="O91" s="52">
        <f t="shared" si="76"/>
        <v>53.703179637025293</v>
      </c>
      <c r="P91" s="50" t="str">
        <f t="shared" si="67"/>
        <v>131.578947368421</v>
      </c>
      <c r="Q91" s="18" t="str">
        <f t="shared" si="68"/>
        <v>1+0.506140543866274i</v>
      </c>
      <c r="R91" s="18">
        <f t="shared" si="77"/>
        <v>1.1207935805246423</v>
      </c>
      <c r="S91" s="18">
        <f t="shared" si="78"/>
        <v>0.46854796842334107</v>
      </c>
      <c r="T91" s="18" t="str">
        <f t="shared" si="69"/>
        <v>1+0.0000011135091965058i</v>
      </c>
      <c r="U91" s="18">
        <f t="shared" si="79"/>
        <v>1.0000000000006199</v>
      </c>
      <c r="V91" s="18">
        <f t="shared" si="80"/>
        <v>1.1135091965053398E-6</v>
      </c>
      <c r="W91" s="32" t="str">
        <f t="shared" si="70"/>
        <v>1-0.000269941623395346i</v>
      </c>
      <c r="X91" s="18">
        <f t="shared" si="81"/>
        <v>1.0000000364342394</v>
      </c>
      <c r="Y91" s="18">
        <f t="shared" si="82"/>
        <v>-2.6994161683860097E-4</v>
      </c>
      <c r="Z91" s="32" t="str">
        <f t="shared" si="71"/>
        <v>0.99999999815422+0.000114251608147592i</v>
      </c>
      <c r="AA91" s="18">
        <f t="shared" si="83"/>
        <v>1.000000004680935</v>
      </c>
      <c r="AB91" s="18">
        <f t="shared" si="84"/>
        <v>1.1425160786135022E-4</v>
      </c>
      <c r="AC91" s="68" t="str">
        <f t="shared" si="85"/>
        <v>104.725129374115-53.0560391639725i</v>
      </c>
      <c r="AD91" s="66">
        <f t="shared" si="86"/>
        <v>41.393215733939712</v>
      </c>
      <c r="AE91" s="63">
        <f t="shared" si="87"/>
        <v>-26.867769941001896</v>
      </c>
      <c r="AF91" s="32" t="str">
        <f t="shared" si="72"/>
        <v>-0.434440565864413</v>
      </c>
      <c r="AG91" s="32" t="str">
        <f t="shared" si="73"/>
        <v>0.00880684546327318i</v>
      </c>
      <c r="AH91" s="32">
        <f t="shared" si="88"/>
        <v>8.8068454632731791E-3</v>
      </c>
      <c r="AI91" s="32">
        <f t="shared" si="89"/>
        <v>1.5707963267948966</v>
      </c>
      <c r="AJ91" s="32" t="str">
        <f t="shared" si="74"/>
        <v>1+0.0000871964897353781i</v>
      </c>
      <c r="AK91" s="32">
        <f t="shared" si="90"/>
        <v>1.0000000038016139</v>
      </c>
      <c r="AL91" s="32">
        <f t="shared" si="91"/>
        <v>8.7196489514386515E-5</v>
      </c>
      <c r="AM91" s="32" t="str">
        <f t="shared" si="75"/>
        <v>1+0.00880684546327318i</v>
      </c>
      <c r="AN91" s="32">
        <f t="shared" si="92"/>
        <v>1.0000387795115817</v>
      </c>
      <c r="AO91" s="32">
        <f t="shared" si="93"/>
        <v>8.8066177860098589E-3</v>
      </c>
      <c r="AP91" s="60" t="str">
        <f t="shared" si="94"/>
        <v>-0.430139170852735+49.3299102375762i</v>
      </c>
      <c r="AQ91" s="51">
        <f t="shared" si="95"/>
        <v>33.862536695038948</v>
      </c>
      <c r="AR91" s="63">
        <f t="shared" si="96"/>
        <v>90.499586040085674</v>
      </c>
      <c r="AS91" s="60" t="str">
        <f t="shared" si="97"/>
        <v>2572.20326920366+5188.90271233837i</v>
      </c>
      <c r="AT91" s="66">
        <f t="shared" si="98"/>
        <v>75.255752428978667</v>
      </c>
      <c r="AU91" s="63">
        <f t="shared" si="99"/>
        <v>63.631816099083821</v>
      </c>
      <c r="AX91" s="32">
        <f t="shared" si="100"/>
        <v>0</v>
      </c>
      <c r="AY91" s="32">
        <f t="shared" si="101"/>
        <v>0</v>
      </c>
    </row>
    <row r="92" spans="14:51" x14ac:dyDescent="0.3">
      <c r="N92" s="11">
        <v>74</v>
      </c>
      <c r="O92" s="52">
        <f t="shared" si="76"/>
        <v>54.95408738576247</v>
      </c>
      <c r="P92" s="50" t="str">
        <f t="shared" si="67"/>
        <v>131.578947368421</v>
      </c>
      <c r="Q92" s="18" t="str">
        <f t="shared" si="68"/>
        <v>1+0.517930071647529i</v>
      </c>
      <c r="R92" s="18">
        <f t="shared" si="77"/>
        <v>1.1261667545780307</v>
      </c>
      <c r="S92" s="18">
        <f t="shared" si="78"/>
        <v>0.47788856011549974</v>
      </c>
      <c r="T92" s="18" t="str">
        <f t="shared" si="69"/>
        <v>1+1.13944615762456E-06i</v>
      </c>
      <c r="U92" s="18">
        <f t="shared" si="79"/>
        <v>1.0000000000006493</v>
      </c>
      <c r="V92" s="18">
        <f t="shared" si="80"/>
        <v>1.1394461576240669E-6</v>
      </c>
      <c r="W92" s="32" t="str">
        <f t="shared" si="70"/>
        <v>1-0.000276229371545349i</v>
      </c>
      <c r="X92" s="18">
        <f t="shared" si="81"/>
        <v>1.0000000381513321</v>
      </c>
      <c r="Y92" s="18">
        <f t="shared" si="82"/>
        <v>-2.7622936451967021E-4</v>
      </c>
      <c r="Z92" s="32" t="str">
        <f t="shared" si="71"/>
        <v>0.999999998067231+0.000116912869974237i</v>
      </c>
      <c r="AA92" s="18">
        <f t="shared" si="83"/>
        <v>1.0000000049015405</v>
      </c>
      <c r="AB92" s="18">
        <f t="shared" si="84"/>
        <v>1.169128696675234E-4</v>
      </c>
      <c r="AC92" s="68" t="str">
        <f t="shared" si="85"/>
        <v>103.727234719396-53.7750334246255i</v>
      </c>
      <c r="AD92" s="66">
        <f t="shared" si="86"/>
        <v>41.351674394325073</v>
      </c>
      <c r="AE92" s="63">
        <f t="shared" si="87"/>
        <v>-27.403457677513611</v>
      </c>
      <c r="AF92" s="32" t="str">
        <f t="shared" si="72"/>
        <v>-0.434440565864413</v>
      </c>
      <c r="AG92" s="32" t="str">
        <f t="shared" si="73"/>
        <v>0.00901198324666701i</v>
      </c>
      <c r="AH92" s="32">
        <f t="shared" si="88"/>
        <v>9.0119832466670092E-3</v>
      </c>
      <c r="AI92" s="32">
        <f t="shared" si="89"/>
        <v>1.5707963267948966</v>
      </c>
      <c r="AJ92" s="32" t="str">
        <f t="shared" si="74"/>
        <v>1+0.0000892275568976932i</v>
      </c>
      <c r="AK92" s="32">
        <f t="shared" si="90"/>
        <v>1.0000000039807784</v>
      </c>
      <c r="AL92" s="32">
        <f t="shared" si="91"/>
        <v>8.9227556660896433E-5</v>
      </c>
      <c r="AM92" s="32" t="str">
        <f t="shared" si="75"/>
        <v>1+0.00901198324666701i</v>
      </c>
      <c r="AN92" s="32">
        <f t="shared" si="92"/>
        <v>1.0000406070965511</v>
      </c>
      <c r="AO92" s="32">
        <f t="shared" si="93"/>
        <v>9.0117392866190145E-3</v>
      </c>
      <c r="AP92" s="60" t="str">
        <f t="shared" si="94"/>
        <v>-0.430139170698604+48.2070261179648i</v>
      </c>
      <c r="AQ92" s="51">
        <f t="shared" si="95"/>
        <v>33.662552567053964</v>
      </c>
      <c r="AR92" s="63">
        <f t="shared" si="96"/>
        <v>90.51122226478256</v>
      </c>
      <c r="AS92" s="60" t="str">
        <f t="shared" si="97"/>
        <v>2547.71729407429+5023.51226154375i</v>
      </c>
      <c r="AT92" s="66">
        <f t="shared" si="98"/>
        <v>75.014226961379052</v>
      </c>
      <c r="AU92" s="63">
        <f t="shared" si="99"/>
        <v>63.107764587268996</v>
      </c>
      <c r="AX92" s="32">
        <f t="shared" si="100"/>
        <v>0</v>
      </c>
      <c r="AY92" s="32">
        <f t="shared" si="101"/>
        <v>0</v>
      </c>
    </row>
    <row r="93" spans="14:51" x14ac:dyDescent="0.3">
      <c r="N93" s="11">
        <v>75</v>
      </c>
      <c r="O93" s="52">
        <f t="shared" si="76"/>
        <v>56.234132519034915</v>
      </c>
      <c r="P93" s="50" t="str">
        <f t="shared" si="67"/>
        <v>131.578947368421</v>
      </c>
      <c r="Q93" s="18" t="str">
        <f t="shared" si="68"/>
        <v>1+0.529994212808385i</v>
      </c>
      <c r="R93" s="18">
        <f t="shared" si="77"/>
        <v>1.1317658174774408</v>
      </c>
      <c r="S93" s="18">
        <f t="shared" si="78"/>
        <v>0.48735406142768783</v>
      </c>
      <c r="T93" s="18" t="str">
        <f t="shared" si="69"/>
        <v>1+1.16598726817845E-06i</v>
      </c>
      <c r="U93" s="18">
        <f t="shared" si="79"/>
        <v>1.0000000000006799</v>
      </c>
      <c r="V93" s="18">
        <f t="shared" si="80"/>
        <v>1.1659872681779217E-6</v>
      </c>
      <c r="W93" s="32" t="str">
        <f t="shared" si="70"/>
        <v>1-0.000282663580164472i</v>
      </c>
      <c r="X93" s="18">
        <f t="shared" si="81"/>
        <v>1.0000000399493489</v>
      </c>
      <c r="Y93" s="18">
        <f t="shared" si="82"/>
        <v>-2.8266357263632155E-4</v>
      </c>
      <c r="Z93" s="32" t="str">
        <f t="shared" si="71"/>
        <v>0.999999997976142+0.000119636120552068i</v>
      </c>
      <c r="AA93" s="18">
        <f t="shared" si="83"/>
        <v>1.0000000051325426</v>
      </c>
      <c r="AB93" s="18">
        <f t="shared" si="84"/>
        <v>1.1963612022341851E-4</v>
      </c>
      <c r="AC93" s="68" t="str">
        <f t="shared" si="85"/>
        <v>102.70247317349-54.4844971742162i</v>
      </c>
      <c r="AD93" s="66">
        <f t="shared" si="86"/>
        <v>41.308596999243726</v>
      </c>
      <c r="AE93" s="63">
        <f t="shared" si="87"/>
        <v>-27.946314116716881</v>
      </c>
      <c r="AF93" s="32" t="str">
        <f t="shared" si="72"/>
        <v>-0.434440565864413</v>
      </c>
      <c r="AG93" s="32" t="str">
        <f t="shared" si="73"/>
        <v>0.0092218993028659i</v>
      </c>
      <c r="AH93" s="32">
        <f t="shared" si="88"/>
        <v>9.2218993028658994E-3</v>
      </c>
      <c r="AI93" s="32">
        <f t="shared" si="89"/>
        <v>1.5707963267948966</v>
      </c>
      <c r="AJ93" s="32" t="str">
        <f t="shared" si="74"/>
        <v>1+0.0000913059336917416i</v>
      </c>
      <c r="AK93" s="32">
        <f t="shared" si="90"/>
        <v>1.0000000041683867</v>
      </c>
      <c r="AL93" s="32">
        <f t="shared" si="91"/>
        <v>9.1305933438009309E-5</v>
      </c>
      <c r="AM93" s="32" t="str">
        <f t="shared" si="75"/>
        <v>1+0.0092218993028659i</v>
      </c>
      <c r="AN93" s="32">
        <f t="shared" si="92"/>
        <v>1.0000425208093666</v>
      </c>
      <c r="AO93" s="32">
        <f t="shared" si="93"/>
        <v>9.2216378955650609E-3</v>
      </c>
      <c r="AP93" s="60" t="str">
        <f t="shared" si="94"/>
        <v>-0.430139170537208+47.1097020016971i</v>
      </c>
      <c r="AQ93" s="51">
        <f t="shared" si="95"/>
        <v>33.46256918703191</v>
      </c>
      <c r="AR93" s="63">
        <f t="shared" si="96"/>
        <v>90.523129486983279</v>
      </c>
      <c r="AS93" s="60" t="str">
        <f t="shared" si="97"/>
        <v>2522.57206896667+4861.71882246206i</v>
      </c>
      <c r="AT93" s="66">
        <f t="shared" si="98"/>
        <v>74.771166186275636</v>
      </c>
      <c r="AU93" s="63">
        <f t="shared" si="99"/>
        <v>62.576815370266388</v>
      </c>
      <c r="AX93" s="32">
        <f t="shared" si="100"/>
        <v>0</v>
      </c>
      <c r="AY93" s="32">
        <f t="shared" si="101"/>
        <v>0</v>
      </c>
    </row>
    <row r="94" spans="14:51" x14ac:dyDescent="0.3">
      <c r="N94" s="11">
        <v>76</v>
      </c>
      <c r="O94" s="52">
        <f t="shared" si="76"/>
        <v>57.543993733715695</v>
      </c>
      <c r="P94" s="50" t="str">
        <f t="shared" si="67"/>
        <v>131.578947368421</v>
      </c>
      <c r="Q94" s="18" t="str">
        <f t="shared" si="68"/>
        <v>1+0.542339363916175i</v>
      </c>
      <c r="R94" s="18">
        <f t="shared" si="77"/>
        <v>1.1375992201355456</v>
      </c>
      <c r="S94" s="18">
        <f t="shared" si="78"/>
        <v>0.49694270568999815</v>
      </c>
      <c r="T94" s="18" t="str">
        <f t="shared" si="69"/>
        <v>1+1.19314660061559E-06i</v>
      </c>
      <c r="U94" s="18">
        <f t="shared" si="79"/>
        <v>1.0000000000007119</v>
      </c>
      <c r="V94" s="18">
        <f t="shared" si="80"/>
        <v>1.1931466006150238E-6</v>
      </c>
      <c r="W94" s="32" t="str">
        <f t="shared" si="70"/>
        <v>1-0.000289247660755294i</v>
      </c>
      <c r="X94" s="18">
        <f t="shared" si="81"/>
        <v>1.0000000418321038</v>
      </c>
      <c r="Y94" s="18">
        <f t="shared" si="82"/>
        <v>-2.8924765268873543E-4</v>
      </c>
      <c r="Z94" s="32" t="str">
        <f t="shared" si="71"/>
        <v>0.999999997880761+0.000122422803784587i</v>
      </c>
      <c r="AA94" s="18">
        <f t="shared" si="83"/>
        <v>1.0000000053744325</v>
      </c>
      <c r="AB94" s="18">
        <f t="shared" si="84"/>
        <v>1.2242280343243266E-4</v>
      </c>
      <c r="AC94" s="68" t="str">
        <f t="shared" si="85"/>
        <v>101.650875410119-55.183281284204i</v>
      </c>
      <c r="AD94" s="66">
        <f t="shared" si="86"/>
        <v>41.263942757826015</v>
      </c>
      <c r="AE94" s="63">
        <f t="shared" si="87"/>
        <v>-28.496238313270091</v>
      </c>
      <c r="AF94" s="32" t="str">
        <f t="shared" si="72"/>
        <v>-0.434440565864413</v>
      </c>
      <c r="AG94" s="32" t="str">
        <f t="shared" si="73"/>
        <v>0.00943670493214146i</v>
      </c>
      <c r="AH94" s="32">
        <f t="shared" si="88"/>
        <v>9.4367049321414601E-3</v>
      </c>
      <c r="AI94" s="32">
        <f t="shared" si="89"/>
        <v>1.5707963267948966</v>
      </c>
      <c r="AJ94" s="32" t="str">
        <f t="shared" si="74"/>
        <v>1+0.0000934327221004105i</v>
      </c>
      <c r="AK94" s="32">
        <f t="shared" si="90"/>
        <v>1.0000000043648367</v>
      </c>
      <c r="AL94" s="32">
        <f t="shared" si="91"/>
        <v>9.3432721828531445E-5</v>
      </c>
      <c r="AM94" s="32" t="str">
        <f t="shared" si="75"/>
        <v>1+0.00943670493214146i</v>
      </c>
      <c r="AN94" s="32">
        <f t="shared" si="92"/>
        <v>1.0000445247087633</v>
      </c>
      <c r="AO94" s="32">
        <f t="shared" si="93"/>
        <v>9.4364248298456181E-3</v>
      </c>
      <c r="AP94" s="60" t="str">
        <f t="shared" si="94"/>
        <v>-0.430139170368207+46.037356073001i</v>
      </c>
      <c r="AQ94" s="51">
        <f t="shared" si="95"/>
        <v>33.26258659021704</v>
      </c>
      <c r="AR94" s="63">
        <f t="shared" si="96"/>
        <v>90.535314015813412</v>
      </c>
      <c r="AS94" s="60" t="str">
        <f t="shared" si="97"/>
        <v>2496.76834654136+4703.47403721769i</v>
      </c>
      <c r="AT94" s="66">
        <f t="shared" si="98"/>
        <v>74.526529348043042</v>
      </c>
      <c r="AU94" s="63">
        <f t="shared" si="99"/>
        <v>62.039075702543322</v>
      </c>
      <c r="AX94" s="32">
        <f t="shared" si="100"/>
        <v>0</v>
      </c>
      <c r="AY94" s="32">
        <f t="shared" si="101"/>
        <v>0</v>
      </c>
    </row>
    <row r="95" spans="14:51" x14ac:dyDescent="0.3">
      <c r="N95" s="11">
        <v>77</v>
      </c>
      <c r="O95" s="52">
        <f t="shared" si="76"/>
        <v>58.884365535558949</v>
      </c>
      <c r="P95" s="50" t="str">
        <f t="shared" si="67"/>
        <v>131.578947368421</v>
      </c>
      <c r="Q95" s="18" t="str">
        <f t="shared" si="68"/>
        <v>1+0.554972070533424i</v>
      </c>
      <c r="R95" s="18">
        <f t="shared" si="77"/>
        <v>1.1436756529157013</v>
      </c>
      <c r="S95" s="18">
        <f t="shared" si="78"/>
        <v>0.50665252331963317</v>
      </c>
      <c r="T95" s="18" t="str">
        <f t="shared" si="69"/>
        <v>1+1.22093855517353E-06i</v>
      </c>
      <c r="U95" s="18">
        <f t="shared" si="79"/>
        <v>1.0000000000007452</v>
      </c>
      <c r="V95" s="18">
        <f t="shared" si="80"/>
        <v>1.2209385551729233E-6</v>
      </c>
      <c r="W95" s="32" t="str">
        <f t="shared" si="70"/>
        <v>1-0.000295985104284493i</v>
      </c>
      <c r="X95" s="18">
        <f t="shared" si="81"/>
        <v>1.0000000438035901</v>
      </c>
      <c r="Y95" s="18">
        <f t="shared" si="82"/>
        <v>-2.9598509564101981E-4</v>
      </c>
      <c r="Z95" s="32" t="str">
        <f t="shared" si="71"/>
        <v>0.999999997780884+0.00012527439720813i</v>
      </c>
      <c r="AA95" s="18">
        <f t="shared" si="83"/>
        <v>1.0000000056277212</v>
      </c>
      <c r="AB95" s="18">
        <f t="shared" si="84"/>
        <v>1.2527439683078986E-4</v>
      </c>
      <c r="AC95" s="68" t="str">
        <f t="shared" si="85"/>
        <v>100.572532100944-55.8702146101135i</v>
      </c>
      <c r="AD95" s="66">
        <f t="shared" si="86"/>
        <v>41.217670970991172</v>
      </c>
      <c r="AE95" s="63">
        <f t="shared" si="87"/>
        <v>-29.053117702240741</v>
      </c>
      <c r="AF95" s="32" t="str">
        <f t="shared" si="72"/>
        <v>-0.434440565864413</v>
      </c>
      <c r="AG95" s="32" t="str">
        <f t="shared" si="73"/>
        <v>0.00965651402728158i</v>
      </c>
      <c r="AH95" s="32">
        <f t="shared" si="88"/>
        <v>9.6565140272815795E-3</v>
      </c>
      <c r="AI95" s="32">
        <f t="shared" si="89"/>
        <v>1.5707963267948966</v>
      </c>
      <c r="AJ95" s="32" t="str">
        <f t="shared" si="74"/>
        <v>1+0.0000956090497750652i</v>
      </c>
      <c r="AK95" s="32">
        <f t="shared" si="90"/>
        <v>1.0000000045705451</v>
      </c>
      <c r="AL95" s="32">
        <f t="shared" si="91"/>
        <v>9.5609049483741539E-5</v>
      </c>
      <c r="AM95" s="32" t="str">
        <f t="shared" si="75"/>
        <v>1+0.00965651402728158i</v>
      </c>
      <c r="AN95" s="32">
        <f t="shared" si="92"/>
        <v>1.0000466230447254</v>
      </c>
      <c r="AO95" s="32">
        <f t="shared" si="93"/>
        <v>9.6562138930198615E-3</v>
      </c>
      <c r="AP95" s="60" t="str">
        <f t="shared" si="94"/>
        <v>-0.43013917019124+44.9894197598713i</v>
      </c>
      <c r="AQ95" s="51">
        <f t="shared" si="95"/>
        <v>33.06260481351427</v>
      </c>
      <c r="AR95" s="63">
        <f t="shared" si="96"/>
        <v>90.547782307126951</v>
      </c>
      <c r="AS95" s="60" t="str">
        <f t="shared" si="97"/>
        <v>2470.30835166656+4548.7318307533i</v>
      </c>
      <c r="AT95" s="66">
        <f t="shared" si="98"/>
        <v>74.280275784505434</v>
      </c>
      <c r="AU95" s="63">
        <f t="shared" si="99"/>
        <v>61.494664604886196</v>
      </c>
      <c r="AX95" s="32">
        <f t="shared" si="100"/>
        <v>0</v>
      </c>
      <c r="AY95" s="32">
        <f t="shared" si="101"/>
        <v>0</v>
      </c>
    </row>
    <row r="96" spans="14:51" x14ac:dyDescent="0.3">
      <c r="N96" s="11">
        <v>78</v>
      </c>
      <c r="O96" s="52">
        <f t="shared" si="76"/>
        <v>60.255958607435822</v>
      </c>
      <c r="P96" s="50" t="str">
        <f t="shared" si="67"/>
        <v>131.578947368421</v>
      </c>
      <c r="Q96" s="18" t="str">
        <f t="shared" si="68"/>
        <v>1+0.567899030688393i</v>
      </c>
      <c r="R96" s="18">
        <f t="shared" si="77"/>
        <v>1.1500040474088846</v>
      </c>
      <c r="S96" s="18">
        <f t="shared" si="78"/>
        <v>0.51648133826050135</v>
      </c>
      <c r="T96" s="18" t="str">
        <f t="shared" si="69"/>
        <v>1+1.24937786751446E-06i</v>
      </c>
      <c r="U96" s="18">
        <f t="shared" si="79"/>
        <v>1.0000000000007805</v>
      </c>
      <c r="V96" s="18">
        <f t="shared" si="80"/>
        <v>1.2493778675138099E-6</v>
      </c>
      <c r="W96" s="32" t="str">
        <f t="shared" si="70"/>
        <v>1-0.00030287948303381i</v>
      </c>
      <c r="X96" s="18">
        <f t="shared" si="81"/>
        <v>1.0000000458679896</v>
      </c>
      <c r="Y96" s="18">
        <f t="shared" si="82"/>
        <v>-3.0287947377216162E-4</v>
      </c>
      <c r="Z96" s="32" t="str">
        <f t="shared" si="71"/>
        <v>0.9999999976763+0.000128192412775275i</v>
      </c>
      <c r="AA96" s="18">
        <f t="shared" si="83"/>
        <v>1.0000000058929472</v>
      </c>
      <c r="AB96" s="18">
        <f t="shared" si="84"/>
        <v>1.2819241237094781E-4</v>
      </c>
      <c r="AC96" s="68" t="str">
        <f t="shared" si="85"/>
        <v>99.4675967165254-56.5441073539323i</v>
      </c>
      <c r="AD96" s="66">
        <f t="shared" si="86"/>
        <v>41.169741124724446</v>
      </c>
      <c r="AE96" s="63">
        <f t="shared" si="87"/>
        <v>-29.616827895259263</v>
      </c>
      <c r="AF96" s="32" t="str">
        <f t="shared" si="72"/>
        <v>-0.434440565864413</v>
      </c>
      <c r="AG96" s="32" t="str">
        <f t="shared" si="73"/>
        <v>0.00988144313397805i</v>
      </c>
      <c r="AH96" s="32">
        <f t="shared" si="88"/>
        <v>9.8814431339780493E-3</v>
      </c>
      <c r="AI96" s="32">
        <f t="shared" si="89"/>
        <v>1.5707963267948966</v>
      </c>
      <c r="AJ96" s="32" t="str">
        <f t="shared" si="74"/>
        <v>1+0.000097836070633446i</v>
      </c>
      <c r="AK96" s="32">
        <f t="shared" si="90"/>
        <v>1.0000000047859483</v>
      </c>
      <c r="AL96" s="32">
        <f t="shared" si="91"/>
        <v>9.7836070321287072E-5</v>
      </c>
      <c r="AM96" s="32" t="str">
        <f t="shared" si="75"/>
        <v>1+0.00988144313397805i</v>
      </c>
      <c r="AN96" s="32">
        <f t="shared" si="92"/>
        <v>1.0000488202674958</v>
      </c>
      <c r="AO96" s="32">
        <f t="shared" si="93"/>
        <v>9.8811215351703782E-3</v>
      </c>
      <c r="AP96" s="60" t="str">
        <f t="shared" si="94"/>
        <v>-0.430139170005934+43.9653374326039i</v>
      </c>
      <c r="AQ96" s="51">
        <f t="shared" si="95"/>
        <v>32.862623895567111</v>
      </c>
      <c r="AR96" s="63">
        <f t="shared" si="96"/>
        <v>90.560540966907524</v>
      </c>
      <c r="AS96" s="60" t="str">
        <f t="shared" si="97"/>
        <v>2443.19585014688+4397.44828865815i</v>
      </c>
      <c r="AT96" s="66">
        <f t="shared" si="98"/>
        <v>74.032365020291564</v>
      </c>
      <c r="AU96" s="63">
        <f t="shared" si="99"/>
        <v>60.94371307164829</v>
      </c>
      <c r="AX96" s="32">
        <f t="shared" si="100"/>
        <v>0</v>
      </c>
      <c r="AY96" s="32">
        <f t="shared" si="101"/>
        <v>0</v>
      </c>
    </row>
    <row r="97" spans="14:51" x14ac:dyDescent="0.3">
      <c r="N97" s="11">
        <v>79</v>
      </c>
      <c r="O97" s="52">
        <f t="shared" si="76"/>
        <v>61.659500186148257</v>
      </c>
      <c r="P97" s="50" t="str">
        <f t="shared" si="67"/>
        <v>131.578947368421</v>
      </c>
      <c r="Q97" s="18" t="str">
        <f t="shared" si="68"/>
        <v>1+0.581127098426466i</v>
      </c>
      <c r="R97" s="18">
        <f t="shared" si="77"/>
        <v>1.1565935779371954</v>
      </c>
      <c r="S97" s="18">
        <f t="shared" si="78"/>
        <v>0.52642676503816266</v>
      </c>
      <c r="T97" s="18" t="str">
        <f t="shared" si="69"/>
        <v>1+1.27847961653823E-06i</v>
      </c>
      <c r="U97" s="18">
        <f t="shared" si="79"/>
        <v>1.0000000000008171</v>
      </c>
      <c r="V97" s="18">
        <f t="shared" si="80"/>
        <v>1.2784796165375335E-6</v>
      </c>
      <c r="W97" s="32" t="str">
        <f t="shared" si="70"/>
        <v>1-0.000309934452494115i</v>
      </c>
      <c r="X97" s="18">
        <f t="shared" si="81"/>
        <v>1.0000000480296813</v>
      </c>
      <c r="Y97" s="18">
        <f t="shared" si="82"/>
        <v>-3.0993444257008002E-4</v>
      </c>
      <c r="Z97" s="32" t="str">
        <f t="shared" si="71"/>
        <v>0.999999997566788+0.0001311783976565i</v>
      </c>
      <c r="AA97" s="18">
        <f t="shared" si="83"/>
        <v>1.000000006170674</v>
      </c>
      <c r="AB97" s="18">
        <f t="shared" si="84"/>
        <v>1.3117839722325553E-4</v>
      </c>
      <c r="AC97" s="68" t="str">
        <f t="shared" si="85"/>
        <v>98.3362881386294-57.2037547387157i</v>
      </c>
      <c r="AD97" s="66">
        <f t="shared" si="86"/>
        <v>41.120112987468787</v>
      </c>
      <c r="AE97" s="63">
        <f t="shared" si="87"/>
        <v>-30.187232511934717</v>
      </c>
      <c r="AF97" s="32" t="str">
        <f t="shared" si="72"/>
        <v>-0.434440565864413</v>
      </c>
      <c r="AG97" s="32" t="str">
        <f t="shared" si="73"/>
        <v>0.0101116115126205i</v>
      </c>
      <c r="AH97" s="32">
        <f t="shared" si="88"/>
        <v>1.0111611512620499E-2</v>
      </c>
      <c r="AI97" s="32">
        <f t="shared" si="89"/>
        <v>1.5707963267948966</v>
      </c>
      <c r="AJ97" s="32" t="str">
        <f t="shared" si="74"/>
        <v>1+0.00010011496547149i</v>
      </c>
      <c r="AK97" s="32">
        <f t="shared" si="90"/>
        <v>1.000000005011503</v>
      </c>
      <c r="AL97" s="32">
        <f t="shared" si="91"/>
        <v>1.0011496513700569E-4</v>
      </c>
      <c r="AM97" s="32" t="str">
        <f t="shared" si="75"/>
        <v>1+0.0101116115126205i</v>
      </c>
      <c r="AN97" s="32">
        <f t="shared" si="92"/>
        <v>1.0000511210370109</v>
      </c>
      <c r="AO97" s="32">
        <f t="shared" si="93"/>
        <v>1.0111266914240918E-2</v>
      </c>
      <c r="AP97" s="60" t="str">
        <f t="shared" si="94"/>
        <v>-0.430139169811894+42.9645661091931i</v>
      </c>
      <c r="AQ97" s="51">
        <f t="shared" si="95"/>
        <v>32.662643876839475</v>
      </c>
      <c r="AR97" s="63">
        <f t="shared" si="96"/>
        <v>90.573596754747825</v>
      </c>
      <c r="AS97" s="60" t="str">
        <f t="shared" si="97"/>
        <v>2415.43621282329+4249.58152823824i</v>
      </c>
      <c r="AT97" s="66">
        <f t="shared" si="98"/>
        <v>73.782756864308269</v>
      </c>
      <c r="AU97" s="63">
        <f t="shared" si="99"/>
        <v>60.386364242813066</v>
      </c>
      <c r="AX97" s="32">
        <f t="shared" si="100"/>
        <v>0</v>
      </c>
      <c r="AY97" s="32">
        <f t="shared" si="101"/>
        <v>0</v>
      </c>
    </row>
    <row r="98" spans="14:51" x14ac:dyDescent="0.3">
      <c r="N98" s="11">
        <v>80</v>
      </c>
      <c r="O98" s="52">
        <f t="shared" si="76"/>
        <v>63.095734448019364</v>
      </c>
      <c r="P98" s="50" t="str">
        <f t="shared" si="67"/>
        <v>131.578947368421</v>
      </c>
      <c r="Q98" s="18" t="str">
        <f t="shared" si="68"/>
        <v>1+0.59466328744425i</v>
      </c>
      <c r="R98" s="18">
        <f t="shared" si="77"/>
        <v>1.1634536627790566</v>
      </c>
      <c r="S98" s="18">
        <f t="shared" si="78"/>
        <v>0.53648620648407519</v>
      </c>
      <c r="T98" s="18" t="str">
        <f t="shared" si="69"/>
        <v>1+1.30825923237735E-06i</v>
      </c>
      <c r="U98" s="18">
        <f t="shared" si="79"/>
        <v>1.0000000000008558</v>
      </c>
      <c r="V98" s="18">
        <f t="shared" si="80"/>
        <v>1.3082592323766035E-6</v>
      </c>
      <c r="W98" s="32" t="str">
        <f t="shared" si="70"/>
        <v>1-0.0003171537533036i</v>
      </c>
      <c r="X98" s="18">
        <f t="shared" si="81"/>
        <v>1.0000000502932502</v>
      </c>
      <c r="Y98" s="18">
        <f t="shared" si="82"/>
        <v>-3.1715374266980492E-4</v>
      </c>
      <c r="Z98" s="32" t="str">
        <f t="shared" si="71"/>
        <v>0.999999997452114+0.000134233935060515i</v>
      </c>
      <c r="AA98" s="18">
        <f t="shared" si="83"/>
        <v>1.0000000064614885</v>
      </c>
      <c r="AB98" s="18">
        <f t="shared" si="84"/>
        <v>1.3423393459628522E-4</v>
      </c>
      <c r="AC98" s="68" t="str">
        <f t="shared" si="85"/>
        <v>97.1788930492748-57.8479409875284i</v>
      </c>
      <c r="AD98" s="66">
        <f t="shared" si="86"/>
        <v>41.068746711319704</v>
      </c>
      <c r="AE98" s="63">
        <f t="shared" si="87"/>
        <v>-30.764183049620566</v>
      </c>
      <c r="AF98" s="32" t="str">
        <f t="shared" si="72"/>
        <v>-0.434440565864413</v>
      </c>
      <c r="AG98" s="32" t="str">
        <f t="shared" si="73"/>
        <v>0.01034714120153i</v>
      </c>
      <c r="AH98" s="32">
        <f t="shared" si="88"/>
        <v>1.034714120153E-2</v>
      </c>
      <c r="AI98" s="32">
        <f t="shared" si="89"/>
        <v>1.5707963267948966</v>
      </c>
      <c r="AJ98" s="32" t="str">
        <f t="shared" si="74"/>
        <v>1+0.000102446942589406i</v>
      </c>
      <c r="AK98" s="32">
        <f t="shared" si="90"/>
        <v>1.0000000052476881</v>
      </c>
      <c r="AL98" s="32">
        <f t="shared" si="91"/>
        <v>1.024469422309996E-4</v>
      </c>
      <c r="AM98" s="32" t="str">
        <f t="shared" si="75"/>
        <v>1+0.01034714120153i</v>
      </c>
      <c r="AN98" s="32">
        <f t="shared" si="92"/>
        <v>1.0000535302327793</v>
      </c>
      <c r="AO98" s="32">
        <f t="shared" si="93"/>
        <v>1.0346771958781184E-2</v>
      </c>
      <c r="AP98" s="60" t="str">
        <f t="shared" si="94"/>
        <v>-0.430139169608709+41.9865751674366i</v>
      </c>
      <c r="AQ98" s="51">
        <f t="shared" si="95"/>
        <v>32.462664799701628</v>
      </c>
      <c r="AR98" s="63">
        <f t="shared" si="96"/>
        <v>90.586956587408608</v>
      </c>
      <c r="AS98" s="60" t="str">
        <f t="shared" si="97"/>
        <v>2387.03647419459+4105.09156300161i</v>
      </c>
      <c r="AT98" s="66">
        <f t="shared" si="98"/>
        <v>73.531411511021346</v>
      </c>
      <c r="AU98" s="63">
        <f t="shared" si="99"/>
        <v>59.822773537788052</v>
      </c>
      <c r="AX98" s="32">
        <f t="shared" si="100"/>
        <v>0</v>
      </c>
      <c r="AY98" s="32">
        <f t="shared" si="101"/>
        <v>0</v>
      </c>
    </row>
    <row r="99" spans="14:51" x14ac:dyDescent="0.3">
      <c r="N99" s="11">
        <v>81</v>
      </c>
      <c r="O99" s="52">
        <f t="shared" si="76"/>
        <v>64.565422903465588</v>
      </c>
      <c r="P99" s="50" t="str">
        <f t="shared" si="67"/>
        <v>131.578947368421</v>
      </c>
      <c r="Q99" s="18" t="str">
        <f t="shared" si="68"/>
        <v>1+0.608514774808336i</v>
      </c>
      <c r="R99" s="18">
        <f t="shared" si="77"/>
        <v>1.1705939651134547</v>
      </c>
      <c r="S99" s="18">
        <f t="shared" si="78"/>
        <v>0.54665685218140125</v>
      </c>
      <c r="T99" s="18" t="str">
        <f t="shared" si="69"/>
        <v>1+1.33873250457834E-06i</v>
      </c>
      <c r="U99" s="18">
        <f t="shared" si="79"/>
        <v>1.0000000000008962</v>
      </c>
      <c r="V99" s="18">
        <f t="shared" si="80"/>
        <v>1.3387325045775403E-6</v>
      </c>
      <c r="W99" s="32" t="str">
        <f t="shared" si="70"/>
        <v>1-0.000324541213231113i</v>
      </c>
      <c r="X99" s="18">
        <f t="shared" si="81"/>
        <v>1.0000000526634982</v>
      </c>
      <c r="Y99" s="18">
        <f t="shared" si="82"/>
        <v>-3.2454120183679638E-4</v>
      </c>
      <c r="Z99" s="32" t="str">
        <f t="shared" si="71"/>
        <v>0.999999997332036+0.000137360645073695i</v>
      </c>
      <c r="AA99" s="18">
        <f t="shared" si="83"/>
        <v>1.0000000067660093</v>
      </c>
      <c r="AB99" s="18">
        <f t="shared" si="84"/>
        <v>1.3736064457626384E-4</v>
      </c>
      <c r="AC99" s="68" t="str">
        <f t="shared" si="85"/>
        <v>95.9957680615592-58.4754435948968i</v>
      </c>
      <c r="AD99" s="66">
        <f t="shared" si="86"/>
        <v>41.015602936656883</v>
      </c>
      <c r="AE99" s="63">
        <f t="shared" si="87"/>
        <v>-31.347518794527556</v>
      </c>
      <c r="AF99" s="32" t="str">
        <f t="shared" si="72"/>
        <v>-0.434440565864413</v>
      </c>
      <c r="AG99" s="32" t="str">
        <f t="shared" si="73"/>
        <v>0.0105881570816651i</v>
      </c>
      <c r="AH99" s="32">
        <f t="shared" si="88"/>
        <v>1.0588157081665101E-2</v>
      </c>
      <c r="AI99" s="32">
        <f t="shared" si="89"/>
        <v>1.5707963267948966</v>
      </c>
      <c r="AJ99" s="32" t="str">
        <f t="shared" si="74"/>
        <v>1+0.000104833238432327i</v>
      </c>
      <c r="AK99" s="32">
        <f t="shared" si="90"/>
        <v>1.0000000054950038</v>
      </c>
      <c r="AL99" s="32">
        <f t="shared" si="91"/>
        <v>1.0483323804828763E-4</v>
      </c>
      <c r="AM99" s="32" t="str">
        <f t="shared" si="75"/>
        <v>1+0.0105881570816651i</v>
      </c>
      <c r="AN99" s="32">
        <f t="shared" si="92"/>
        <v>1.0000560529642255</v>
      </c>
      <c r="AO99" s="32">
        <f t="shared" si="93"/>
        <v>1.0587761432129125E-2</v>
      </c>
      <c r="AP99" s="60" t="str">
        <f t="shared" si="94"/>
        <v>-0.430139169395948+41.030846063592i</v>
      </c>
      <c r="AQ99" s="51">
        <f t="shared" si="95"/>
        <v>32.262686708519873</v>
      </c>
      <c r="AR99" s="63">
        <f t="shared" si="96"/>
        <v>90.600627542459534</v>
      </c>
      <c r="AS99" s="60" t="str">
        <f t="shared" si="97"/>
        <v>2358.00538470294+3963.94016082809i</v>
      </c>
      <c r="AT99" s="66">
        <f t="shared" si="98"/>
        <v>73.278289645176756</v>
      </c>
      <c r="AU99" s="63">
        <f t="shared" si="99"/>
        <v>59.253108747932032</v>
      </c>
      <c r="AX99" s="32">
        <f t="shared" si="100"/>
        <v>0</v>
      </c>
      <c r="AY99" s="32">
        <f t="shared" si="101"/>
        <v>0</v>
      </c>
    </row>
    <row r="100" spans="14:51" x14ac:dyDescent="0.3">
      <c r="N100" s="11">
        <v>82</v>
      </c>
      <c r="O100" s="52">
        <f t="shared" si="76"/>
        <v>66.069344800759623</v>
      </c>
      <c r="P100" s="50" t="str">
        <f t="shared" si="67"/>
        <v>131.578947368421</v>
      </c>
      <c r="Q100" s="18" t="str">
        <f t="shared" si="68"/>
        <v>1+0.622688904760672i</v>
      </c>
      <c r="R100" s="18">
        <f t="shared" si="77"/>
        <v>1.1780243936829344</v>
      </c>
      <c r="S100" s="18">
        <f t="shared" si="78"/>
        <v>0.55693567768217267</v>
      </c>
      <c r="T100" s="18" t="str">
        <f t="shared" si="69"/>
        <v>1+1.36991559047348E-06i</v>
      </c>
      <c r="U100" s="18">
        <f t="shared" si="79"/>
        <v>1.0000000000009384</v>
      </c>
      <c r="V100" s="18">
        <f t="shared" si="80"/>
        <v>1.369915590472623E-6</v>
      </c>
      <c r="W100" s="32" t="str">
        <f t="shared" si="70"/>
        <v>1-0.000332100749205692i</v>
      </c>
      <c r="X100" s="18">
        <f t="shared" si="81"/>
        <v>1.0000000551454522</v>
      </c>
      <c r="Y100" s="18">
        <f t="shared" si="82"/>
        <v>-3.3210073699646179E-4</v>
      </c>
      <c r="Z100" s="32" t="str">
        <f t="shared" si="71"/>
        <v>0.999999997206299+0.000140560185519076i</v>
      </c>
      <c r="AA100" s="18">
        <f t="shared" si="83"/>
        <v>1.0000000070848818</v>
      </c>
      <c r="AB100" s="18">
        <f t="shared" si="84"/>
        <v>1.4056018498606886E-4</v>
      </c>
      <c r="AC100" s="68" t="str">
        <f t="shared" si="85"/>
        <v>94.7873415574587-59.0850378747997i</v>
      </c>
      <c r="AD100" s="66">
        <f t="shared" si="86"/>
        <v>40.960642899793946</v>
      </c>
      <c r="AE100" s="63">
        <f t="shared" si="87"/>
        <v>-31.937066777035575</v>
      </c>
      <c r="AF100" s="32" t="str">
        <f t="shared" si="72"/>
        <v>-0.434440565864413</v>
      </c>
      <c r="AG100" s="32" t="str">
        <f t="shared" si="73"/>
        <v>0.0108347869428357i</v>
      </c>
      <c r="AH100" s="32">
        <f t="shared" si="88"/>
        <v>1.0834786942835699E-2</v>
      </c>
      <c r="AI100" s="32">
        <f t="shared" si="89"/>
        <v>1.5707963267948966</v>
      </c>
      <c r="AJ100" s="32" t="str">
        <f t="shared" si="74"/>
        <v>1+0.000107275118245898i</v>
      </c>
      <c r="AK100" s="32">
        <f t="shared" si="90"/>
        <v>1.0000000057539755</v>
      </c>
      <c r="AL100" s="32">
        <f t="shared" si="91"/>
        <v>1.072751178343924E-4</v>
      </c>
      <c r="AM100" s="32" t="str">
        <f t="shared" si="75"/>
        <v>1+0.0108347869428357i</v>
      </c>
      <c r="AN100" s="32">
        <f t="shared" si="92"/>
        <v>1.0000586945815213</v>
      </c>
      <c r="AO100" s="32">
        <f t="shared" si="93"/>
        <v>1.0834362998063625E-2</v>
      </c>
      <c r="AP100" s="60" t="str">
        <f t="shared" si="94"/>
        <v>-0.430139169173161+40.0968720574379i</v>
      </c>
      <c r="AQ100" s="51">
        <f t="shared" si="95"/>
        <v>32.062709649750445</v>
      </c>
      <c r="AR100" s="63">
        <f t="shared" si="96"/>
        <v>90.614616862003075</v>
      </c>
      <c r="AS100" s="60" t="str">
        <f t="shared" si="97"/>
        <v>2328.35345582906+3826.09069619612i</v>
      </c>
      <c r="AT100" s="66">
        <f t="shared" si="98"/>
        <v>73.023352549544398</v>
      </c>
      <c r="AU100" s="63">
        <f t="shared" si="99"/>
        <v>58.677550084967486</v>
      </c>
      <c r="AX100" s="32">
        <f t="shared" si="100"/>
        <v>0</v>
      </c>
      <c r="AY100" s="32">
        <f t="shared" si="101"/>
        <v>0</v>
      </c>
    </row>
    <row r="101" spans="14:51" x14ac:dyDescent="0.3">
      <c r="N101" s="11">
        <v>83</v>
      </c>
      <c r="O101" s="52">
        <f t="shared" si="76"/>
        <v>67.60829753919819</v>
      </c>
      <c r="P101" s="50" t="str">
        <f t="shared" si="67"/>
        <v>131.578947368421</v>
      </c>
      <c r="Q101" s="18" t="str">
        <f t="shared" si="68"/>
        <v>1+0.637193192612574i</v>
      </c>
      <c r="R101" s="18">
        <f t="shared" si="77"/>
        <v>1.1857551031776354</v>
      </c>
      <c r="S101" s="18">
        <f t="shared" si="78"/>
        <v>0.56731944454247152</v>
      </c>
      <c r="T101" s="18" t="str">
        <f t="shared" si="69"/>
        <v>1+1.40182502374766E-06i</v>
      </c>
      <c r="U101" s="18">
        <f t="shared" si="79"/>
        <v>1.0000000000009825</v>
      </c>
      <c r="V101" s="18">
        <f t="shared" si="80"/>
        <v>1.4018250237467418E-6</v>
      </c>
      <c r="W101" s="32" t="str">
        <f t="shared" si="70"/>
        <v>1-0.000339836369393373i</v>
      </c>
      <c r="X101" s="18">
        <f t="shared" si="81"/>
        <v>1.0000000577443773</v>
      </c>
      <c r="Y101" s="18">
        <f t="shared" si="82"/>
        <v>-3.3983635631094715E-4</v>
      </c>
      <c r="Z101" s="32" t="str">
        <f t="shared" si="71"/>
        <v>0.999999997074636+0.000143834252835353i</v>
      </c>
      <c r="AA101" s="18">
        <f t="shared" si="83"/>
        <v>1.0000000074187823</v>
      </c>
      <c r="AB101" s="18">
        <f t="shared" si="84"/>
        <v>1.4383425226422551E-4</v>
      </c>
      <c r="AC101" s="68" t="str">
        <f t="shared" si="85"/>
        <v>93.5541151984408-59.675501764961i</v>
      </c>
      <c r="AD101" s="66">
        <f t="shared" si="86"/>
        <v>40.9038285431755</v>
      </c>
      <c r="AE101" s="63">
        <f t="shared" si="87"/>
        <v>-32.53264177387814</v>
      </c>
      <c r="AF101" s="32" t="str">
        <f t="shared" si="72"/>
        <v>-0.434440565864413</v>
      </c>
      <c r="AG101" s="32" t="str">
        <f t="shared" si="73"/>
        <v>0.0110871615514588i</v>
      </c>
      <c r="AH101" s="32">
        <f t="shared" si="88"/>
        <v>1.10871615514588E-2</v>
      </c>
      <c r="AI101" s="32">
        <f t="shared" si="89"/>
        <v>1.5707963267948966</v>
      </c>
      <c r="AJ101" s="32" t="str">
        <f t="shared" si="74"/>
        <v>1+0.000109773876747117i</v>
      </c>
      <c r="AK101" s="32">
        <f t="shared" si="90"/>
        <v>1.0000000060251519</v>
      </c>
      <c r="AL101" s="32">
        <f t="shared" si="91"/>
        <v>1.0977387630618081E-4</v>
      </c>
      <c r="AM101" s="32" t="str">
        <f t="shared" si="75"/>
        <v>1+0.0110871615514588i</v>
      </c>
      <c r="AN101" s="32">
        <f t="shared" si="92"/>
        <v>1.000061460686926</v>
      </c>
      <c r="AO101" s="32">
        <f t="shared" si="93"/>
        <v>1.108670728795896E-2</v>
      </c>
      <c r="AP101" s="60" t="str">
        <f t="shared" si="94"/>
        <v>-0.430139168939873+39.1841579435933i</v>
      </c>
      <c r="AQ101" s="51">
        <f t="shared" si="95"/>
        <v>31.862733672037955</v>
      </c>
      <c r="AR101" s="63">
        <f t="shared" si="96"/>
        <v>90.628931956483839</v>
      </c>
      <c r="AS101" s="60" t="str">
        <f t="shared" si="97"/>
        <v>2298.09299715905+3691.50799694408i</v>
      </c>
      <c r="AT101" s="66">
        <f t="shared" si="98"/>
        <v>72.766562215213455</v>
      </c>
      <c r="AU101" s="63">
        <f t="shared" si="99"/>
        <v>58.096290182605721</v>
      </c>
      <c r="AX101" s="32">
        <f t="shared" si="100"/>
        <v>0</v>
      </c>
      <c r="AY101" s="32">
        <f t="shared" si="101"/>
        <v>0</v>
      </c>
    </row>
    <row r="102" spans="14:51" x14ac:dyDescent="0.3">
      <c r="N102" s="11">
        <v>84</v>
      </c>
      <c r="O102" s="52">
        <f t="shared" si="76"/>
        <v>69.183097091893657</v>
      </c>
      <c r="P102" s="50" t="str">
        <f t="shared" si="67"/>
        <v>131.578947368421</v>
      </c>
      <c r="Q102" s="18" t="str">
        <f t="shared" si="68"/>
        <v>1+0.652035328729447i</v>
      </c>
      <c r="R102" s="18">
        <f t="shared" si="77"/>
        <v>1.1937964943453796</v>
      </c>
      <c r="S102" s="18">
        <f t="shared" si="78"/>
        <v>0.57780470121836391</v>
      </c>
      <c r="T102" s="18" t="str">
        <f t="shared" si="69"/>
        <v>1+1.43447772320478E-06i</v>
      </c>
      <c r="U102" s="18">
        <f t="shared" si="79"/>
        <v>1.000000000001029</v>
      </c>
      <c r="V102" s="18">
        <f t="shared" si="80"/>
        <v>1.4344777232037961E-6</v>
      </c>
      <c r="W102" s="32" t="str">
        <f t="shared" si="70"/>
        <v>1-0.000347752175322372i</v>
      </c>
      <c r="X102" s="18">
        <f t="shared" si="81"/>
        <v>1.0000000604657859</v>
      </c>
      <c r="Y102" s="18">
        <f t="shared" si="82"/>
        <v>-3.4775216130430021E-4</v>
      </c>
      <c r="Z102" s="32" t="str">
        <f t="shared" si="71"/>
        <v>0.999999996936767+0.000147184582976355i</v>
      </c>
      <c r="AA102" s="18">
        <f t="shared" si="83"/>
        <v>1.0000000077684177</v>
      </c>
      <c r="AB102" s="18">
        <f t="shared" si="84"/>
        <v>1.4718458236438102E-4</v>
      </c>
      <c r="AC102" s="68" t="str">
        <f t="shared" si="85"/>
        <v>92.2966650759225-60.2456208628741i</v>
      </c>
      <c r="AD102" s="66">
        <f t="shared" si="86"/>
        <v>40.84512262759911</v>
      </c>
      <c r="AE102" s="63">
        <f t="shared" si="87"/>
        <v>-33.134046359648629</v>
      </c>
      <c r="AF102" s="32" t="str">
        <f t="shared" si="72"/>
        <v>-0.434440565864413</v>
      </c>
      <c r="AG102" s="32" t="str">
        <f t="shared" si="73"/>
        <v>0.0113454147198924i</v>
      </c>
      <c r="AH102" s="32">
        <f t="shared" si="88"/>
        <v>1.1345414719892401E-2</v>
      </c>
      <c r="AI102" s="32">
        <f t="shared" si="89"/>
        <v>1.5707963267948966</v>
      </c>
      <c r="AJ102" s="32" t="str">
        <f t="shared" si="74"/>
        <v>1+0.000112330838810816i</v>
      </c>
      <c r="AK102" s="32">
        <f t="shared" si="90"/>
        <v>1.0000000063091086</v>
      </c>
      <c r="AL102" s="32">
        <f t="shared" si="91"/>
        <v>1.1233083833834436E-4</v>
      </c>
      <c r="AM102" s="32" t="str">
        <f t="shared" si="75"/>
        <v>1+0.0113454147198924i</v>
      </c>
      <c r="AN102" s="32">
        <f t="shared" si="92"/>
        <v>1.0000643571466621</v>
      </c>
      <c r="AO102" s="32">
        <f t="shared" si="93"/>
        <v>1.1344927969474413E-2</v>
      </c>
      <c r="AP102" s="60" t="str">
        <f t="shared" si="94"/>
        <v>-0.430139168695592+38.2922197889541i</v>
      </c>
      <c r="AQ102" s="51">
        <f t="shared" si="95"/>
        <v>31.662758826318566</v>
      </c>
      <c r="AR102" s="63">
        <f t="shared" si="96"/>
        <v>90.643580408584853</v>
      </c>
      <c r="AS102" s="60" t="str">
        <f t="shared" si="97"/>
        <v>2267.23814461404+3560.15818615021i</v>
      </c>
      <c r="AT102" s="66">
        <f t="shared" si="98"/>
        <v>72.507881453917662</v>
      </c>
      <c r="AU102" s="63">
        <f t="shared" si="99"/>
        <v>57.509534048936203</v>
      </c>
      <c r="AX102" s="32">
        <f t="shared" si="100"/>
        <v>0</v>
      </c>
      <c r="AY102" s="32">
        <f t="shared" si="101"/>
        <v>0</v>
      </c>
    </row>
    <row r="103" spans="14:51" x14ac:dyDescent="0.3">
      <c r="N103" s="11">
        <v>85</v>
      </c>
      <c r="O103" s="52">
        <f t="shared" si="76"/>
        <v>70.794578438413865</v>
      </c>
      <c r="P103" s="50" t="str">
        <f t="shared" si="67"/>
        <v>131.578947368421</v>
      </c>
      <c r="Q103" s="18" t="str">
        <f t="shared" si="68"/>
        <v>1+0.667223182608322i</v>
      </c>
      <c r="R103" s="18">
        <f t="shared" si="77"/>
        <v>1.2021592138356625</v>
      </c>
      <c r="S103" s="18">
        <f t="shared" si="78"/>
        <v>0.58838778486064058</v>
      </c>
      <c r="T103" s="18" t="str">
        <f t="shared" si="69"/>
        <v>1+1.46789100173831E-06i</v>
      </c>
      <c r="U103" s="18">
        <f t="shared" si="79"/>
        <v>1.0000000000010774</v>
      </c>
      <c r="V103" s="18">
        <f t="shared" si="80"/>
        <v>1.4678910017372556E-6</v>
      </c>
      <c r="W103" s="32" t="str">
        <f t="shared" si="70"/>
        <v>1-0.000355852364057772i</v>
      </c>
      <c r="X103" s="18">
        <f t="shared" si="81"/>
        <v>1.0000000633154504</v>
      </c>
      <c r="Y103" s="18">
        <f t="shared" si="82"/>
        <v>-3.558523490371375E-4</v>
      </c>
      <c r="Z103" s="32" t="str">
        <f t="shared" si="71"/>
        <v>0.999999996792402+0.000150612952331469i</v>
      </c>
      <c r="AA103" s="18">
        <f t="shared" si="83"/>
        <v>1.0000000081345328</v>
      </c>
      <c r="AB103" s="18">
        <f t="shared" si="84"/>
        <v>1.5061295167572694E-4</v>
      </c>
      <c r="AC103" s="68" t="str">
        <f t="shared" si="85"/>
        <v>91.0156424703782-60.7941936646629i</v>
      </c>
      <c r="AD103" s="66">
        <f t="shared" si="86"/>
        <v>40.784488845891183</v>
      </c>
      <c r="AE103" s="63">
        <f t="shared" si="87"/>
        <v>-33.741071009807662</v>
      </c>
      <c r="AF103" s="32" t="str">
        <f t="shared" si="72"/>
        <v>-0.434440565864413</v>
      </c>
      <c r="AG103" s="32" t="str">
        <f t="shared" si="73"/>
        <v>0.0116096833773848i</v>
      </c>
      <c r="AH103" s="32">
        <f t="shared" si="88"/>
        <v>1.16096833773848E-2</v>
      </c>
      <c r="AI103" s="32">
        <f t="shared" si="89"/>
        <v>1.5707963267948966</v>
      </c>
      <c r="AJ103" s="32" t="str">
        <f t="shared" si="74"/>
        <v>1+0.000114947360172127i</v>
      </c>
      <c r="AK103" s="32">
        <f t="shared" si="90"/>
        <v>1.0000000066064478</v>
      </c>
      <c r="AL103" s="32">
        <f t="shared" si="91"/>
        <v>1.1494735966586451E-4</v>
      </c>
      <c r="AM103" s="32" t="str">
        <f t="shared" si="75"/>
        <v>1+0.0116096833773848i</v>
      </c>
      <c r="AN103" s="32">
        <f t="shared" si="92"/>
        <v>1.0000673901033486</v>
      </c>
      <c r="AO103" s="32">
        <f t="shared" si="93"/>
        <v>1.1609161816813259E-2</v>
      </c>
      <c r="AP103" s="60" t="str">
        <f t="shared" si="94"/>
        <v>-0.430139168439797+37.4205846761044i</v>
      </c>
      <c r="AQ103" s="51">
        <f t="shared" si="95"/>
        <v>31.462785165927706</v>
      </c>
      <c r="AR103" s="63">
        <f t="shared" si="96"/>
        <v>90.658569977212792</v>
      </c>
      <c r="AS103" s="60" t="str">
        <f t="shared" si="97"/>
        <v>2235.80487907679+3432.00851982172i</v>
      </c>
      <c r="AT103" s="66">
        <f t="shared" si="98"/>
        <v>72.247274011818888</v>
      </c>
      <c r="AU103" s="63">
        <f t="shared" si="99"/>
        <v>56.917498967405102</v>
      </c>
      <c r="AX103" s="32">
        <f t="shared" si="100"/>
        <v>0</v>
      </c>
      <c r="AY103" s="32">
        <f t="shared" si="101"/>
        <v>0</v>
      </c>
    </row>
    <row r="104" spans="14:51" x14ac:dyDescent="0.3">
      <c r="N104" s="11">
        <v>86</v>
      </c>
      <c r="O104" s="52">
        <f t="shared" si="76"/>
        <v>72.443596007499011</v>
      </c>
      <c r="P104" s="50" t="str">
        <f t="shared" si="67"/>
        <v>131.578947368421</v>
      </c>
      <c r="Q104" s="18" t="str">
        <f t="shared" si="68"/>
        <v>1+0.682764807050356i</v>
      </c>
      <c r="R104" s="18">
        <f t="shared" si="77"/>
        <v>1.2108541537883537</v>
      </c>
      <c r="S104" s="18">
        <f t="shared" si="78"/>
        <v>0.59906482404098704</v>
      </c>
      <c r="T104" s="18" t="str">
        <f t="shared" si="69"/>
        <v>1+1.50208257551078E-06i</v>
      </c>
      <c r="U104" s="18">
        <f t="shared" si="79"/>
        <v>1.000000000001128</v>
      </c>
      <c r="V104" s="18">
        <f t="shared" si="80"/>
        <v>1.5020825755096502E-6</v>
      </c>
      <c r="W104" s="32" t="str">
        <f t="shared" si="70"/>
        <v>1-0.000364141230426857i</v>
      </c>
      <c r="X104" s="18">
        <f t="shared" si="81"/>
        <v>1.0000000662994157</v>
      </c>
      <c r="Y104" s="18">
        <f t="shared" si="82"/>
        <v>-3.6414121433195725E-4</v>
      </c>
      <c r="Z104" s="32" t="str">
        <f t="shared" si="71"/>
        <v>0.999999996641232+0.000154121178667507i</v>
      </c>
      <c r="AA104" s="18">
        <f t="shared" si="83"/>
        <v>1.0000000085179008</v>
      </c>
      <c r="AB104" s="18">
        <f t="shared" si="84"/>
        <v>1.5412117796486681E-4</v>
      </c>
      <c r="AC104" s="68" t="str">
        <f t="shared" si="85"/>
        <v>89.71177419026-61.3200369736556i</v>
      </c>
      <c r="AD104" s="66">
        <f t="shared" si="86"/>
        <v>40.72189193742016</v>
      </c>
      <c r="AE104" s="63">
        <f t="shared" si="87"/>
        <v>-34.353494257062763</v>
      </c>
      <c r="AF104" s="32" t="str">
        <f t="shared" si="72"/>
        <v>-0.434440565864413</v>
      </c>
      <c r="AG104" s="32" t="str">
        <f t="shared" si="73"/>
        <v>0.0118801076426762i</v>
      </c>
      <c r="AH104" s="32">
        <f t="shared" si="88"/>
        <v>1.18801076426762E-2</v>
      </c>
      <c r="AI104" s="32">
        <f t="shared" si="89"/>
        <v>1.5707963267948966</v>
      </c>
      <c r="AJ104" s="32" t="str">
        <f t="shared" si="74"/>
        <v>1+0.000117624828145309i</v>
      </c>
      <c r="AK104" s="32">
        <f t="shared" si="90"/>
        <v>1.0000000069178001</v>
      </c>
      <c r="AL104" s="32">
        <f t="shared" si="91"/>
        <v>1.1762482760283897E-4</v>
      </c>
      <c r="AM104" s="32" t="str">
        <f t="shared" si="75"/>
        <v>1+0.0118801076426762i</v>
      </c>
      <c r="AN104" s="32">
        <f t="shared" si="92"/>
        <v>1.0000705659890214</v>
      </c>
      <c r="AO104" s="32">
        <f t="shared" si="93"/>
        <v>1.1879548782584702E-2</v>
      </c>
      <c r="AP104" s="60" t="str">
        <f t="shared" si="94"/>
        <v>-0.430139168171947+36.5687904525701i</v>
      </c>
      <c r="AQ104" s="51">
        <f t="shared" si="95"/>
        <v>31.262812746713156</v>
      </c>
      <c r="AR104" s="63">
        <f t="shared" si="96"/>
        <v>90.673908601574283</v>
      </c>
      <c r="AS104" s="60" t="str">
        <f t="shared" si="97"/>
        <v>2203.81103470803+3307.02722118803i</v>
      </c>
      <c r="AT104" s="66">
        <f t="shared" si="98"/>
        <v>71.98470468413332</v>
      </c>
      <c r="AU104" s="63">
        <f t="shared" si="99"/>
        <v>56.320414344511597</v>
      </c>
      <c r="AX104" s="32">
        <f t="shared" si="100"/>
        <v>0</v>
      </c>
      <c r="AY104" s="32">
        <f t="shared" si="101"/>
        <v>0</v>
      </c>
    </row>
    <row r="105" spans="14:51" x14ac:dyDescent="0.3">
      <c r="N105" s="11">
        <v>87</v>
      </c>
      <c r="O105" s="52">
        <f t="shared" si="76"/>
        <v>74.131024130091816</v>
      </c>
      <c r="P105" s="50" t="str">
        <f t="shared" si="67"/>
        <v>131.578947368421</v>
      </c>
      <c r="Q105" s="18" t="str">
        <f t="shared" si="68"/>
        <v>1+0.698668442430552i</v>
      </c>
      <c r="R105" s="18">
        <f t="shared" si="77"/>
        <v>1.2198924511809774</v>
      </c>
      <c r="S105" s="18">
        <f t="shared" si="78"/>
        <v>0.60983174243609706</v>
      </c>
      <c r="T105" s="18" t="str">
        <f t="shared" si="69"/>
        <v>1+1.53707057334721E-06i</v>
      </c>
      <c r="U105" s="18">
        <f t="shared" si="79"/>
        <v>1.0000000000011813</v>
      </c>
      <c r="V105" s="18">
        <f t="shared" si="80"/>
        <v>1.5370705733459996E-6</v>
      </c>
      <c r="W105" s="32" t="str">
        <f t="shared" si="70"/>
        <v>1-0.000372623169296294i</v>
      </c>
      <c r="X105" s="18">
        <f t="shared" si="81"/>
        <v>1.0000000694240108</v>
      </c>
      <c r="Y105" s="18">
        <f t="shared" si="82"/>
        <v>-3.7262315205029823E-4</v>
      </c>
      <c r="Z105" s="32" t="str">
        <f t="shared" si="71"/>
        <v>0.999999996482938+0.00015771112209251i</v>
      </c>
      <c r="AA105" s="18">
        <f t="shared" si="83"/>
        <v>1.000000008919337</v>
      </c>
      <c r="AB105" s="18">
        <f t="shared" si="84"/>
        <v>1.5771112133961749E-4</v>
      </c>
      <c r="AC105" s="68" t="str">
        <f t="shared" si="85"/>
        <v>88.3858624648584-61.8219914414888i</v>
      </c>
      <c r="AD105" s="66">
        <f t="shared" si="86"/>
        <v>40.657297802789145</v>
      </c>
      <c r="AE105" s="63">
        <f t="shared" si="87"/>
        <v>-34.971082902637129</v>
      </c>
      <c r="AF105" s="32" t="str">
        <f t="shared" si="72"/>
        <v>-0.434440565864413</v>
      </c>
      <c r="AG105" s="32" t="str">
        <f t="shared" si="73"/>
        <v>0.0121568308982916i</v>
      </c>
      <c r="AH105" s="32">
        <f t="shared" si="88"/>
        <v>1.21568308982916E-2</v>
      </c>
      <c r="AI105" s="32">
        <f t="shared" si="89"/>
        <v>1.5707963267948966</v>
      </c>
      <c r="AJ105" s="32" t="str">
        <f t="shared" si="74"/>
        <v>1+0.000120364662359323i</v>
      </c>
      <c r="AK105" s="32">
        <f t="shared" si="90"/>
        <v>1.000000007243826</v>
      </c>
      <c r="AL105" s="32">
        <f t="shared" si="91"/>
        <v>1.203646617780559E-4</v>
      </c>
      <c r="AM105" s="32" t="str">
        <f t="shared" si="75"/>
        <v>1+0.0121568308982916i</v>
      </c>
      <c r="AN105" s="32">
        <f t="shared" si="92"/>
        <v>1.000073891538765</v>
      </c>
      <c r="AO105" s="32">
        <f t="shared" si="93"/>
        <v>1.215623207130424E-2</v>
      </c>
      <c r="AP105" s="60" t="str">
        <f t="shared" si="94"/>
        <v>-0.430139167891474+35.7363854857788i</v>
      </c>
      <c r="AQ105" s="51">
        <f t="shared" si="95"/>
        <v>31.062841627153187</v>
      </c>
      <c r="AR105" s="63">
        <f t="shared" si="96"/>
        <v>90.689604405344895</v>
      </c>
      <c r="AS105" s="60" t="str">
        <f t="shared" si="97"/>
        <v>2171.27629631756+3185.18331249324i</v>
      </c>
      <c r="AT105" s="66">
        <f t="shared" si="98"/>
        <v>71.720139429942321</v>
      </c>
      <c r="AU105" s="63">
        <f t="shared" si="99"/>
        <v>55.718521502707716</v>
      </c>
      <c r="AX105" s="32">
        <f t="shared" si="100"/>
        <v>0</v>
      </c>
      <c r="AY105" s="32">
        <f t="shared" si="101"/>
        <v>0</v>
      </c>
    </row>
    <row r="106" spans="14:51" x14ac:dyDescent="0.3">
      <c r="N106" s="11">
        <v>88</v>
      </c>
      <c r="O106" s="52">
        <f t="shared" si="76"/>
        <v>75.857757502918361</v>
      </c>
      <c r="P106" s="50" t="str">
        <f t="shared" si="67"/>
        <v>131.578947368421</v>
      </c>
      <c r="Q106" s="18" t="str">
        <f t="shared" si="68"/>
        <v>1+0.714942521066893i</v>
      </c>
      <c r="R106" s="18">
        <f t="shared" si="77"/>
        <v>1.2292854869514587</v>
      </c>
      <c r="S106" s="18">
        <f t="shared" si="78"/>
        <v>0.62068426348932615</v>
      </c>
      <c r="T106" s="18" t="str">
        <f t="shared" si="69"/>
        <v>1+1.57287354634717E-06i</v>
      </c>
      <c r="U106" s="18">
        <f t="shared" si="79"/>
        <v>1.000000000001237</v>
      </c>
      <c r="V106" s="18">
        <f t="shared" si="80"/>
        <v>1.572873546345873E-6</v>
      </c>
      <c r="W106" s="32" t="str">
        <f t="shared" si="70"/>
        <v>1-0.000381302677902343i</v>
      </c>
      <c r="X106" s="18">
        <f t="shared" si="81"/>
        <v>1.0000000726958636</v>
      </c>
      <c r="Y106" s="18">
        <f t="shared" si="82"/>
        <v>-3.8130265942292569E-4</v>
      </c>
      <c r="Z106" s="32" t="str">
        <f t="shared" si="71"/>
        <v>0.999999996317184+0.000161384686042i</v>
      </c>
      <c r="AA106" s="18">
        <f t="shared" si="83"/>
        <v>1.0000000093396924</v>
      </c>
      <c r="AB106" s="18">
        <f t="shared" si="84"/>
        <v>1.6138468523526115E-4</v>
      </c>
      <c r="AC106" s="68" t="str">
        <f t="shared" si="85"/>
        <v>87.0387843687703-62.2989272007575i</v>
      </c>
      <c r="AD106" s="66">
        <f t="shared" si="86"/>
        <v>40.590673618012161</v>
      </c>
      <c r="AE106" s="63">
        <f t="shared" si="87"/>
        <v>-35.59359228355251</v>
      </c>
      <c r="AF106" s="32" t="str">
        <f t="shared" si="72"/>
        <v>-0.434440565864413</v>
      </c>
      <c r="AG106" s="32" t="str">
        <f t="shared" si="73"/>
        <v>0.012439999866564i</v>
      </c>
      <c r="AH106" s="32">
        <f t="shared" si="88"/>
        <v>1.2439999866564E-2</v>
      </c>
      <c r="AI106" s="32">
        <f t="shared" si="89"/>
        <v>1.5707963267948966</v>
      </c>
      <c r="AJ106" s="32" t="str">
        <f t="shared" si="74"/>
        <v>1+0.000123168315510534i</v>
      </c>
      <c r="AK106" s="32">
        <f t="shared" si="90"/>
        <v>1.0000000075852169</v>
      </c>
      <c r="AL106" s="32">
        <f t="shared" si="91"/>
        <v>1.2316831488769507E-4</v>
      </c>
      <c r="AM106" s="32" t="str">
        <f t="shared" si="75"/>
        <v>1+0.012439999866564i</v>
      </c>
      <c r="AN106" s="32">
        <f t="shared" si="92"/>
        <v>1.0000773738049873</v>
      </c>
      <c r="AO106" s="32">
        <f t="shared" si="93"/>
        <v>1.2439358214567701E-2</v>
      </c>
      <c r="AP106" s="60" t="str">
        <f t="shared" si="94"/>
        <v>-0.430139167597783+34.9229284235989i</v>
      </c>
      <c r="AQ106" s="51">
        <f t="shared" si="95"/>
        <v>30.862871868480504</v>
      </c>
      <c r="AR106" s="63">
        <f t="shared" si="96"/>
        <v>90.705665700933309</v>
      </c>
      <c r="AS106" s="60" t="str">
        <f t="shared" si="97"/>
        <v>2138.22218524195+3066.44644527599i</v>
      </c>
      <c r="AT106" s="66">
        <f t="shared" si="98"/>
        <v>71.453545486492672</v>
      </c>
      <c r="AU106" s="63">
        <f t="shared" si="99"/>
        <v>55.112073417380756</v>
      </c>
      <c r="AX106" s="32">
        <f t="shared" si="100"/>
        <v>0</v>
      </c>
      <c r="AY106" s="32">
        <f t="shared" si="101"/>
        <v>0</v>
      </c>
    </row>
    <row r="107" spans="14:51" x14ac:dyDescent="0.3">
      <c r="N107" s="11">
        <v>89</v>
      </c>
      <c r="O107" s="52">
        <f t="shared" si="76"/>
        <v>77.624711662869217</v>
      </c>
      <c r="P107" s="50" t="str">
        <f t="shared" si="67"/>
        <v>131.578947368421</v>
      </c>
      <c r="Q107" s="18" t="str">
        <f t="shared" si="68"/>
        <v>1+0.731595671691288i</v>
      </c>
      <c r="R107" s="18">
        <f t="shared" si="77"/>
        <v>1.2390448849163724</v>
      </c>
      <c r="S107" s="18">
        <f t="shared" si="78"/>
        <v>0.63161791606211326</v>
      </c>
      <c r="T107" s="18" t="str">
        <f t="shared" si="69"/>
        <v>1+1.60951047772083E-06i</v>
      </c>
      <c r="U107" s="18">
        <f t="shared" si="79"/>
        <v>1.0000000000012954</v>
      </c>
      <c r="V107" s="18">
        <f t="shared" si="80"/>
        <v>1.6095104777194401E-6</v>
      </c>
      <c r="W107" s="32" t="str">
        <f t="shared" si="70"/>
        <v>1-0.000390184358235354i</v>
      </c>
      <c r="X107" s="18">
        <f t="shared" si="81"/>
        <v>1.0000000761219137</v>
      </c>
      <c r="Y107" s="18">
        <f t="shared" si="82"/>
        <v>-3.9018433843430165E-4</v>
      </c>
      <c r="Z107" s="32" t="str">
        <f t="shared" si="71"/>
        <v>0.999999996143619+0.000165143818288209i</v>
      </c>
      <c r="AA107" s="18">
        <f t="shared" si="83"/>
        <v>1.0000000097798594</v>
      </c>
      <c r="AB107" s="18">
        <f t="shared" si="84"/>
        <v>1.6514381742377263E-4</v>
      </c>
      <c r="AC107" s="68" t="str">
        <f t="shared" si="85"/>
        <v>85.6714907597796-62.7497495448029i</v>
      </c>
      <c r="AD107" s="66">
        <f t="shared" si="86"/>
        <v>40.521987947449276</v>
      </c>
      <c r="AE107" s="63">
        <f t="shared" si="87"/>
        <v>-36.220766596625374</v>
      </c>
      <c r="AF107" s="32" t="str">
        <f t="shared" si="72"/>
        <v>-0.434440565864413</v>
      </c>
      <c r="AG107" s="32" t="str">
        <f t="shared" si="73"/>
        <v>0.0127297646874284i</v>
      </c>
      <c r="AH107" s="32">
        <f t="shared" si="88"/>
        <v>1.27297646874284E-2</v>
      </c>
      <c r="AI107" s="32">
        <f t="shared" si="89"/>
        <v>1.5707963267948966</v>
      </c>
      <c r="AJ107" s="32" t="str">
        <f t="shared" si="74"/>
        <v>1+0.000126037274132955i</v>
      </c>
      <c r="AK107" s="32">
        <f t="shared" si="90"/>
        <v>1.0000000079426972</v>
      </c>
      <c r="AL107" s="32">
        <f t="shared" si="91"/>
        <v>1.2603727346557108E-4</v>
      </c>
      <c r="AM107" s="32" t="str">
        <f t="shared" si="75"/>
        <v>1+0.0127297646874284i</v>
      </c>
      <c r="AN107" s="32">
        <f t="shared" si="92"/>
        <v>1.0000810201723644</v>
      </c>
      <c r="AO107" s="32">
        <f t="shared" si="93"/>
        <v>1.2729077147935398E-2</v>
      </c>
      <c r="AP107" s="60" t="str">
        <f t="shared" si="94"/>
        <v>-0.430139167290251+34.127987960329i</v>
      </c>
      <c r="AQ107" s="51">
        <f t="shared" si="95"/>
        <v>30.662903534811981</v>
      </c>
      <c r="AR107" s="63">
        <f t="shared" si="96"/>
        <v>90.722100993842204</v>
      </c>
      <c r="AS107" s="60" t="str">
        <f t="shared" si="97"/>
        <v>2104.67203328277+2950.78673021007i</v>
      </c>
      <c r="AT107" s="66">
        <f t="shared" si="98"/>
        <v>71.184891482261264</v>
      </c>
      <c r="AU107" s="63">
        <f t="shared" si="99"/>
        <v>54.501334397216816</v>
      </c>
      <c r="AX107" s="32">
        <f t="shared" si="100"/>
        <v>0</v>
      </c>
      <c r="AY107" s="32">
        <f t="shared" si="101"/>
        <v>0</v>
      </c>
    </row>
    <row r="108" spans="14:51" x14ac:dyDescent="0.3">
      <c r="N108" s="11">
        <v>90</v>
      </c>
      <c r="O108" s="52">
        <f t="shared" si="76"/>
        <v>79.432823472428197</v>
      </c>
      <c r="P108" s="50" t="str">
        <f t="shared" si="67"/>
        <v>131.578947368421</v>
      </c>
      <c r="Q108" s="18" t="str">
        <f t="shared" si="68"/>
        <v>1+0.748636724024626i</v>
      </c>
      <c r="R108" s="18">
        <f t="shared" si="77"/>
        <v>1.2491825105077017</v>
      </c>
      <c r="S108" s="18">
        <f t="shared" si="78"/>
        <v>0.6426280410792562</v>
      </c>
      <c r="T108" s="18" t="str">
        <f t="shared" si="69"/>
        <v>1+1.64700079285418E-06i</v>
      </c>
      <c r="U108" s="18">
        <f t="shared" si="79"/>
        <v>1.0000000000013562</v>
      </c>
      <c r="V108" s="18">
        <f t="shared" si="80"/>
        <v>1.6470007928526907E-6</v>
      </c>
      <c r="W108" s="32" t="str">
        <f t="shared" si="70"/>
        <v>1-0.000399272919479801i</v>
      </c>
      <c r="X108" s="18">
        <f t="shared" si="81"/>
        <v>1.0000000797094291</v>
      </c>
      <c r="Y108" s="18">
        <f t="shared" si="82"/>
        <v>-3.9927289826259126E-4</v>
      </c>
      <c r="Z108" s="32" t="str">
        <f t="shared" si="71"/>
        <v>0.999999995961873+0.00016899051197281i</v>
      </c>
      <c r="AA108" s="18">
        <f t="shared" si="83"/>
        <v>1.0000000102407696</v>
      </c>
      <c r="AB108" s="18">
        <f t="shared" si="84"/>
        <v>1.6899051104654982E-4</v>
      </c>
      <c r="AC108" s="68" t="str">
        <f t="shared" si="85"/>
        <v>84.2850047165979-63.1734046072183i</v>
      </c>
      <c r="AD108" s="66">
        <f t="shared" si="86"/>
        <v>40.451210854749718</v>
      </c>
      <c r="AE108" s="63">
        <f t="shared" si="87"/>
        <v>-36.852339279411957</v>
      </c>
      <c r="AF108" s="32" t="str">
        <f t="shared" si="72"/>
        <v>-0.434440565864413</v>
      </c>
      <c r="AG108" s="32" t="str">
        <f t="shared" si="73"/>
        <v>0.0130262789980285i</v>
      </c>
      <c r="AH108" s="32">
        <f t="shared" si="88"/>
        <v>1.3026278998028501E-2</v>
      </c>
      <c r="AI108" s="32">
        <f t="shared" si="89"/>
        <v>1.5707963267948966</v>
      </c>
      <c r="AJ108" s="32" t="str">
        <f t="shared" si="74"/>
        <v>1+0.000128973059386421i</v>
      </c>
      <c r="AK108" s="32">
        <f t="shared" si="90"/>
        <v>1.0000000083170251</v>
      </c>
      <c r="AL108" s="32">
        <f t="shared" si="91"/>
        <v>1.2897305867130623E-4</v>
      </c>
      <c r="AM108" s="32" t="str">
        <f t="shared" si="75"/>
        <v>1+0.0130262789980285i</v>
      </c>
      <c r="AN108" s="32">
        <f t="shared" si="92"/>
        <v>1.0000848383734924</v>
      </c>
      <c r="AO108" s="32">
        <f t="shared" si="93"/>
        <v>1.3025542289563942E-2</v>
      </c>
      <c r="AP108" s="60" t="str">
        <f t="shared" si="94"/>
        <v>-0.430139166968225+33.351142608013i</v>
      </c>
      <c r="AQ108" s="51">
        <f t="shared" si="95"/>
        <v>30.462936693284163</v>
      </c>
      <c r="AR108" s="63">
        <f t="shared" si="96"/>
        <v>90.738918987128429</v>
      </c>
      <c r="AS108" s="60" t="str">
        <f t="shared" si="97"/>
        <v>2070.65094437233+2838.1745676526i</v>
      </c>
      <c r="AT108" s="66">
        <f t="shared" si="98"/>
        <v>70.914147548033881</v>
      </c>
      <c r="AU108" s="63">
        <f t="shared" si="99"/>
        <v>53.886579707716514</v>
      </c>
      <c r="AX108" s="32">
        <f t="shared" si="100"/>
        <v>0</v>
      </c>
      <c r="AY108" s="32">
        <f t="shared" si="101"/>
        <v>0</v>
      </c>
    </row>
    <row r="109" spans="14:51" x14ac:dyDescent="0.3">
      <c r="N109" s="11">
        <v>91</v>
      </c>
      <c r="O109" s="52">
        <f t="shared" si="76"/>
        <v>81.283051616409963</v>
      </c>
      <c r="P109" s="50" t="str">
        <f t="shared" si="67"/>
        <v>131.578947368421</v>
      </c>
      <c r="Q109" s="18" t="str">
        <f t="shared" si="68"/>
        <v>1+0.76607471345842i</v>
      </c>
      <c r="R109" s="18">
        <f t="shared" si="77"/>
        <v>1.2597104693541292</v>
      </c>
      <c r="S109" s="18">
        <f t="shared" si="78"/>
        <v>0.65370979916370209</v>
      </c>
      <c r="T109" s="18" t="str">
        <f t="shared" si="69"/>
        <v>1+1.68536436960853E-06i</v>
      </c>
      <c r="U109" s="18">
        <f t="shared" si="79"/>
        <v>1.0000000000014202</v>
      </c>
      <c r="V109" s="18">
        <f t="shared" si="80"/>
        <v>1.6853643696069343E-6</v>
      </c>
      <c r="W109" s="32" t="str">
        <f t="shared" si="70"/>
        <v>1-0.000408573180511158i</v>
      </c>
      <c r="X109" s="18">
        <f t="shared" si="81"/>
        <v>1.0000000834660183</v>
      </c>
      <c r="Y109" s="18">
        <f t="shared" si="82"/>
        <v>-4.0857315777650824E-4</v>
      </c>
      <c r="Z109" s="32" t="str">
        <f t="shared" si="71"/>
        <v>0.999999995771562+0.000172926806663714i</v>
      </c>
      <c r="AA109" s="18">
        <f t="shared" si="83"/>
        <v>1.0000000107234022</v>
      </c>
      <c r="AB109" s="18">
        <f t="shared" si="84"/>
        <v>1.729268056712083E-4</v>
      </c>
      <c r="AC109" s="68" t="str">
        <f t="shared" si="85"/>
        <v>82.8804194680653-63.5688849912024i</v>
      </c>
      <c r="AD109" s="66">
        <f t="shared" si="86"/>
        <v>40.378314011036672</v>
      </c>
      <c r="AE109" s="63">
        <f t="shared" si="87"/>
        <v>-37.488033447852054</v>
      </c>
      <c r="AF109" s="32" t="str">
        <f t="shared" si="72"/>
        <v>-0.434440565864413</v>
      </c>
      <c r="AG109" s="32" t="str">
        <f t="shared" si="73"/>
        <v>0.0133297000141765i</v>
      </c>
      <c r="AH109" s="32">
        <f t="shared" si="88"/>
        <v>1.33297000141765E-2</v>
      </c>
      <c r="AI109" s="32">
        <f t="shared" si="89"/>
        <v>1.5707963267948966</v>
      </c>
      <c r="AJ109" s="32" t="str">
        <f t="shared" si="74"/>
        <v>1+0.000131977227863134i</v>
      </c>
      <c r="AK109" s="32">
        <f t="shared" si="90"/>
        <v>1.0000000087089942</v>
      </c>
      <c r="AL109" s="32">
        <f t="shared" si="91"/>
        <v>1.319772270968747E-4</v>
      </c>
      <c r="AM109" s="32" t="str">
        <f t="shared" si="75"/>
        <v>1+0.0133297000141765i</v>
      </c>
      <c r="AN109" s="32">
        <f t="shared" si="92"/>
        <v>1.0000888365052716</v>
      </c>
      <c r="AO109" s="32">
        <f t="shared" si="93"/>
        <v>1.3328910620621505E-2</v>
      </c>
      <c r="AP109" s="60" t="str">
        <f t="shared" si="94"/>
        <v>-0.430139166631022+32.5919804729623i</v>
      </c>
      <c r="AQ109" s="51">
        <f t="shared" si="95"/>
        <v>30.26297141419559</v>
      </c>
      <c r="AR109" s="63">
        <f t="shared" si="96"/>
        <v>90.756128585964206</v>
      </c>
      <c r="AS109" s="60" t="str">
        <f t="shared" si="97"/>
        <v>2036.18574376123+2728.58048010789i</v>
      </c>
      <c r="AT109" s="66">
        <f t="shared" si="98"/>
        <v>70.641285425232269</v>
      </c>
      <c r="AU109" s="63">
        <f t="shared" si="99"/>
        <v>53.268095138112216</v>
      </c>
      <c r="AX109" s="32">
        <f t="shared" si="100"/>
        <v>0</v>
      </c>
      <c r="AY109" s="32">
        <f t="shared" si="101"/>
        <v>0</v>
      </c>
    </row>
    <row r="110" spans="14:51" x14ac:dyDescent="0.3">
      <c r="N110" s="11">
        <v>92</v>
      </c>
      <c r="O110" s="52">
        <f t="shared" si="76"/>
        <v>83.176377110267126</v>
      </c>
      <c r="P110" s="50" t="str">
        <f t="shared" si="67"/>
        <v>131.578947368421</v>
      </c>
      <c r="Q110" s="18" t="str">
        <f t="shared" si="68"/>
        <v>1+0.783918885845488i</v>
      </c>
      <c r="R110" s="18">
        <f t="shared" si="77"/>
        <v>1.2706411057356957</v>
      </c>
      <c r="S110" s="18">
        <f t="shared" si="78"/>
        <v>0.66485817924755763</v>
      </c>
      <c r="T110" s="18" t="str">
        <f t="shared" si="69"/>
        <v>1+1.72462154886007E-06i</v>
      </c>
      <c r="U110" s="18">
        <f t="shared" si="79"/>
        <v>1.0000000000014873</v>
      </c>
      <c r="V110" s="18">
        <f t="shared" si="80"/>
        <v>1.7246215488583601E-6</v>
      </c>
      <c r="W110" s="32" t="str">
        <f t="shared" si="70"/>
        <v>1-0.000418090072450927i</v>
      </c>
      <c r="X110" s="18">
        <f t="shared" si="81"/>
        <v>1.0000000873996504</v>
      </c>
      <c r="Y110" s="18">
        <f t="shared" si="82"/>
        <v>-4.1809004809031101E-4</v>
      </c>
      <c r="Z110" s="32" t="str">
        <f t="shared" si="71"/>
        <v>0.999999995572282+0.000176954789436467i</v>
      </c>
      <c r="AA110" s="18">
        <f t="shared" si="83"/>
        <v>1.0000000112287808</v>
      </c>
      <c r="AB110" s="18">
        <f t="shared" si="84"/>
        <v>1.7695478837297796E-4</v>
      </c>
      <c r="AC110" s="68" t="str">
        <f t="shared" si="85"/>
        <v>81.4588958109776-63.9352352970424i</v>
      </c>
      <c r="AD110" s="66">
        <f t="shared" si="86"/>
        <v>40.303270799558945</v>
      </c>
      <c r="AE110" s="63">
        <f t="shared" si="87"/>
        <v>-38.127562389851839</v>
      </c>
      <c r="AF110" s="32" t="str">
        <f t="shared" si="72"/>
        <v>-0.434440565864413</v>
      </c>
      <c r="AG110" s="32" t="str">
        <f t="shared" si="73"/>
        <v>0.0136401886137115i</v>
      </c>
      <c r="AH110" s="32">
        <f t="shared" si="88"/>
        <v>1.3640188613711499E-2</v>
      </c>
      <c r="AI110" s="32">
        <f t="shared" si="89"/>
        <v>1.5707963267948966</v>
      </c>
      <c r="AJ110" s="32" t="str">
        <f t="shared" si="74"/>
        <v>1+0.000135051372412985i</v>
      </c>
      <c r="AK110" s="32">
        <f t="shared" si="90"/>
        <v>1.0000000091194365</v>
      </c>
      <c r="AL110" s="32">
        <f t="shared" si="91"/>
        <v>1.3505137159192337E-4</v>
      </c>
      <c r="AM110" s="32" t="str">
        <f t="shared" si="75"/>
        <v>1+0.0136401886137115i</v>
      </c>
      <c r="AN110" s="32">
        <f t="shared" si="92"/>
        <v>1.0000930230460652</v>
      </c>
      <c r="AO110" s="32">
        <f t="shared" si="93"/>
        <v>1.3639342767527053E-2</v>
      </c>
      <c r="AP110" s="60" t="str">
        <f t="shared" si="94"/>
        <v>-0.430139166277927+31.8500990373641i</v>
      </c>
      <c r="AQ110" s="51">
        <f t="shared" si="95"/>
        <v>30.063007771155558</v>
      </c>
      <c r="AR110" s="63">
        <f t="shared" si="96"/>
        <v>90.773738902301915</v>
      </c>
      <c r="AS110" s="60" t="str">
        <f t="shared" si="97"/>
        <v>2001.30491465792+2621.97494786041i</v>
      </c>
      <c r="AT110" s="66">
        <f t="shared" si="98"/>
        <v>70.366278570714485</v>
      </c>
      <c r="AU110" s="63">
        <f t="shared" si="99"/>
        <v>52.64617651245009</v>
      </c>
      <c r="AX110" s="32">
        <f t="shared" si="100"/>
        <v>0</v>
      </c>
      <c r="AY110" s="32">
        <f t="shared" si="101"/>
        <v>0</v>
      </c>
    </row>
    <row r="111" spans="14:51" x14ac:dyDescent="0.3">
      <c r="N111" s="11">
        <v>93</v>
      </c>
      <c r="O111" s="52">
        <f t="shared" si="76"/>
        <v>85.113803820237734</v>
      </c>
      <c r="P111" s="50" t="str">
        <f t="shared" si="67"/>
        <v>131.578947368421</v>
      </c>
      <c r="Q111" s="18" t="str">
        <f t="shared" si="68"/>
        <v>1+0.802178702402226i</v>
      </c>
      <c r="R111" s="18">
        <f t="shared" si="77"/>
        <v>1.2819870009433476</v>
      </c>
      <c r="S111" s="18">
        <f t="shared" si="78"/>
        <v>0.67606800813690471</v>
      </c>
      <c r="T111" s="18" t="str">
        <f t="shared" si="69"/>
        <v>1+0.0000017647931452849i</v>
      </c>
      <c r="U111" s="18">
        <f t="shared" si="79"/>
        <v>1.0000000000015572</v>
      </c>
      <c r="V111" s="18">
        <f t="shared" si="80"/>
        <v>1.7647931452830679E-6</v>
      </c>
      <c r="W111" s="32" t="str">
        <f t="shared" si="70"/>
        <v>1-0.000427828641281187i</v>
      </c>
      <c r="X111" s="18">
        <f t="shared" si="81"/>
        <v>1.0000000915186691</v>
      </c>
      <c r="Y111" s="18">
        <f t="shared" si="82"/>
        <v>-4.2782861517831681E-4</v>
      </c>
      <c r="Z111" s="32" t="str">
        <f t="shared" si="71"/>
        <v>0.99999999536361+0.000181076595980853i</v>
      </c>
      <c r="AA111" s="18">
        <f t="shared" si="83"/>
        <v>1.0000000117579766</v>
      </c>
      <c r="AB111" s="18">
        <f t="shared" si="84"/>
        <v>1.8107659484130399E-4</v>
      </c>
      <c r="AC111" s="68" t="str">
        <f t="shared" si="85"/>
        <v>80.0216590195952-64.2715574948333i</v>
      </c>
      <c r="AD111" s="66">
        <f t="shared" si="86"/>
        <v>40.226056416033416</v>
      </c>
      <c r="AE111" s="63">
        <f t="shared" si="87"/>
        <v>-38.770630113519509</v>
      </c>
      <c r="AF111" s="32" t="str">
        <f t="shared" si="72"/>
        <v>-0.434440565864413</v>
      </c>
      <c r="AG111" s="32" t="str">
        <f t="shared" si="73"/>
        <v>0.0139579094217987i</v>
      </c>
      <c r="AH111" s="32">
        <f t="shared" si="88"/>
        <v>1.3957909421798699E-2</v>
      </c>
      <c r="AI111" s="32">
        <f t="shared" si="89"/>
        <v>1.5707963267948966</v>
      </c>
      <c r="AJ111" s="32" t="str">
        <f t="shared" si="74"/>
        <v>1+0.000138197122988106i</v>
      </c>
      <c r="AK111" s="32">
        <f t="shared" si="90"/>
        <v>1.0000000095492223</v>
      </c>
      <c r="AL111" s="32">
        <f t="shared" si="91"/>
        <v>1.3819712210832264E-4</v>
      </c>
      <c r="AM111" s="32" t="str">
        <f t="shared" si="75"/>
        <v>1+0.0139579094217987i</v>
      </c>
      <c r="AN111" s="32">
        <f t="shared" si="92"/>
        <v>1.0000974068736641</v>
      </c>
      <c r="AO111" s="32">
        <f t="shared" si="93"/>
        <v>1.3957003086050381E-2</v>
      </c>
      <c r="AP111" s="60" t="str">
        <f t="shared" si="94"/>
        <v>-0.430139165908192+31.1251049458615i</v>
      </c>
      <c r="AQ111" s="51">
        <f t="shared" si="95"/>
        <v>29.863045841240009</v>
      </c>
      <c r="AR111" s="63">
        <f t="shared" si="96"/>
        <v>90.791759259644081</v>
      </c>
      <c r="AS111" s="60" t="str">
        <f t="shared" si="97"/>
        <v>1966.03852239538+2518.32824905929i</v>
      </c>
      <c r="AT111" s="66">
        <f t="shared" si="98"/>
        <v>70.089102257273424</v>
      </c>
      <c r="AU111" s="63">
        <f t="shared" si="99"/>
        <v>52.021129146124544</v>
      </c>
      <c r="AX111" s="32">
        <f t="shared" si="100"/>
        <v>0</v>
      </c>
      <c r="AY111" s="32">
        <f t="shared" si="101"/>
        <v>0</v>
      </c>
    </row>
    <row r="112" spans="14:51" x14ac:dyDescent="0.3">
      <c r="N112" s="11">
        <v>94</v>
      </c>
      <c r="O112" s="52">
        <f t="shared" si="76"/>
        <v>87.096358995608071</v>
      </c>
      <c r="P112" s="50" t="str">
        <f t="shared" si="67"/>
        <v>131.578947368421</v>
      </c>
      <c r="Q112" s="18" t="str">
        <f t="shared" si="68"/>
        <v>1+0.820863844725064i</v>
      </c>
      <c r="R112" s="18">
        <f t="shared" si="77"/>
        <v>1.2937609715773675</v>
      </c>
      <c r="S112" s="18">
        <f t="shared" si="78"/>
        <v>0.68733396099869293</v>
      </c>
      <c r="T112" s="18" t="str">
        <f t="shared" si="69"/>
        <v>1+1.80590045839514E-06i</v>
      </c>
      <c r="U112" s="18">
        <f t="shared" si="79"/>
        <v>1.0000000000016307</v>
      </c>
      <c r="V112" s="18">
        <f t="shared" si="80"/>
        <v>1.8059004583931767E-6</v>
      </c>
      <c r="W112" s="32" t="str">
        <f t="shared" si="70"/>
        <v>1-0.000437794050520034i</v>
      </c>
      <c r="X112" s="18">
        <f t="shared" si="81"/>
        <v>1.0000000958318107</v>
      </c>
      <c r="Y112" s="18">
        <f t="shared" si="82"/>
        <v>-4.3779402255030481E-4</v>
      </c>
      <c r="Z112" s="32" t="str">
        <f t="shared" si="71"/>
        <v>0.999999995145104+0.00018529441173326i</v>
      </c>
      <c r="AA112" s="18">
        <f t="shared" si="83"/>
        <v>1.0000000123121136</v>
      </c>
      <c r="AB112" s="18">
        <f t="shared" si="84"/>
        <v>1.8529441051221118E-4</v>
      </c>
      <c r="AC112" s="68" t="str">
        <f t="shared" si="85"/>
        <v>78.5699952560536-64.5770160891413i</v>
      </c>
      <c r="AD112" s="66">
        <f t="shared" si="86"/>
        <v>40.146647963913225</v>
      </c>
      <c r="AE112" s="63">
        <f t="shared" si="87"/>
        <v>-39.416931948238037</v>
      </c>
      <c r="AF112" s="32" t="str">
        <f t="shared" si="72"/>
        <v>-0.434440565864413</v>
      </c>
      <c r="AG112" s="32" t="str">
        <f t="shared" si="73"/>
        <v>0.0142830308982161i</v>
      </c>
      <c r="AH112" s="32">
        <f t="shared" si="88"/>
        <v>1.4283030898216101E-2</v>
      </c>
      <c r="AI112" s="32">
        <f t="shared" si="89"/>
        <v>1.5707963267948966</v>
      </c>
      <c r="AJ112" s="32" t="str">
        <f t="shared" si="74"/>
        <v>1+0.00014141614750709i</v>
      </c>
      <c r="AK112" s="32">
        <f t="shared" si="90"/>
        <v>1.0000000099992634</v>
      </c>
      <c r="AL112" s="32">
        <f t="shared" si="91"/>
        <v>1.4141614656438512E-4</v>
      </c>
      <c r="AM112" s="32" t="str">
        <f t="shared" si="75"/>
        <v>1+0.0142830308982161i</v>
      </c>
      <c r="AN112" s="32">
        <f t="shared" si="92"/>
        <v>1.0001019972840968</v>
      </c>
      <c r="AO112" s="32">
        <f t="shared" si="93"/>
        <v>1.4282059747313992E-2</v>
      </c>
      <c r="AP112" s="60" t="str">
        <f t="shared" si="94"/>
        <v>-0.430139165521032+30.4166137969907i</v>
      </c>
      <c r="AQ112" s="51">
        <f t="shared" si="95"/>
        <v>29.663085705154529</v>
      </c>
      <c r="AR112" s="63">
        <f t="shared" si="96"/>
        <v>90.810199197921634</v>
      </c>
      <c r="AS112" s="60" t="str">
        <f t="shared" si="97"/>
        <v>1930.41812635104+2417.6103055472i</v>
      </c>
      <c r="AT112" s="66">
        <f t="shared" si="98"/>
        <v>69.809733669067768</v>
      </c>
      <c r="AU112" s="63">
        <f t="shared" si="99"/>
        <v>51.393267249683575</v>
      </c>
      <c r="AX112" s="32">
        <f t="shared" si="100"/>
        <v>0</v>
      </c>
      <c r="AY112" s="32">
        <f t="shared" si="101"/>
        <v>0</v>
      </c>
    </row>
    <row r="113" spans="14:51" x14ac:dyDescent="0.3">
      <c r="N113" s="11">
        <v>95</v>
      </c>
      <c r="O113" s="52">
        <f t="shared" si="76"/>
        <v>89.125093813374562</v>
      </c>
      <c r="P113" s="50" t="str">
        <f t="shared" si="67"/>
        <v>131.578947368421</v>
      </c>
      <c r="Q113" s="18" t="str">
        <f t="shared" si="68"/>
        <v>1+0.839984219923795i</v>
      </c>
      <c r="R113" s="18">
        <f t="shared" si="77"/>
        <v>1.3059760678209178</v>
      </c>
      <c r="S113" s="18">
        <f t="shared" si="78"/>
        <v>0.69865057272870867</v>
      </c>
      <c r="T113" s="18" t="str">
        <f t="shared" si="69"/>
        <v>1+1.84796528383235E-06i</v>
      </c>
      <c r="U113" s="18">
        <f t="shared" si="79"/>
        <v>1.0000000000017075</v>
      </c>
      <c r="V113" s="18">
        <f t="shared" si="80"/>
        <v>1.8479652838302463E-6</v>
      </c>
      <c r="W113" s="32" t="str">
        <f t="shared" si="70"/>
        <v>1-0.000447991583959358i</v>
      </c>
      <c r="X113" s="18">
        <f t="shared" si="81"/>
        <v>1.0000001003482246</v>
      </c>
      <c r="Y113" s="18">
        <f t="shared" si="82"/>
        <v>-4.4799155398925336E-4</v>
      </c>
      <c r="Z113" s="32" t="str">
        <f t="shared" si="71"/>
        <v>0.999999994916299+0.00018961047303543i</v>
      </c>
      <c r="AA113" s="18">
        <f t="shared" si="83"/>
        <v>1.0000000128923647</v>
      </c>
      <c r="AB113" s="18">
        <f t="shared" si="84"/>
        <v>1.8961047172705273E-4</v>
      </c>
      <c r="AC113" s="68" t="str">
        <f t="shared" si="85"/>
        <v>77.10524749718-64.8508430226877i</v>
      </c>
      <c r="AD113" s="66">
        <f t="shared" si="86"/>
        <v>40.065024543834006</v>
      </c>
      <c r="AE113" s="63">
        <f t="shared" si="87"/>
        <v>-40.066155196223868</v>
      </c>
      <c r="AF113" s="32" t="str">
        <f t="shared" si="72"/>
        <v>-0.434440565864413</v>
      </c>
      <c r="AG113" s="32" t="str">
        <f t="shared" si="73"/>
        <v>0.0146157254266741i</v>
      </c>
      <c r="AH113" s="32">
        <f t="shared" si="88"/>
        <v>1.46157254266741E-2</v>
      </c>
      <c r="AI113" s="32">
        <f t="shared" si="89"/>
        <v>1.5707963267948966</v>
      </c>
      <c r="AJ113" s="32" t="str">
        <f t="shared" si="74"/>
        <v>1+0.000144710152739347i</v>
      </c>
      <c r="AK113" s="32">
        <f t="shared" si="90"/>
        <v>1.000000010470514</v>
      </c>
      <c r="AL113" s="32">
        <f t="shared" si="91"/>
        <v>1.4471015172922057E-4</v>
      </c>
      <c r="AM113" s="32" t="str">
        <f t="shared" si="75"/>
        <v>1+0.0146157254266741i</v>
      </c>
      <c r="AN113" s="32">
        <f t="shared" si="92"/>
        <v>1.0001068040113255</v>
      </c>
      <c r="AO113" s="32">
        <f t="shared" si="93"/>
        <v>1.4614684825736059E-2</v>
      </c>
      <c r="AP113" s="60" t="str">
        <f t="shared" si="94"/>
        <v>-0.430139165115625+29.7242499393663i</v>
      </c>
      <c r="AQ113" s="51">
        <f t="shared" si="95"/>
        <v>29.463127447405128</v>
      </c>
      <c r="AR113" s="63">
        <f t="shared" si="96"/>
        <v>90.829068478481787</v>
      </c>
      <c r="AS113" s="60" t="str">
        <f t="shared" si="97"/>
        <v>1894.47668000051+2319.7905357177i</v>
      </c>
      <c r="AT113" s="66">
        <f t="shared" si="98"/>
        <v>69.528151991239142</v>
      </c>
      <c r="AU113" s="63">
        <f t="shared" si="99"/>
        <v>50.762913282257884</v>
      </c>
      <c r="AX113" s="32">
        <f t="shared" si="100"/>
        <v>0</v>
      </c>
      <c r="AY113" s="32">
        <f t="shared" si="101"/>
        <v>0</v>
      </c>
    </row>
    <row r="114" spans="14:51" x14ac:dyDescent="0.3">
      <c r="N114" s="11">
        <v>96</v>
      </c>
      <c r="O114" s="52">
        <f t="shared" si="76"/>
        <v>91.201083935590972</v>
      </c>
      <c r="P114" s="50" t="str">
        <f t="shared" si="67"/>
        <v>131.578947368421</v>
      </c>
      <c r="Q114" s="18" t="str">
        <f t="shared" si="68"/>
        <v>1+0.859549965874435i</v>
      </c>
      <c r="R114" s="18">
        <f t="shared" si="77"/>
        <v>1.3186455717268164</v>
      </c>
      <c r="S114" s="18">
        <f t="shared" si="78"/>
        <v>0.7100122501503997</v>
      </c>
      <c r="T114" s="18" t="str">
        <f t="shared" si="69"/>
        <v>1+1.89100992492376E-06i</v>
      </c>
      <c r="U114" s="18">
        <f t="shared" si="79"/>
        <v>1.0000000000017879</v>
      </c>
      <c r="V114" s="18">
        <f t="shared" si="80"/>
        <v>1.891009924921506E-6</v>
      </c>
      <c r="W114" s="32" t="str">
        <f t="shared" si="70"/>
        <v>1-0.000458426648466366i</v>
      </c>
      <c r="X114" s="18">
        <f t="shared" si="81"/>
        <v>1.0000001050774905</v>
      </c>
      <c r="Y114" s="18">
        <f t="shared" si="82"/>
        <v>-4.5842661635282051E-4</v>
      </c>
      <c r="Z114" s="32" t="str">
        <f t="shared" si="71"/>
        <v>0.999999994676712+0.000194027068320194i</v>
      </c>
      <c r="AA114" s="18">
        <f t="shared" si="83"/>
        <v>1.0000000134999636</v>
      </c>
      <c r="AB114" s="18">
        <f t="shared" si="84"/>
        <v>1.9402706691824245E-4</v>
      </c>
      <c r="AC114" s="68" t="str">
        <f t="shared" si="85"/>
        <v>75.6288109995494-65.0923422673439i</v>
      </c>
      <c r="AD114" s="66">
        <f t="shared" si="86"/>
        <v>39.981167336519889</v>
      </c>
      <c r="AE114" s="63">
        <f t="shared" si="87"/>
        <v>-40.717979831696212</v>
      </c>
      <c r="AF114" s="32" t="str">
        <f t="shared" si="72"/>
        <v>-0.434440565864413</v>
      </c>
      <c r="AG114" s="32" t="str">
        <f t="shared" si="73"/>
        <v>0.0149561694062152i</v>
      </c>
      <c r="AH114" s="32">
        <f t="shared" si="88"/>
        <v>1.49561694062152E-2</v>
      </c>
      <c r="AI114" s="32">
        <f t="shared" si="89"/>
        <v>1.5707963267948966</v>
      </c>
      <c r="AJ114" s="32" t="str">
        <f t="shared" si="74"/>
        <v>1+0.000148080885210051i</v>
      </c>
      <c r="AK114" s="32">
        <f t="shared" si="90"/>
        <v>1.0000000109639742</v>
      </c>
      <c r="AL114" s="32">
        <f t="shared" si="91"/>
        <v>1.4808088412768098E-4</v>
      </c>
      <c r="AM114" s="32" t="str">
        <f t="shared" si="75"/>
        <v>1+0.0149561694062152i</v>
      </c>
      <c r="AN114" s="32">
        <f t="shared" si="92"/>
        <v>1.0001118372478688</v>
      </c>
      <c r="AO114" s="32">
        <f t="shared" si="93"/>
        <v>1.4955054388955152E-2</v>
      </c>
      <c r="AP114" s="60" t="str">
        <f t="shared" si="94"/>
        <v>-0.430139164691112+29.047646272507i</v>
      </c>
      <c r="AQ114" s="51">
        <f t="shared" si="95"/>
        <v>29.26317115647738</v>
      </c>
      <c r="AR114" s="63">
        <f t="shared" si="96"/>
        <v>90.848377089188645</v>
      </c>
      <c r="AS114" s="60" t="str">
        <f t="shared" si="97"/>
        <v>1858.24841964083+2224.83771565586i</v>
      </c>
      <c r="AT114" s="66">
        <f t="shared" si="98"/>
        <v>69.244338492997258</v>
      </c>
      <c r="AU114" s="63">
        <f t="shared" si="99"/>
        <v>50.130397257492483</v>
      </c>
      <c r="AX114" s="32">
        <f t="shared" si="100"/>
        <v>0</v>
      </c>
      <c r="AY114" s="32">
        <f t="shared" si="101"/>
        <v>0</v>
      </c>
    </row>
    <row r="115" spans="14:51" x14ac:dyDescent="0.3">
      <c r="N115" s="11">
        <v>97</v>
      </c>
      <c r="O115" s="52">
        <f t="shared" si="76"/>
        <v>93.325430079699174</v>
      </c>
      <c r="P115" s="50" t="str">
        <f t="shared" si="67"/>
        <v>131.578947368421</v>
      </c>
      <c r="Q115" s="18" t="str">
        <f t="shared" si="68"/>
        <v>1+0.879571456594473i</v>
      </c>
      <c r="R115" s="18">
        <f t="shared" si="77"/>
        <v>1.3317829955573555</v>
      </c>
      <c r="S115" s="18">
        <f t="shared" si="78"/>
        <v>0.72141328498554569</v>
      </c>
      <c r="T115" s="18" t="str">
        <f t="shared" si="69"/>
        <v>1+1.93505720450784E-06i</v>
      </c>
      <c r="U115" s="18">
        <f t="shared" si="79"/>
        <v>1.0000000000018723</v>
      </c>
      <c r="V115" s="18">
        <f t="shared" si="80"/>
        <v>1.9350572045054247E-6</v>
      </c>
      <c r="W115" s="32" t="str">
        <f t="shared" si="70"/>
        <v>1-0.000469104776850386i</v>
      </c>
      <c r="X115" s="18">
        <f t="shared" si="81"/>
        <v>1.0000001100296398</v>
      </c>
      <c r="Y115" s="18">
        <f t="shared" si="82"/>
        <v>-4.6910474244010226E-4</v>
      </c>
      <c r="Z115" s="32" t="str">
        <f t="shared" si="71"/>
        <v>0.999999994425833+0.000198546539324834i</v>
      </c>
      <c r="AA115" s="18">
        <f t="shared" si="83"/>
        <v>1.0000000141361971</v>
      </c>
      <c r="AB115" s="18">
        <f t="shared" si="84"/>
        <v>1.9854653782261586E-4</v>
      </c>
      <c r="AC115" s="68" t="str">
        <f t="shared" si="85"/>
        <v>74.1421283308443-65.3008940527811i</v>
      </c>
      <c r="AD115" s="66">
        <f t="shared" si="86"/>
        <v>39.895059678468655</v>
      </c>
      <c r="AE115" s="63">
        <f t="shared" si="87"/>
        <v>-41.3720792442749</v>
      </c>
      <c r="AF115" s="32" t="str">
        <f t="shared" si="72"/>
        <v>-0.434440565864413</v>
      </c>
      <c r="AG115" s="32" t="str">
        <f t="shared" si="73"/>
        <v>0.0153045433447438i</v>
      </c>
      <c r="AH115" s="32">
        <f t="shared" si="88"/>
        <v>1.53045433447438E-2</v>
      </c>
      <c r="AI115" s="32">
        <f t="shared" si="89"/>
        <v>1.5707963267948966</v>
      </c>
      <c r="AJ115" s="32" t="str">
        <f t="shared" si="74"/>
        <v>1+0.000151530132126177i</v>
      </c>
      <c r="AK115" s="32">
        <f t="shared" si="90"/>
        <v>1.0000000114806904</v>
      </c>
      <c r="AL115" s="32">
        <f t="shared" si="91"/>
        <v>1.5153013096639667E-4</v>
      </c>
      <c r="AM115" s="32" t="str">
        <f t="shared" si="75"/>
        <v>1+0.0153045433447438i</v>
      </c>
      <c r="AN115" s="32">
        <f t="shared" si="92"/>
        <v>1.0001171076663928</v>
      </c>
      <c r="AO115" s="32">
        <f t="shared" si="93"/>
        <v>1.5303348589779671E-2</v>
      </c>
      <c r="AP115" s="60" t="str">
        <f t="shared" si="94"/>
        <v>-0.430139164246592+28.3864440521924i</v>
      </c>
      <c r="AQ115" s="51">
        <f t="shared" si="95"/>
        <v>29.063216925023163</v>
      </c>
      <c r="AR115" s="63">
        <f t="shared" si="96"/>
        <v>90.868135249638414</v>
      </c>
      <c r="AS115" s="60" t="str">
        <f t="shared" si="97"/>
        <v>1821.76874247172+2132.7198497664i</v>
      </c>
      <c r="AT115" s="66">
        <f t="shared" si="98"/>
        <v>68.958276603491811</v>
      </c>
      <c r="AU115" s="63">
        <f t="shared" si="99"/>
        <v>49.496056005363542</v>
      </c>
      <c r="AX115" s="32">
        <f t="shared" si="100"/>
        <v>0</v>
      </c>
      <c r="AY115" s="32">
        <f t="shared" si="101"/>
        <v>0</v>
      </c>
    </row>
    <row r="116" spans="14:51" x14ac:dyDescent="0.3">
      <c r="N116" s="11">
        <v>98</v>
      </c>
      <c r="O116" s="52">
        <f t="shared" si="76"/>
        <v>95.499258602143655</v>
      </c>
      <c r="P116" s="50" t="str">
        <f t="shared" si="67"/>
        <v>131.578947368421</v>
      </c>
      <c r="Q116" s="18" t="str">
        <f t="shared" si="68"/>
        <v>1+0.900059307743299i</v>
      </c>
      <c r="R116" s="18">
        <f t="shared" si="77"/>
        <v>1.3454020802181579</v>
      </c>
      <c r="S116" s="18">
        <f t="shared" si="78"/>
        <v>0.73284786752923681</v>
      </c>
      <c r="T116" s="18" t="str">
        <f t="shared" si="69"/>
        <v>1+1.98013047703526E-06i</v>
      </c>
      <c r="U116" s="18">
        <f t="shared" si="79"/>
        <v>1.0000000000019604</v>
      </c>
      <c r="V116" s="18">
        <f t="shared" si="80"/>
        <v>1.980130477032672E-6</v>
      </c>
      <c r="W116" s="32" t="str">
        <f t="shared" si="70"/>
        <v>1-0.000480031630796426i</v>
      </c>
      <c r="X116" s="18">
        <f t="shared" si="81"/>
        <v>1.0000001152151767</v>
      </c>
      <c r="Y116" s="18">
        <f t="shared" si="82"/>
        <v>-4.8003159392514291E-4</v>
      </c>
      <c r="Z116" s="32" t="str">
        <f t="shared" si="71"/>
        <v>0.999999994163131+0.000203171282332698i</v>
      </c>
      <c r="AA116" s="18">
        <f t="shared" si="83"/>
        <v>1.0000000148024157</v>
      </c>
      <c r="AB116" s="18">
        <f t="shared" si="84"/>
        <v>2.0317128072304218E-4</v>
      </c>
      <c r="AC116" s="68" t="str">
        <f t="shared" si="85"/>
        <v>72.6466840015898-65.4759586859865i</v>
      </c>
      <c r="AD116" s="66">
        <f t="shared" si="86"/>
        <v>39.806687129781309</v>
      </c>
      <c r="AE116" s="63">
        <f t="shared" si="87"/>
        <v>-42.028121022737039</v>
      </c>
      <c r="AF116" s="32" t="str">
        <f t="shared" si="72"/>
        <v>-0.434440565864413</v>
      </c>
      <c r="AG116" s="32" t="str">
        <f t="shared" si="73"/>
        <v>0.0156610319547334i</v>
      </c>
      <c r="AH116" s="32">
        <f t="shared" si="88"/>
        <v>1.5661031954733399E-2</v>
      </c>
      <c r="AI116" s="32">
        <f t="shared" si="89"/>
        <v>1.5707963267948966</v>
      </c>
      <c r="AJ116" s="32" t="str">
        <f t="shared" si="74"/>
        <v>1+0.000155059722324093i</v>
      </c>
      <c r="AK116" s="32">
        <f t="shared" si="90"/>
        <v>1.0000000120217587</v>
      </c>
      <c r="AL116" s="32">
        <f t="shared" si="91"/>
        <v>1.5505972108136596E-4</v>
      </c>
      <c r="AM116" s="32" t="str">
        <f t="shared" si="75"/>
        <v>1+0.0156610319547334i</v>
      </c>
      <c r="AN116" s="32">
        <f t="shared" si="92"/>
        <v>1.0001226264423213</v>
      </c>
      <c r="AO116" s="32">
        <f t="shared" si="93"/>
        <v>1.5659751760201793E-2</v>
      </c>
      <c r="AP116" s="60" t="str">
        <f t="shared" si="94"/>
        <v>-0.430139163781123+27.7402927002531i</v>
      </c>
      <c r="AQ116" s="51">
        <f t="shared" si="95"/>
        <v>28.863264850056929</v>
      </c>
      <c r="AR116" s="63">
        <f t="shared" si="96"/>
        <v>90.888353416491682</v>
      </c>
      <c r="AS116" s="60" t="str">
        <f t="shared" si="97"/>
        <v>1785.07407487103+2043.40405202385i</v>
      </c>
      <c r="AT116" s="66">
        <f t="shared" si="98"/>
        <v>68.669951979838231</v>
      </c>
      <c r="AU116" s="63">
        <f t="shared" si="99"/>
        <v>48.860232393754607</v>
      </c>
      <c r="AX116" s="32">
        <f t="shared" si="100"/>
        <v>0</v>
      </c>
      <c r="AY116" s="32">
        <f t="shared" si="101"/>
        <v>0</v>
      </c>
    </row>
    <row r="117" spans="14:51" x14ac:dyDescent="0.3">
      <c r="N117" s="11">
        <v>99</v>
      </c>
      <c r="O117" s="52">
        <f t="shared" si="76"/>
        <v>97.723722095581124</v>
      </c>
      <c r="P117" s="50" t="str">
        <f t="shared" si="67"/>
        <v>131.578947368421</v>
      </c>
      <c r="Q117" s="18" t="str">
        <f t="shared" si="68"/>
        <v>1+0.921024382250784i</v>
      </c>
      <c r="R117" s="18">
        <f t="shared" si="77"/>
        <v>1.359516793828027</v>
      </c>
      <c r="S117" s="18">
        <f t="shared" si="78"/>
        <v>0.74431010095382688</v>
      </c>
      <c r="T117" s="18" t="str">
        <f t="shared" si="69"/>
        <v>1+2.02625364095172E-06i</v>
      </c>
      <c r="U117" s="18">
        <f t="shared" si="79"/>
        <v>1.0000000000020528</v>
      </c>
      <c r="V117" s="18">
        <f t="shared" si="80"/>
        <v>2.0262536409489466E-6</v>
      </c>
      <c r="W117" s="32" t="str">
        <f t="shared" si="70"/>
        <v>1-0.000491213003867085i</v>
      </c>
      <c r="X117" s="18">
        <f t="shared" si="81"/>
        <v>1.0000001206451004</v>
      </c>
      <c r="Y117" s="18">
        <f t="shared" si="82"/>
        <v>-4.9121296435879365E-4</v>
      </c>
      <c r="Z117" s="32" t="str">
        <f t="shared" si="71"/>
        <v>0.999999993888048+0.000207903749443744i</v>
      </c>
      <c r="AA117" s="18">
        <f t="shared" si="83"/>
        <v>1.0000000155000324</v>
      </c>
      <c r="AB117" s="18">
        <f t="shared" si="84"/>
        <v>2.0790374771896669E-4</v>
      </c>
      <c r="AC117" s="68" t="str">
        <f t="shared" si="85"/>
        <v>71.143998737035-65.6170799185857i</v>
      </c>
      <c r="AD117" s="66">
        <f t="shared" si="86"/>
        <v>39.71603753356019</v>
      </c>
      <c r="AE117" s="63">
        <f t="shared" si="87"/>
        <v>-42.685767774817762</v>
      </c>
      <c r="AF117" s="32" t="str">
        <f t="shared" si="72"/>
        <v>-0.434440565864413</v>
      </c>
      <c r="AG117" s="32" t="str">
        <f t="shared" si="73"/>
        <v>0.0160258242511637i</v>
      </c>
      <c r="AH117" s="32">
        <f t="shared" si="88"/>
        <v>1.6025824251163698E-2</v>
      </c>
      <c r="AI117" s="32">
        <f t="shared" si="89"/>
        <v>1.5707963267948966</v>
      </c>
      <c r="AJ117" s="32" t="str">
        <f t="shared" si="74"/>
        <v>1+0.000158671527239244i</v>
      </c>
      <c r="AK117" s="32">
        <f t="shared" si="90"/>
        <v>1.0000000125883268</v>
      </c>
      <c r="AL117" s="32">
        <f t="shared" si="91"/>
        <v>1.5867152590763801E-4</v>
      </c>
      <c r="AM117" s="32" t="str">
        <f t="shared" si="75"/>
        <v>1+0.0160258242511637i</v>
      </c>
      <c r="AN117" s="32">
        <f t="shared" si="92"/>
        <v>1.000128405277507</v>
      </c>
      <c r="AO117" s="32">
        <f t="shared" si="93"/>
        <v>1.6024452507520371E-2</v>
      </c>
      <c r="AP117" s="60" t="str">
        <f t="shared" si="94"/>
        <v>-0.430139163293716+27.1088496186897i</v>
      </c>
      <c r="AQ117" s="51">
        <f t="shared" si="95"/>
        <v>28.663315033161034</v>
      </c>
      <c r="AR117" s="63">
        <f t="shared" si="96"/>
        <v>90.909042288925335</v>
      </c>
      <c r="AS117" s="60" t="str">
        <f t="shared" si="97"/>
        <v>1748.20173184037+1956.85643888849i</v>
      </c>
      <c r="AT117" s="66">
        <f t="shared" si="98"/>
        <v>68.379352566721238</v>
      </c>
      <c r="AU117" s="63">
        <f t="shared" si="99"/>
        <v>48.223274514107523</v>
      </c>
      <c r="AX117" s="32">
        <f t="shared" si="100"/>
        <v>0</v>
      </c>
      <c r="AY117" s="32">
        <f t="shared" si="101"/>
        <v>0</v>
      </c>
    </row>
    <row r="118" spans="14:51" x14ac:dyDescent="0.3">
      <c r="N118" s="11">
        <v>100</v>
      </c>
      <c r="O118" s="52">
        <f t="shared" si="76"/>
        <v>100</v>
      </c>
      <c r="P118" s="50" t="str">
        <f t="shared" si="67"/>
        <v>131.578947368421</v>
      </c>
      <c r="Q118" s="18" t="str">
        <f t="shared" si="68"/>
        <v>1+0.942477796076938i</v>
      </c>
      <c r="R118" s="18">
        <f t="shared" si="77"/>
        <v>1.3741413304671548</v>
      </c>
      <c r="S118" s="18">
        <f t="shared" si="78"/>
        <v>0.75579401615930764</v>
      </c>
      <c r="T118" s="18" t="str">
        <f t="shared" si="69"/>
        <v>1+2.07345115136926E-06i</v>
      </c>
      <c r="U118" s="18">
        <f t="shared" si="79"/>
        <v>1.0000000000021496</v>
      </c>
      <c r="V118" s="18">
        <f t="shared" si="80"/>
        <v>2.0734511513662885E-6</v>
      </c>
      <c r="W118" s="32" t="str">
        <f t="shared" si="70"/>
        <v>1-0.000502654824574367i</v>
      </c>
      <c r="X118" s="18">
        <f t="shared" si="81"/>
        <v>1.0000001263309284</v>
      </c>
      <c r="Y118" s="18">
        <f t="shared" si="82"/>
        <v>-5.0265478224047026E-4</v>
      </c>
      <c r="Z118" s="32" t="str">
        <f t="shared" si="71"/>
        <v>0.9999999936+0.000212746449874677i</v>
      </c>
      <c r="AA118" s="18">
        <f t="shared" si="83"/>
        <v>1.0000000162305258</v>
      </c>
      <c r="AB118" s="18">
        <f t="shared" si="84"/>
        <v>2.1274644802654491E-4</v>
      </c>
      <c r="AC118" s="68" t="str">
        <f t="shared" si="85"/>
        <v>69.6356234341555-65.7238878233454i</v>
      </c>
      <c r="AD118" s="66">
        <f t="shared" si="86"/>
        <v>39.623101066361521</v>
      </c>
      <c r="AE118" s="63">
        <f t="shared" si="87"/>
        <v>-43.344677978323411</v>
      </c>
      <c r="AF118" s="32" t="str">
        <f t="shared" si="72"/>
        <v>-0.434440565864413</v>
      </c>
      <c r="AG118" s="32" t="str">
        <f t="shared" si="73"/>
        <v>0.0163991136517387i</v>
      </c>
      <c r="AH118" s="32">
        <f t="shared" si="88"/>
        <v>1.6399113651738701E-2</v>
      </c>
      <c r="AI118" s="32">
        <f t="shared" si="89"/>
        <v>1.5707963267948966</v>
      </c>
      <c r="AJ118" s="32" t="str">
        <f t="shared" si="74"/>
        <v>1+0.000162367461898403i</v>
      </c>
      <c r="AK118" s="32">
        <f t="shared" si="90"/>
        <v>1.0000000131815963</v>
      </c>
      <c r="AL118" s="32">
        <f t="shared" si="91"/>
        <v>1.6236746047156147E-4</v>
      </c>
      <c r="AM118" s="32" t="str">
        <f t="shared" si="75"/>
        <v>1+0.0163991136517387i</v>
      </c>
      <c r="AN118" s="32">
        <f t="shared" si="92"/>
        <v>1.0001344564250163</v>
      </c>
      <c r="AO118" s="32">
        <f t="shared" si="93"/>
        <v>1.6397643812615211E-2</v>
      </c>
      <c r="AP118" s="60" t="str">
        <f t="shared" si="94"/>
        <v>-0.43013916278334+26.4917800080223i</v>
      </c>
      <c r="AQ118" s="51">
        <f t="shared" si="95"/>
        <v>28.463367580700393</v>
      </c>
      <c r="AR118" s="63">
        <f t="shared" si="96"/>
        <v>90.930212814206385</v>
      </c>
      <c r="AS118" s="60" t="str">
        <f t="shared" si="97"/>
        <v>1711.18976872414+1873.04203482233i</v>
      </c>
      <c r="AT118" s="66">
        <f t="shared" si="98"/>
        <v>68.08646864706192</v>
      </c>
      <c r="AU118" s="63">
        <f t="shared" si="99"/>
        <v>47.585534835882946</v>
      </c>
      <c r="AX118" s="32">
        <f t="shared" si="100"/>
        <v>0</v>
      </c>
      <c r="AY118" s="32">
        <f t="shared" si="101"/>
        <v>0</v>
      </c>
    </row>
    <row r="119" spans="14:51" x14ac:dyDescent="0.3">
      <c r="N119" s="11">
        <v>1</v>
      </c>
      <c r="O119" s="52">
        <f>10^(2+(N119/100))</f>
        <v>102.32929922807544</v>
      </c>
      <c r="P119" s="50" t="str">
        <f t="shared" si="67"/>
        <v>131.578947368421</v>
      </c>
      <c r="Q119" s="18" t="str">
        <f t="shared" si="68"/>
        <v>1+0.96443092410574i</v>
      </c>
      <c r="R119" s="18">
        <f t="shared" si="77"/>
        <v>1.3892901091461969</v>
      </c>
      <c r="S119" s="18">
        <f t="shared" si="78"/>
        <v>0.76729358708129636</v>
      </c>
      <c r="T119" s="18" t="str">
        <f t="shared" si="69"/>
        <v>1+2.12174803303263E-06i</v>
      </c>
      <c r="U119" s="18">
        <f t="shared" si="79"/>
        <v>1.0000000000022509</v>
      </c>
      <c r="V119" s="18">
        <f t="shared" si="80"/>
        <v>2.1217480330294458E-6</v>
      </c>
      <c r="W119" s="32" t="str">
        <f t="shared" si="70"/>
        <v>1-0.000514363159523062i</v>
      </c>
      <c r="X119" s="18">
        <f t="shared" si="81"/>
        <v>1.0000001322847212</v>
      </c>
      <c r="Y119" s="18">
        <f t="shared" si="82"/>
        <v>-5.1436311416147476E-4</v>
      </c>
      <c r="Z119" s="32" t="str">
        <f t="shared" si="71"/>
        <v>0.999999993298377+0.000217701951289366i</v>
      </c>
      <c r="AA119" s="18">
        <f t="shared" si="83"/>
        <v>1.0000000169954466</v>
      </c>
      <c r="AB119" s="18">
        <f t="shared" si="84"/>
        <v>2.1770194930905687E-4</v>
      </c>
      <c r="AC119" s="68" t="str">
        <f t="shared" si="85"/>
        <v>68.1231328534014-65.796101146412i</v>
      </c>
      <c r="AD119" s="66">
        <f t="shared" si="86"/>
        <v>39.52787027926118</v>
      </c>
      <c r="AE119" s="63">
        <f t="shared" si="87"/>
        <v>-44.004506858470343</v>
      </c>
      <c r="AF119" s="32" t="str">
        <f t="shared" si="72"/>
        <v>-0.434440565864413</v>
      </c>
      <c r="AG119" s="32" t="str">
        <f t="shared" si="73"/>
        <v>0.0167810980794399i</v>
      </c>
      <c r="AH119" s="32">
        <f t="shared" si="88"/>
        <v>1.67810980794399E-2</v>
      </c>
      <c r="AI119" s="32">
        <f t="shared" si="89"/>
        <v>1.5707963267948966</v>
      </c>
      <c r="AJ119" s="32" t="str">
        <f t="shared" si="74"/>
        <v>1+0.000166149485935049i</v>
      </c>
      <c r="AK119" s="32">
        <f t="shared" si="90"/>
        <v>1.0000000138028258</v>
      </c>
      <c r="AL119" s="32">
        <f t="shared" si="91"/>
        <v>1.6614948440616073E-4</v>
      </c>
      <c r="AM119" s="32" t="str">
        <f t="shared" si="75"/>
        <v>1+0.0167810980794399i</v>
      </c>
      <c r="AN119" s="32">
        <f t="shared" si="92"/>
        <v>1.0001407927150816</v>
      </c>
      <c r="AO119" s="32">
        <f t="shared" si="93"/>
        <v>1.677952313041765E-2</v>
      </c>
      <c r="AP119" s="60" t="str">
        <f t="shared" si="94"/>
        <v>-0.430139162248909+25.8887566897752i</v>
      </c>
      <c r="AQ119" s="51">
        <f t="shared" si="95"/>
        <v>28.263422604047367</v>
      </c>
      <c r="AR119" s="63">
        <f t="shared" si="96"/>
        <v>90.951876193390319</v>
      </c>
      <c r="AS119" s="60" t="str">
        <f t="shared" si="97"/>
        <v>1674.07682641997+1791.9246912133i</v>
      </c>
      <c r="AT119" s="66">
        <f t="shared" si="98"/>
        <v>67.791292883308543</v>
      </c>
      <c r="AU119" s="63">
        <f t="shared" si="99"/>
        <v>46.947369334919884</v>
      </c>
      <c r="AX119" s="32">
        <f t="shared" si="100"/>
        <v>0</v>
      </c>
      <c r="AY119" s="32">
        <f t="shared" si="101"/>
        <v>0</v>
      </c>
    </row>
    <row r="120" spans="14:51" x14ac:dyDescent="0.3">
      <c r="N120" s="11">
        <v>2</v>
      </c>
      <c r="O120" s="52">
        <f t="shared" ref="O120:O183" si="102">10^(2+(N120/100))</f>
        <v>104.71285480508998</v>
      </c>
      <c r="P120" s="50" t="str">
        <f t="shared" si="67"/>
        <v>131.578947368421</v>
      </c>
      <c r="Q120" s="18" t="str">
        <f t="shared" si="68"/>
        <v>1+0.986895406176256i</v>
      </c>
      <c r="R120" s="18">
        <f t="shared" si="77"/>
        <v>1.4049777730383486</v>
      </c>
      <c r="S120" s="18">
        <f t="shared" si="78"/>
        <v>0.77880274636245062</v>
      </c>
      <c r="T120" s="18" t="str">
        <f t="shared" si="69"/>
        <v>1+2.17116989358776E-06i</v>
      </c>
      <c r="U120" s="18">
        <f t="shared" si="79"/>
        <v>1.000000000002357</v>
      </c>
      <c r="V120" s="18">
        <f t="shared" si="80"/>
        <v>2.1711698935843486E-6</v>
      </c>
      <c r="W120" s="32" t="str">
        <f t="shared" si="70"/>
        <v>1-0.000526344216627337i</v>
      </c>
      <c r="X120" s="18">
        <f t="shared" si="81"/>
        <v>1.0000001385191075</v>
      </c>
      <c r="Y120" s="18">
        <f t="shared" si="82"/>
        <v>-5.2634416802152095E-4</v>
      </c>
      <c r="Z120" s="32" t="str">
        <f t="shared" si="71"/>
        <v>0.999999992982539+0.000222772881160254i</v>
      </c>
      <c r="AA120" s="18">
        <f t="shared" si="83"/>
        <v>1.0000000177964172</v>
      </c>
      <c r="AB120" s="18">
        <f t="shared" si="84"/>
        <v>2.2277287903831459E-4</v>
      </c>
      <c r="AC120" s="68" t="str">
        <f t="shared" si="85"/>
        <v>66.6081190988007-65.8335291076321i</v>
      </c>
      <c r="AD120" s="66">
        <f t="shared" si="86"/>
        <v>39.430340129172251</v>
      </c>
      <c r="AE120" s="63">
        <f t="shared" si="87"/>
        <v>-44.664907286052262</v>
      </c>
      <c r="AF120" s="32" t="str">
        <f t="shared" si="72"/>
        <v>-0.434440565864413</v>
      </c>
      <c r="AG120" s="32" t="str">
        <f t="shared" si="73"/>
        <v>0.0171719800674669i</v>
      </c>
      <c r="AH120" s="32">
        <f t="shared" si="88"/>
        <v>1.71719800674669E-2</v>
      </c>
      <c r="AI120" s="32">
        <f t="shared" si="89"/>
        <v>1.5707963267948966</v>
      </c>
      <c r="AJ120" s="32" t="str">
        <f t="shared" si="74"/>
        <v>1+0.000170019604628385i</v>
      </c>
      <c r="AK120" s="32">
        <f t="shared" si="90"/>
        <v>1.000000014453333</v>
      </c>
      <c r="AL120" s="32">
        <f t="shared" si="91"/>
        <v>1.7001960299015172E-4</v>
      </c>
      <c r="AM120" s="32" t="str">
        <f t="shared" si="75"/>
        <v>1+0.0171719800674669i</v>
      </c>
      <c r="AN120" s="32">
        <f t="shared" si="92"/>
        <v>1.0001474275822728</v>
      </c>
      <c r="AO120" s="32">
        <f t="shared" si="93"/>
        <v>1.7170292492619778E-2</v>
      </c>
      <c r="AP120" s="60" t="str">
        <f t="shared" si="94"/>
        <v>-0.430139161689292+25.2994599330032i</v>
      </c>
      <c r="AQ120" s="51">
        <f t="shared" si="95"/>
        <v>28.063480219817478</v>
      </c>
      <c r="AR120" s="63">
        <f t="shared" si="96"/>
        <v>90.974043887146436</v>
      </c>
      <c r="AS120" s="60" t="str">
        <f t="shared" si="97"/>
        <v>1636.90197139588+1713.46701937422i</v>
      </c>
      <c r="AT120" s="66">
        <f t="shared" si="98"/>
        <v>67.493820348989729</v>
      </c>
      <c r="AU120" s="63">
        <f t="shared" si="99"/>
        <v>46.309136601094224</v>
      </c>
      <c r="AX120" s="32">
        <f t="shared" si="100"/>
        <v>0</v>
      </c>
      <c r="AY120" s="32">
        <f t="shared" si="101"/>
        <v>0</v>
      </c>
    </row>
    <row r="121" spans="14:51" x14ac:dyDescent="0.3">
      <c r="N121" s="11">
        <v>3</v>
      </c>
      <c r="O121" s="52">
        <f t="shared" si="102"/>
        <v>107.15193052376065</v>
      </c>
      <c r="P121" s="50" t="str">
        <f t="shared" si="67"/>
        <v>131.578947368421</v>
      </c>
      <c r="Q121" s="18" t="str">
        <f t="shared" si="68"/>
        <v>1+1.00988315325423i</v>
      </c>
      <c r="R121" s="18">
        <f t="shared" si="77"/>
        <v>1.4212191890157926</v>
      </c>
      <c r="S121" s="18">
        <f t="shared" si="78"/>
        <v>0.79031540128882838</v>
      </c>
      <c r="T121" s="18" t="str">
        <f t="shared" si="69"/>
        <v>1+2.22174293715931E-06i</v>
      </c>
      <c r="U121" s="18">
        <f t="shared" si="79"/>
        <v>1.000000000002468</v>
      </c>
      <c r="V121" s="18">
        <f t="shared" si="80"/>
        <v>2.2217429371556542E-6</v>
      </c>
      <c r="W121" s="32" t="str">
        <f t="shared" si="70"/>
        <v>1-0.000538604348402257i</v>
      </c>
      <c r="X121" s="18">
        <f t="shared" si="81"/>
        <v>1.0000001450473115</v>
      </c>
      <c r="Y121" s="18">
        <f t="shared" si="82"/>
        <v>-5.3860429632018706E-4</v>
      </c>
      <c r="Z121" s="32" t="str">
        <f t="shared" si="71"/>
        <v>0.999999992651817+0.000227961928161481i</v>
      </c>
      <c r="AA121" s="18">
        <f t="shared" si="83"/>
        <v>1.0000000186351372</v>
      </c>
      <c r="AB121" s="18">
        <f t="shared" si="84"/>
        <v>2.2796192588778178E-4</v>
      </c>
      <c r="AC121" s="68" t="str">
        <f t="shared" si="85"/>
        <v>65.0921849432107-65.8360726275879i</v>
      </c>
      <c r="AD121" s="66">
        <f t="shared" si="86"/>
        <v>39.330508000134358</v>
      </c>
      <c r="AE121" s="63">
        <f t="shared" si="87"/>
        <v>-45.325530690794409</v>
      </c>
      <c r="AF121" s="32" t="str">
        <f t="shared" si="72"/>
        <v>-0.434440565864413</v>
      </c>
      <c r="AG121" s="32" t="str">
        <f t="shared" si="73"/>
        <v>0.0175719668666236i</v>
      </c>
      <c r="AH121" s="32">
        <f t="shared" si="88"/>
        <v>1.7571966866623601E-2</v>
      </c>
      <c r="AI121" s="32">
        <f t="shared" si="89"/>
        <v>1.5707963267948966</v>
      </c>
      <c r="AJ121" s="32" t="str">
        <f t="shared" si="74"/>
        <v>1+0.000173979869966571i</v>
      </c>
      <c r="AK121" s="32">
        <f t="shared" si="90"/>
        <v>1.0000000151344974</v>
      </c>
      <c r="AL121" s="32">
        <f t="shared" si="91"/>
        <v>1.7397986821117241E-4</v>
      </c>
      <c r="AM121" s="32" t="str">
        <f t="shared" si="75"/>
        <v>1+0.0175719668666236i</v>
      </c>
      <c r="AN121" s="32">
        <f t="shared" si="92"/>
        <v>1.0001543750939461</v>
      </c>
      <c r="AO121" s="32">
        <f t="shared" si="93"/>
        <v>1.7570158612669882E-2</v>
      </c>
      <c r="AP121" s="60" t="str">
        <f t="shared" si="94"/>
        <v>-0.430139161103301+24.7235772847658i</v>
      </c>
      <c r="AQ121" s="51">
        <f t="shared" si="95"/>
        <v>27.86354055011585</v>
      </c>
      <c r="AR121" s="63">
        <f t="shared" si="96"/>
        <v>90.996727621712665</v>
      </c>
      <c r="AS121" s="60" t="str">
        <f t="shared" si="97"/>
        <v>1599.70453190777+1637.6303381281i</v>
      </c>
      <c r="AT121" s="66">
        <f t="shared" si="98"/>
        <v>67.194048550250201</v>
      </c>
      <c r="AU121" s="63">
        <f t="shared" si="99"/>
        <v>45.671196930918178</v>
      </c>
      <c r="AX121" s="32">
        <f t="shared" si="100"/>
        <v>0</v>
      </c>
      <c r="AY121" s="32">
        <f t="shared" si="101"/>
        <v>0</v>
      </c>
    </row>
    <row r="122" spans="14:51" x14ac:dyDescent="0.3">
      <c r="N122" s="11">
        <v>4</v>
      </c>
      <c r="O122" s="52">
        <f t="shared" si="102"/>
        <v>109.64781961431861</v>
      </c>
      <c r="P122" s="50" t="str">
        <f t="shared" si="67"/>
        <v>131.578947368421</v>
      </c>
      <c r="Q122" s="18" t="str">
        <f t="shared" si="68"/>
        <v>1+1.03340635374745i</v>
      </c>
      <c r="R122" s="18">
        <f t="shared" si="77"/>
        <v>1.4380294475307522</v>
      </c>
      <c r="S122" s="18">
        <f t="shared" si="78"/>
        <v>0.80182544988958204</v>
      </c>
      <c r="T122" s="18" t="str">
        <f t="shared" si="69"/>
        <v>1+2.27349397824438E-06i</v>
      </c>
      <c r="U122" s="18">
        <f t="shared" si="79"/>
        <v>1.0000000000025844</v>
      </c>
      <c r="V122" s="18">
        <f t="shared" si="80"/>
        <v>2.2734939782404628E-6</v>
      </c>
      <c r="W122" s="32" t="str">
        <f t="shared" si="70"/>
        <v>1-0.000551150055331971i</v>
      </c>
      <c r="X122" s="18">
        <f t="shared" si="81"/>
        <v>1.0000001518831803</v>
      </c>
      <c r="Y122" s="18">
        <f t="shared" si="82"/>
        <v>-5.5114999952502819E-4</v>
      </c>
      <c r="Z122" s="32" t="str">
        <f t="shared" si="71"/>
        <v>0.999999992305508+0.000233271843594453i</v>
      </c>
      <c r="AA122" s="18">
        <f t="shared" si="83"/>
        <v>1.0000000195133845</v>
      </c>
      <c r="AB122" s="18">
        <f t="shared" si="84"/>
        <v>2.3327184115814038E-4</v>
      </c>
      <c r="AC122" s="68" t="str">
        <f t="shared" si="85"/>
        <v>63.5769370578898-65.8037249667005i</v>
      </c>
      <c r="AD122" s="66">
        <f t="shared" si="86"/>
        <v>39.228373714384624</v>
      </c>
      <c r="AE122" s="63">
        <f t="shared" si="87"/>
        <v>-45.986027984070923</v>
      </c>
      <c r="AF122" s="32" t="str">
        <f t="shared" si="72"/>
        <v>-0.434440565864413</v>
      </c>
      <c r="AG122" s="32" t="str">
        <f t="shared" si="73"/>
        <v>0.0179812705552056i</v>
      </c>
      <c r="AH122" s="32">
        <f t="shared" si="88"/>
        <v>1.7981270555205601E-2</v>
      </c>
      <c r="AI122" s="32">
        <f t="shared" si="89"/>
        <v>1.5707963267948966</v>
      </c>
      <c r="AJ122" s="32" t="str">
        <f t="shared" si="74"/>
        <v>1+0.000178032381734709i</v>
      </c>
      <c r="AK122" s="32">
        <f t="shared" si="90"/>
        <v>1.0000000158477642</v>
      </c>
      <c r="AL122" s="32">
        <f t="shared" si="91"/>
        <v>1.7803237985376553E-4</v>
      </c>
      <c r="AM122" s="32" t="str">
        <f t="shared" si="75"/>
        <v>1+0.0179812705552056i</v>
      </c>
      <c r="AN122" s="32">
        <f t="shared" si="92"/>
        <v>1.0001616499800317</v>
      </c>
      <c r="AO122" s="32">
        <f t="shared" si="93"/>
        <v>1.7979332993098389E-2</v>
      </c>
      <c r="AP122" s="60" t="str">
        <f t="shared" si="94"/>
        <v>-0.430139160489693+24.1608034044597i</v>
      </c>
      <c r="AQ122" s="51">
        <f t="shared" si="95"/>
        <v>27.663603722795052</v>
      </c>
      <c r="AR122" s="63">
        <f t="shared" si="96"/>
        <v>91.019939394982558</v>
      </c>
      <c r="AS122" s="60" t="str">
        <f t="shared" si="97"/>
        <v>1562.523931869+1564.37463632766i</v>
      </c>
      <c r="AT122" s="66">
        <f t="shared" si="98"/>
        <v>66.89197743717969</v>
      </c>
      <c r="AU122" s="63">
        <f t="shared" si="99"/>
        <v>45.033911410911735</v>
      </c>
      <c r="AX122" s="32">
        <f t="shared" si="100"/>
        <v>0</v>
      </c>
      <c r="AY122" s="32">
        <f t="shared" si="101"/>
        <v>0</v>
      </c>
    </row>
    <row r="123" spans="14:51" x14ac:dyDescent="0.3">
      <c r="N123" s="11">
        <v>5</v>
      </c>
      <c r="O123" s="52">
        <f t="shared" si="102"/>
        <v>112.20184543019634</v>
      </c>
      <c r="P123" s="50" t="str">
        <f t="shared" si="67"/>
        <v>131.578947368421</v>
      </c>
      <c r="Q123" s="18" t="str">
        <f t="shared" si="68"/>
        <v>1+1.05747747996817i</v>
      </c>
      <c r="R123" s="18">
        <f t="shared" si="77"/>
        <v>1.4554238628797564</v>
      </c>
      <c r="S123" s="18">
        <f t="shared" si="78"/>
        <v>0.81332679709637257</v>
      </c>
      <c r="T123" s="18" t="str">
        <f t="shared" si="69"/>
        <v>1+2.32645045592997E-06i</v>
      </c>
      <c r="U123" s="18">
        <f t="shared" si="79"/>
        <v>1.0000000000027063</v>
      </c>
      <c r="V123" s="18">
        <f t="shared" si="80"/>
        <v>2.3264504559257727E-6</v>
      </c>
      <c r="W123" s="32" t="str">
        <f t="shared" si="70"/>
        <v>1-0.000563987989316356i</v>
      </c>
      <c r="X123" s="18">
        <f t="shared" si="81"/>
        <v>1.0000001590412135</v>
      </c>
      <c r="Y123" s="18">
        <f t="shared" si="82"/>
        <v>-5.6398792951813993E-4</v>
      </c>
      <c r="Z123" s="32" t="str">
        <f t="shared" si="71"/>
        <v>0.999999991942877+0.000238705442846615i</v>
      </c>
      <c r="AA123" s="18">
        <f t="shared" si="83"/>
        <v>1.0000000204330211</v>
      </c>
      <c r="AB123" s="18">
        <f t="shared" si="84"/>
        <v>2.3870544023605917E-4</v>
      </c>
      <c r="AC123" s="68" t="str">
        <f t="shared" si="85"/>
        <v>62.0639792070312-65.7365717687518i</v>
      </c>
      <c r="AD123" s="66">
        <f t="shared" si="86"/>
        <v>39.123939533111724</v>
      </c>
      <c r="AE123" s="63">
        <f t="shared" si="87"/>
        <v>-46.646050485052882</v>
      </c>
      <c r="AF123" s="32" t="str">
        <f t="shared" si="72"/>
        <v>-0.434440565864413</v>
      </c>
      <c r="AG123" s="32" t="str">
        <f t="shared" si="73"/>
        <v>0.0184001081514461i</v>
      </c>
      <c r="AH123" s="32">
        <f t="shared" si="88"/>
        <v>1.8400108151446101E-2</v>
      </c>
      <c r="AI123" s="32">
        <f t="shared" si="89"/>
        <v>1.5707963267948966</v>
      </c>
      <c r="AJ123" s="32" t="str">
        <f t="shared" si="74"/>
        <v>1+0.00018217928862818i</v>
      </c>
      <c r="AK123" s="32">
        <f t="shared" si="90"/>
        <v>1.0000000165946465</v>
      </c>
      <c r="AL123" s="32">
        <f t="shared" si="91"/>
        <v>1.8217928661271276E-4</v>
      </c>
      <c r="AM123" s="32" t="str">
        <f t="shared" si="75"/>
        <v>1+0.0184001081514461i</v>
      </c>
      <c r="AN123" s="32">
        <f t="shared" si="92"/>
        <v>1.0001692676642213</v>
      </c>
      <c r="AO123" s="32">
        <f t="shared" si="93"/>
        <v>1.8398032035219388E-2</v>
      </c>
      <c r="AP123" s="60" t="str">
        <f t="shared" si="94"/>
        <v>-0.430139159847167+23.6108399019249i</v>
      </c>
      <c r="AQ123" s="51">
        <f t="shared" si="95"/>
        <v>27.463669871725912</v>
      </c>
      <c r="AR123" s="63">
        <f t="shared" si="96"/>
        <v>91.043691482726942</v>
      </c>
      <c r="AS123" s="60" t="str">
        <f t="shared" si="97"/>
        <v>1525.39952386051+1493.65855048545i</v>
      </c>
      <c r="AT123" s="66">
        <f t="shared" si="98"/>
        <v>66.587609404837622</v>
      </c>
      <c r="AU123" s="63">
        <f t="shared" si="99"/>
        <v>44.397640997674003</v>
      </c>
      <c r="AX123" s="32">
        <f t="shared" si="100"/>
        <v>0</v>
      </c>
      <c r="AY123" s="32">
        <f t="shared" si="101"/>
        <v>0</v>
      </c>
    </row>
    <row r="124" spans="14:51" x14ac:dyDescent="0.3">
      <c r="N124" s="11">
        <v>6</v>
      </c>
      <c r="O124" s="52">
        <f t="shared" si="102"/>
        <v>114.81536214968835</v>
      </c>
      <c r="P124" s="50" t="str">
        <f t="shared" si="67"/>
        <v>131.578947368421</v>
      </c>
      <c r="Q124" s="18" t="str">
        <f t="shared" si="68"/>
        <v>1+1.08210929474614i</v>
      </c>
      <c r="R124" s="18">
        <f t="shared" si="77"/>
        <v>1.4734179738879216</v>
      </c>
      <c r="S124" s="18">
        <f t="shared" si="78"/>
        <v>0.824813370858267</v>
      </c>
      <c r="T124" s="18" t="str">
        <f t="shared" si="69"/>
        <v>1+0.0000023806404484415i</v>
      </c>
      <c r="U124" s="18">
        <f t="shared" si="79"/>
        <v>1.0000000000028337</v>
      </c>
      <c r="V124" s="18">
        <f t="shared" si="80"/>
        <v>2.3806404484370028E-6</v>
      </c>
      <c r="W124" s="32" t="str">
        <f t="shared" si="70"/>
        <v>1-0.00057712495719794i</v>
      </c>
      <c r="X124" s="18">
        <f t="shared" si="81"/>
        <v>1.0000001665365943</v>
      </c>
      <c r="Y124" s="18">
        <f t="shared" si="82"/>
        <v>-5.7712489312299758E-4</v>
      </c>
      <c r="Z124" s="32" t="str">
        <f t="shared" si="71"/>
        <v>0.999999991563157+0.000244265606884216i</v>
      </c>
      <c r="AA124" s="18">
        <f t="shared" si="83"/>
        <v>1.0000000213960001</v>
      </c>
      <c r="AB124" s="18">
        <f t="shared" si="84"/>
        <v>2.4426560408695496E-4</v>
      </c>
      <c r="AC124" s="68" t="str">
        <f t="shared" si="85"/>
        <v>60.554905468426-65.6347905082885i</v>
      </c>
      <c r="AD124" s="66">
        <f t="shared" si="86"/>
        <v>39.01721014688475</v>
      </c>
      <c r="AE124" s="63">
        <f t="shared" si="87"/>
        <v>-47.30525084430959</v>
      </c>
      <c r="AF124" s="32" t="str">
        <f t="shared" si="72"/>
        <v>-0.434440565864413</v>
      </c>
      <c r="AG124" s="32" t="str">
        <f t="shared" si="73"/>
        <v>0.0188287017285828i</v>
      </c>
      <c r="AH124" s="32">
        <f t="shared" si="88"/>
        <v>1.8828701728582802E-2</v>
      </c>
      <c r="AI124" s="32">
        <f t="shared" si="89"/>
        <v>1.5707963267948966</v>
      </c>
      <c r="AJ124" s="32" t="str">
        <f t="shared" si="74"/>
        <v>1+0.000186422789391909i</v>
      </c>
      <c r="AK124" s="32">
        <f t="shared" si="90"/>
        <v>1.0000000173767281</v>
      </c>
      <c r="AL124" s="32">
        <f t="shared" si="91"/>
        <v>1.8642278723229693E-4</v>
      </c>
      <c r="AM124" s="32" t="str">
        <f t="shared" si="75"/>
        <v>1+0.0188287017285828i</v>
      </c>
      <c r="AN124" s="32">
        <f t="shared" si="92"/>
        <v>1.0001772442966217</v>
      </c>
      <c r="AO124" s="32">
        <f t="shared" si="93"/>
        <v>1.8826477151257202E-2</v>
      </c>
      <c r="AP124" s="60" t="str">
        <f t="shared" si="94"/>
        <v>-0.430139159174359+23.0733951792324i</v>
      </c>
      <c r="AQ124" s="51">
        <f t="shared" si="95"/>
        <v>27.263739137079725</v>
      </c>
      <c r="AR124" s="63">
        <f t="shared" si="96"/>
        <v>91.067996444953039</v>
      </c>
      <c r="AS124" s="60" t="str">
        <f t="shared" si="97"/>
        <v>1488.3704227818+1425.43935751587i</v>
      </c>
      <c r="AT124" s="66">
        <f t="shared" si="98"/>
        <v>66.280949283964475</v>
      </c>
      <c r="AU124" s="63">
        <f t="shared" si="99"/>
        <v>43.76274560064337</v>
      </c>
      <c r="AX124" s="32">
        <f t="shared" si="100"/>
        <v>0</v>
      </c>
      <c r="AY124" s="32">
        <f t="shared" si="101"/>
        <v>0</v>
      </c>
    </row>
    <row r="125" spans="14:51" x14ac:dyDescent="0.3">
      <c r="N125" s="11">
        <v>7</v>
      </c>
      <c r="O125" s="52">
        <f t="shared" si="102"/>
        <v>117.48975549395293</v>
      </c>
      <c r="P125" s="50" t="str">
        <f t="shared" si="67"/>
        <v>131.578947368421</v>
      </c>
      <c r="Q125" s="18" t="str">
        <f t="shared" si="68"/>
        <v>1+1.10731485819559i</v>
      </c>
      <c r="R125" s="18">
        <f t="shared" si="77"/>
        <v>1.4920275450475837</v>
      </c>
      <c r="S125" s="18">
        <f t="shared" si="78"/>
        <v>0.83627913810827981</v>
      </c>
      <c r="T125" s="18" t="str">
        <f t="shared" si="69"/>
        <v>1+0.0000024360926880303i</v>
      </c>
      <c r="U125" s="18">
        <f t="shared" si="79"/>
        <v>1.0000000000029674</v>
      </c>
      <c r="V125" s="18">
        <f t="shared" si="80"/>
        <v>2.4360926880254809E-6</v>
      </c>
      <c r="W125" s="32" t="str">
        <f t="shared" si="70"/>
        <v>1-0.000590567924370982i</v>
      </c>
      <c r="X125" s="18">
        <f t="shared" si="81"/>
        <v>1.0000001743852216</v>
      </c>
      <c r="Y125" s="18">
        <f t="shared" si="82"/>
        <v>-5.9056785571344483E-4</v>
      </c>
      <c r="Z125" s="32" t="str">
        <f t="shared" si="71"/>
        <v>0.999999991165541+0.000249955283779823i</v>
      </c>
      <c r="AA125" s="18">
        <f t="shared" si="83"/>
        <v>1.0000000224043626</v>
      </c>
      <c r="AB125" s="18">
        <f t="shared" si="84"/>
        <v>2.4995528078250369E-4</v>
      </c>
      <c r="AC125" s="68" t="str">
        <f t="shared" si="85"/>
        <v>59.0512935410422-65.4986493485432i</v>
      </c>
      <c r="AD125" s="66">
        <f t="shared" si="86"/>
        <v>38.908192655844289</v>
      </c>
      <c r="AE125" s="63">
        <f t="shared" si="87"/>
        <v>-47.963283958917252</v>
      </c>
      <c r="AF125" s="32" t="str">
        <f t="shared" si="72"/>
        <v>-0.434440565864413</v>
      </c>
      <c r="AG125" s="32" t="str">
        <f t="shared" si="73"/>
        <v>0.0192672785326033i</v>
      </c>
      <c r="AH125" s="32">
        <f t="shared" si="88"/>
        <v>1.9267278532603301E-2</v>
      </c>
      <c r="AI125" s="32">
        <f t="shared" si="89"/>
        <v>1.5707963267948966</v>
      </c>
      <c r="AJ125" s="32" t="str">
        <f t="shared" si="74"/>
        <v>1+0.000190765133986171i</v>
      </c>
      <c r="AK125" s="32">
        <f t="shared" si="90"/>
        <v>1.0000000181956681</v>
      </c>
      <c r="AL125" s="32">
        <f t="shared" si="91"/>
        <v>1.9076513167210499E-4</v>
      </c>
      <c r="AM125" s="32" t="str">
        <f t="shared" si="75"/>
        <v>1+0.0192672785326033i</v>
      </c>
      <c r="AN125" s="32">
        <f t="shared" si="92"/>
        <v>1.0001855967879427</v>
      </c>
      <c r="AO125" s="32">
        <f t="shared" si="93"/>
        <v>1.9264894878941532E-2</v>
      </c>
      <c r="AP125" s="60" t="str">
        <f t="shared" si="94"/>
        <v>-0.430139158469842+22.5481842760764i</v>
      </c>
      <c r="AQ125" s="51">
        <f t="shared" si="95"/>
        <v>27.063811665624851</v>
      </c>
      <c r="AR125" s="63">
        <f t="shared" si="96"/>
        <v>91.09286713240347</v>
      </c>
      <c r="AS125" s="60" t="str">
        <f t="shared" si="97"/>
        <v>1451.47534163476+1359.67298241579i</v>
      </c>
      <c r="AT125" s="66">
        <f t="shared" si="98"/>
        <v>65.972004321469115</v>
      </c>
      <c r="AU125" s="63">
        <f t="shared" si="99"/>
        <v>43.129583173486232</v>
      </c>
      <c r="AX125" s="32">
        <f t="shared" si="100"/>
        <v>0</v>
      </c>
      <c r="AY125" s="32">
        <f t="shared" si="101"/>
        <v>0</v>
      </c>
    </row>
    <row r="126" spans="14:51" x14ac:dyDescent="0.3">
      <c r="N126" s="11">
        <v>8</v>
      </c>
      <c r="O126" s="52">
        <f t="shared" si="102"/>
        <v>120.22644346174135</v>
      </c>
      <c r="P126" s="50" t="str">
        <f t="shared" si="67"/>
        <v>131.578947368421</v>
      </c>
      <c r="Q126" s="18" t="str">
        <f t="shared" si="68"/>
        <v>1+1.13310753463991i</v>
      </c>
      <c r="R126" s="18">
        <f t="shared" si="77"/>
        <v>1.5112685681432454</v>
      </c>
      <c r="S126" s="18">
        <f t="shared" si="78"/>
        <v>0.84771812047964346</v>
      </c>
      <c r="T126" s="18" t="str">
        <f t="shared" si="69"/>
        <v>1+2.49283657620779E-06i</v>
      </c>
      <c r="U126" s="18">
        <f t="shared" si="79"/>
        <v>1.0000000000031071</v>
      </c>
      <c r="V126" s="18">
        <f t="shared" si="80"/>
        <v>2.4928365762026266E-6</v>
      </c>
      <c r="W126" s="32" t="str">
        <f t="shared" si="70"/>
        <v>1-0.000604324018474617i</v>
      </c>
      <c r="X126" s="18">
        <f t="shared" si="81"/>
        <v>1.000000182603743</v>
      </c>
      <c r="Y126" s="18">
        <f t="shared" si="82"/>
        <v>-6.0432394490674121E-4</v>
      </c>
      <c r="Z126" s="32" t="str">
        <f t="shared" si="71"/>
        <v>0.999999990749185+0.000255777490275441i</v>
      </c>
      <c r="AA126" s="18">
        <f t="shared" si="83"/>
        <v>1.0000000234602471</v>
      </c>
      <c r="AB126" s="18">
        <f t="shared" si="84"/>
        <v>2.557774870637557E-4</v>
      </c>
      <c r="AC126" s="68" t="str">
        <f t="shared" si="85"/>
        <v>57.5546981989457-65.3285054235137i</v>
      </c>
      <c r="AD126" s="66">
        <f t="shared" si="86"/>
        <v>38.796896539832076</v>
      </c>
      <c r="AE126" s="63">
        <f t="shared" si="87"/>
        <v>-48.619807873236503</v>
      </c>
      <c r="AF126" s="32" t="str">
        <f t="shared" si="72"/>
        <v>-0.434440565864413</v>
      </c>
      <c r="AG126" s="32" t="str">
        <f t="shared" si="73"/>
        <v>0.0197160711027344i</v>
      </c>
      <c r="AH126" s="32">
        <f t="shared" si="88"/>
        <v>1.9716071102734399E-2</v>
      </c>
      <c r="AI126" s="32">
        <f t="shared" si="89"/>
        <v>1.5707963267948966</v>
      </c>
      <c r="AJ126" s="32" t="str">
        <f t="shared" si="74"/>
        <v>1+0.000195208624779548i</v>
      </c>
      <c r="AK126" s="32">
        <f t="shared" si="90"/>
        <v>1.0000000190532035</v>
      </c>
      <c r="AL126" s="32">
        <f t="shared" si="91"/>
        <v>1.9520862229998161E-4</v>
      </c>
      <c r="AM126" s="32" t="str">
        <f t="shared" si="75"/>
        <v>1+0.0197160711027344i</v>
      </c>
      <c r="AN126" s="32">
        <f t="shared" si="92"/>
        <v>1.0001943428452933</v>
      </c>
      <c r="AO126" s="32">
        <f t="shared" si="93"/>
        <v>1.971351699862162E-2</v>
      </c>
      <c r="AP126" s="60" t="str">
        <f t="shared" si="94"/>
        <v>-0.430139157732123+22.0349287186841i</v>
      </c>
      <c r="AQ126" s="51">
        <f t="shared" si="95"/>
        <v>26.863887611036557</v>
      </c>
      <c r="AR126" s="63">
        <f t="shared" si="96"/>
        <v>91.118316693198068</v>
      </c>
      <c r="AS126" s="60" t="str">
        <f t="shared" si="97"/>
        <v>1414.75243089847+1296.31402053791i</v>
      </c>
      <c r="AT126" s="66">
        <f t="shared" si="98"/>
        <v>65.660784150868622</v>
      </c>
      <c r="AU126" s="63">
        <f t="shared" si="99"/>
        <v>42.498508819961529</v>
      </c>
      <c r="AX126" s="32">
        <f t="shared" si="100"/>
        <v>0</v>
      </c>
      <c r="AY126" s="32">
        <f t="shared" si="101"/>
        <v>0</v>
      </c>
    </row>
    <row r="127" spans="14:51" x14ac:dyDescent="0.3">
      <c r="N127" s="11">
        <v>9</v>
      </c>
      <c r="O127" s="52">
        <f t="shared" si="102"/>
        <v>123.02687708123821</v>
      </c>
      <c r="P127" s="50" t="str">
        <f t="shared" si="67"/>
        <v>131.578947368421</v>
      </c>
      <c r="Q127" s="18" t="str">
        <f t="shared" si="68"/>
        <v>1+1.15950099969754i</v>
      </c>
      <c r="R127" s="18">
        <f t="shared" si="77"/>
        <v>1.5311572643917393</v>
      </c>
      <c r="S127" s="18">
        <f t="shared" si="78"/>
        <v>0.85912440967272885</v>
      </c>
      <c r="T127" s="18" t="str">
        <f t="shared" si="69"/>
        <v>1+2.55090219933458E-06i</v>
      </c>
      <c r="U127" s="18">
        <f t="shared" si="79"/>
        <v>1.0000000000032534</v>
      </c>
      <c r="V127" s="18">
        <f t="shared" si="80"/>
        <v>2.5509021993290474E-6</v>
      </c>
      <c r="W127" s="32" t="str">
        <f t="shared" si="70"/>
        <v>1-0.00061840053317202i</v>
      </c>
      <c r="X127" s="18">
        <f t="shared" si="81"/>
        <v>1.0000001912095915</v>
      </c>
      <c r="Y127" s="18">
        <f t="shared" si="82"/>
        <v>-6.1840045434262165E-4</v>
      </c>
      <c r="Z127" s="32" t="str">
        <f t="shared" si="71"/>
        <v>0.999999990313208+0.000261735313382017i</v>
      </c>
      <c r="AA127" s="18">
        <f t="shared" si="83"/>
        <v>1.0000000245658949</v>
      </c>
      <c r="AB127" s="18">
        <f t="shared" si="84"/>
        <v>2.6173530994063406E-4</v>
      </c>
      <c r="AC127" s="68" t="str">
        <f t="shared" si="85"/>
        <v>56.0666449487818-65.1248025646003i</v>
      </c>
      <c r="AD127" s="66">
        <f t="shared" si="86"/>
        <v>38.683333618726216</v>
      </c>
      <c r="AE127" s="63">
        <f t="shared" si="87"/>
        <v>-49.274484659677732</v>
      </c>
      <c r="AF127" s="32" t="str">
        <f t="shared" si="72"/>
        <v>-0.434440565864413</v>
      </c>
      <c r="AG127" s="32" t="str">
        <f t="shared" si="73"/>
        <v>0.0201753173947372i</v>
      </c>
      <c r="AH127" s="32">
        <f t="shared" si="88"/>
        <v>2.0175317394737199E-2</v>
      </c>
      <c r="AI127" s="32">
        <f t="shared" si="89"/>
        <v>1.5707963267948966</v>
      </c>
      <c r="AJ127" s="32" t="str">
        <f t="shared" si="74"/>
        <v>1+0.000199755617769675i</v>
      </c>
      <c r="AK127" s="32">
        <f t="shared" si="90"/>
        <v>1.0000000199511532</v>
      </c>
      <c r="AL127" s="32">
        <f t="shared" si="91"/>
        <v>1.9975561511277173E-4</v>
      </c>
      <c r="AM127" s="32" t="str">
        <f t="shared" si="75"/>
        <v>1+0.0201753173947372i</v>
      </c>
      <c r="AN127" s="32">
        <f t="shared" si="92"/>
        <v>1.0002035010096586</v>
      </c>
      <c r="AO127" s="32">
        <f t="shared" si="93"/>
        <v>2.0172580652945242E-2</v>
      </c>
      <c r="AP127" s="60" t="str">
        <f t="shared" si="94"/>
        <v>-0.430139156959637+21.5333563721652i</v>
      </c>
      <c r="AQ127" s="51">
        <f t="shared" si="95"/>
        <v>26.663967134221572</v>
      </c>
      <c r="AR127" s="63">
        <f t="shared" si="96"/>
        <v>91.144358579621013</v>
      </c>
      <c r="AS127" s="60" t="str">
        <f t="shared" si="97"/>
        <v>1378.23912289861+1235.31577394607i</v>
      </c>
      <c r="AT127" s="66">
        <f t="shared" si="98"/>
        <v>65.347300752947774</v>
      </c>
      <c r="AU127" s="63">
        <f t="shared" si="99"/>
        <v>41.869873919943238</v>
      </c>
      <c r="AX127" s="32">
        <f t="shared" si="100"/>
        <v>0</v>
      </c>
      <c r="AY127" s="32">
        <f t="shared" si="101"/>
        <v>0</v>
      </c>
    </row>
    <row r="128" spans="14:51" x14ac:dyDescent="0.3">
      <c r="N128" s="11">
        <v>10</v>
      </c>
      <c r="O128" s="52">
        <f t="shared" si="102"/>
        <v>125.89254117941677</v>
      </c>
      <c r="P128" s="50" t="str">
        <f t="shared" si="67"/>
        <v>131.578947368421</v>
      </c>
      <c r="Q128" s="18" t="str">
        <f t="shared" si="68"/>
        <v>1+1.18650924753302i</v>
      </c>
      <c r="R128" s="18">
        <f t="shared" si="77"/>
        <v>1.5517100871236782</v>
      </c>
      <c r="S128" s="18">
        <f t="shared" si="78"/>
        <v>0.870492182377827</v>
      </c>
      <c r="T128" s="18" t="str">
        <f t="shared" si="69"/>
        <v>1+2.61032034457264E-06i</v>
      </c>
      <c r="U128" s="18">
        <f t="shared" si="79"/>
        <v>1.0000000000034071</v>
      </c>
      <c r="V128" s="18">
        <f t="shared" si="80"/>
        <v>2.6103203445667111E-6</v>
      </c>
      <c r="W128" s="32" t="str">
        <f t="shared" si="70"/>
        <v>1-0.00063280493201761i</v>
      </c>
      <c r="X128" s="18">
        <f t="shared" si="81"/>
        <v>1.0000002002210209</v>
      </c>
      <c r="Y128" s="18">
        <f t="shared" si="82"/>
        <v>-6.3280484755038875E-4</v>
      </c>
      <c r="Z128" s="32" t="str">
        <f t="shared" si="71"/>
        <v>0.999999989856684+0.000267831912016225i</v>
      </c>
      <c r="AA128" s="18">
        <f t="shared" si="83"/>
        <v>1.0000000257236503</v>
      </c>
      <c r="AB128" s="18">
        <f t="shared" si="84"/>
        <v>2.6783190832871672E-4</v>
      </c>
      <c r="AC128" s="68" t="str">
        <f t="shared" si="85"/>
        <v>54.5886239449111-64.8880684985736i</v>
      </c>
      <c r="AD128" s="66">
        <f t="shared" si="86"/>
        <v>38.56751800333123</v>
      </c>
      <c r="AE128" s="63">
        <f t="shared" si="87"/>
        <v>-49.926981274029188</v>
      </c>
      <c r="AF128" s="32" t="str">
        <f t="shared" si="72"/>
        <v>-0.434440565864413</v>
      </c>
      <c r="AG128" s="32" t="str">
        <f t="shared" si="73"/>
        <v>0.0206452609070745i</v>
      </c>
      <c r="AH128" s="32">
        <f t="shared" si="88"/>
        <v>2.0645260907074501E-2</v>
      </c>
      <c r="AI128" s="32">
        <f t="shared" si="89"/>
        <v>1.5707963267948966</v>
      </c>
      <c r="AJ128" s="32" t="str">
        <f t="shared" si="74"/>
        <v>1+0.000204408523832421i</v>
      </c>
      <c r="AK128" s="32">
        <f t="shared" si="90"/>
        <v>1.0000000208914221</v>
      </c>
      <c r="AL128" s="32">
        <f t="shared" si="91"/>
        <v>2.0440852098549785E-4</v>
      </c>
      <c r="AM128" s="32" t="str">
        <f t="shared" si="75"/>
        <v>1+0.0206452609070745i</v>
      </c>
      <c r="AN128" s="32">
        <f t="shared" si="92"/>
        <v>1.0002130906951383</v>
      </c>
      <c r="AO128" s="32">
        <f t="shared" si="93"/>
        <v>2.0642328469151931E-2</v>
      </c>
      <c r="AP128" s="60" t="str">
        <f t="shared" si="94"/>
        <v>-0.430139156150744+21.0432012962226i</v>
      </c>
      <c r="AQ128" s="51">
        <f t="shared" si="95"/>
        <v>26.464050403657915</v>
      </c>
      <c r="AR128" s="63">
        <f t="shared" si="96"/>
        <v>91.171006555056167</v>
      </c>
      <c r="AS128" s="60" t="str">
        <f t="shared" si="97"/>
        <v>1341.97198249947+1176.63030118479i</v>
      </c>
      <c r="AT128" s="66">
        <f t="shared" si="98"/>
        <v>65.031568406989138</v>
      </c>
      <c r="AU128" s="63">
        <f t="shared" si="99"/>
        <v>41.244025281027007</v>
      </c>
      <c r="AX128" s="32">
        <f t="shared" si="100"/>
        <v>0</v>
      </c>
      <c r="AY128" s="32">
        <f t="shared" si="101"/>
        <v>0</v>
      </c>
    </row>
    <row r="129" spans="14:51" x14ac:dyDescent="0.3">
      <c r="N129" s="11">
        <v>11</v>
      </c>
      <c r="O129" s="52">
        <f t="shared" si="102"/>
        <v>128.82495516931343</v>
      </c>
      <c r="P129" s="50" t="str">
        <f t="shared" si="67"/>
        <v>131.578947368421</v>
      </c>
      <c r="Q129" s="18" t="str">
        <f t="shared" si="68"/>
        <v>1+1.21414659827685i</v>
      </c>
      <c r="R129" s="18">
        <f t="shared" si="77"/>
        <v>1.5729437250287268</v>
      </c>
      <c r="S129" s="18">
        <f t="shared" si="78"/>
        <v>0.88181571466403397</v>
      </c>
      <c r="T129" s="18" t="str">
        <f t="shared" si="69"/>
        <v>1+2.67112251620907E-06i</v>
      </c>
      <c r="U129" s="18">
        <f t="shared" si="79"/>
        <v>1.0000000000035674</v>
      </c>
      <c r="V129" s="18">
        <f t="shared" si="80"/>
        <v>2.6711225162027171E-6</v>
      </c>
      <c r="W129" s="32" t="str">
        <f t="shared" si="70"/>
        <v>1-0.000647544852414319i</v>
      </c>
      <c r="X129" s="18">
        <f t="shared" si="81"/>
        <v>1.0000002096571461</v>
      </c>
      <c r="Y129" s="18">
        <f t="shared" si="82"/>
        <v>-6.475447619060619E-4</v>
      </c>
      <c r="Z129" s="32" t="str">
        <f t="shared" si="71"/>
        <v>0.999999989378644+0.000274070518675359i</v>
      </c>
      <c r="AA129" s="18">
        <f t="shared" si="83"/>
        <v>1.0000000269359681</v>
      </c>
      <c r="AB129" s="18">
        <f t="shared" si="84"/>
        <v>2.7407051472412276E-4</v>
      </c>
      <c r="AC129" s="68" t="str">
        <f t="shared" si="85"/>
        <v>53.1220842124742-64.6189115495167i</v>
      </c>
      <c r="AD129" s="66">
        <f t="shared" si="86"/>
        <v>38.44946603725473</v>
      </c>
      <c r="AE129" s="63">
        <f t="shared" si="87"/>
        <v>-50.576970380200535</v>
      </c>
      <c r="AF129" s="32" t="str">
        <f t="shared" si="72"/>
        <v>-0.434440565864413</v>
      </c>
      <c r="AG129" s="32" t="str">
        <f t="shared" si="73"/>
        <v>0.0211261508100172i</v>
      </c>
      <c r="AH129" s="32">
        <f t="shared" si="88"/>
        <v>2.1126150810017199E-2</v>
      </c>
      <c r="AI129" s="32">
        <f t="shared" si="89"/>
        <v>1.5707963267948966</v>
      </c>
      <c r="AJ129" s="32" t="str">
        <f t="shared" si="74"/>
        <v>1+0.00020916981000017i</v>
      </c>
      <c r="AK129" s="32">
        <f t="shared" si="90"/>
        <v>1.0000000218760043</v>
      </c>
      <c r="AL129" s="32">
        <f t="shared" si="91"/>
        <v>2.0916980694963693E-4</v>
      </c>
      <c r="AM129" s="32" t="str">
        <f t="shared" si="75"/>
        <v>1+0.0211261508100172i</v>
      </c>
      <c r="AN129" s="32">
        <f t="shared" si="92"/>
        <v>1.0002231322300277</v>
      </c>
      <c r="AO129" s="32">
        <f t="shared" si="93"/>
        <v>2.1123008684028676E-2</v>
      </c>
      <c r="AP129" s="60" t="str">
        <f t="shared" si="94"/>
        <v>-0.430139155303729+20.5642036041467i</v>
      </c>
      <c r="AQ129" s="51">
        <f t="shared" si="95"/>
        <v>26.264137595750281</v>
      </c>
      <c r="AR129" s="63">
        <f t="shared" si="96"/>
        <v>91.19827470107326</v>
      </c>
      <c r="AS129" s="60" t="str">
        <f t="shared" si="97"/>
        <v>1305.98656535148+1120.2084796525i</v>
      </c>
      <c r="AT129" s="66">
        <f t="shared" si="98"/>
        <v>64.713603633004993</v>
      </c>
      <c r="AU129" s="63">
        <f t="shared" si="99"/>
        <v>40.621304320872689</v>
      </c>
      <c r="AX129" s="32">
        <f t="shared" si="100"/>
        <v>0</v>
      </c>
      <c r="AY129" s="32">
        <f t="shared" si="101"/>
        <v>0</v>
      </c>
    </row>
    <row r="130" spans="14:51" x14ac:dyDescent="0.3">
      <c r="N130" s="11">
        <v>12</v>
      </c>
      <c r="O130" s="52">
        <f t="shared" si="102"/>
        <v>131.82567385564084</v>
      </c>
      <c r="P130" s="50" t="str">
        <f t="shared" si="67"/>
        <v>131.578947368421</v>
      </c>
      <c r="Q130" s="18" t="str">
        <f t="shared" si="68"/>
        <v>1+1.24242770561822i</v>
      </c>
      <c r="R130" s="18">
        <f t="shared" si="77"/>
        <v>1.5948751059840875</v>
      </c>
      <c r="S130" s="18">
        <f t="shared" si="78"/>
        <v>0.89308939575079682</v>
      </c>
      <c r="T130" s="18" t="str">
        <f t="shared" si="69"/>
        <v>1+2.73334095236008E-06i</v>
      </c>
      <c r="U130" s="18">
        <f t="shared" si="79"/>
        <v>1.0000000000037357</v>
      </c>
      <c r="V130" s="18">
        <f t="shared" si="80"/>
        <v>2.7333409523532729E-6</v>
      </c>
      <c r="W130" s="32" t="str">
        <f t="shared" si="70"/>
        <v>1-0.000662628109663049i</v>
      </c>
      <c r="X130" s="18">
        <f t="shared" si="81"/>
        <v>1.0000002195379818</v>
      </c>
      <c r="Y130" s="18">
        <f t="shared" si="82"/>
        <v>-6.6262801268170536E-4</v>
      </c>
      <c r="Z130" s="32" t="str">
        <f t="shared" si="71"/>
        <v>0.999999988878075+0.000280454441151246i</v>
      </c>
      <c r="AA130" s="18">
        <f t="shared" si="83"/>
        <v>1.0000000282054216</v>
      </c>
      <c r="AB130" s="18">
        <f t="shared" si="84"/>
        <v>2.8045443691742002E-4</v>
      </c>
      <c r="AC130" s="68" t="str">
        <f t="shared" si="85"/>
        <v>51.6684282240651-64.3180168826385i</v>
      </c>
      <c r="AD130" s="66">
        <f t="shared" si="86"/>
        <v>38.32919623027243</v>
      </c>
      <c r="AE130" s="63">
        <f t="shared" si="87"/>
        <v>-51.224131139603848</v>
      </c>
      <c r="AF130" s="32" t="str">
        <f t="shared" si="72"/>
        <v>-0.434440565864413</v>
      </c>
      <c r="AG130" s="32" t="str">
        <f t="shared" si="73"/>
        <v>0.021618242077757i</v>
      </c>
      <c r="AH130" s="32">
        <f t="shared" si="88"/>
        <v>2.1618242077757002E-2</v>
      </c>
      <c r="AI130" s="32">
        <f t="shared" si="89"/>
        <v>1.5707963267948966</v>
      </c>
      <c r="AJ130" s="32" t="str">
        <f t="shared" si="74"/>
        <v>1+0.000214042000769871i</v>
      </c>
      <c r="AK130" s="32">
        <f t="shared" si="90"/>
        <v>1.0000000229069888</v>
      </c>
      <c r="AL130" s="32">
        <f t="shared" si="91"/>
        <v>2.1404199750116592E-4</v>
      </c>
      <c r="AM130" s="32" t="str">
        <f t="shared" si="75"/>
        <v>1+0.021618242077757i</v>
      </c>
      <c r="AN130" s="32">
        <f t="shared" si="92"/>
        <v>1.0002336468998294</v>
      </c>
      <c r="AO130" s="32">
        <f t="shared" si="93"/>
        <v>2.1614875271575733E-2</v>
      </c>
      <c r="AP130" s="60" t="str">
        <f t="shared" si="94"/>
        <v>-0.430139154416795+20.0961093250212i</v>
      </c>
      <c r="AQ130" s="51">
        <f t="shared" si="95"/>
        <v>26.064228895202838</v>
      </c>
      <c r="AR130" s="63">
        <f t="shared" si="96"/>
        <v>91.226177424667611</v>
      </c>
      <c r="AS130" s="60" t="str">
        <f t="shared" si="97"/>
        <v>1270.31728481572+1066.00007963849i</v>
      </c>
      <c r="AT130" s="66">
        <f t="shared" si="98"/>
        <v>64.393425125475289</v>
      </c>
      <c r="AU130" s="63">
        <f t="shared" si="99"/>
        <v>40.00204628506382</v>
      </c>
      <c r="AX130" s="32">
        <f t="shared" si="100"/>
        <v>0</v>
      </c>
      <c r="AY130" s="32">
        <f t="shared" si="101"/>
        <v>0</v>
      </c>
    </row>
    <row r="131" spans="14:51" x14ac:dyDescent="0.3">
      <c r="N131" s="11">
        <v>13</v>
      </c>
      <c r="O131" s="52">
        <f t="shared" si="102"/>
        <v>134.89628825916537</v>
      </c>
      <c r="P131" s="50" t="str">
        <f t="shared" si="67"/>
        <v>131.578947368421</v>
      </c>
      <c r="Q131" s="18" t="str">
        <f t="shared" si="68"/>
        <v>1+1.27136756457457i</v>
      </c>
      <c r="R131" s="18">
        <f t="shared" si="77"/>
        <v>1.6175214014819936</v>
      </c>
      <c r="S131" s="18">
        <f t="shared" si="78"/>
        <v>0.90430774108563705</v>
      </c>
      <c r="T131" s="18" t="str">
        <f t="shared" si="69"/>
        <v>1+2.79700864206407E-06i</v>
      </c>
      <c r="U131" s="18">
        <f t="shared" si="79"/>
        <v>1.0000000000039115</v>
      </c>
      <c r="V131" s="18">
        <f t="shared" si="80"/>
        <v>2.7970086420567761E-6</v>
      </c>
      <c r="W131" s="32" t="str">
        <f t="shared" si="70"/>
        <v>1-0.00067806270110644i</v>
      </c>
      <c r="X131" s="18">
        <f t="shared" si="81"/>
        <v>1.0000002298844868</v>
      </c>
      <c r="Y131" s="18">
        <f t="shared" si="82"/>
        <v>-6.7806259718905938E-4</v>
      </c>
      <c r="Z131" s="32" t="str">
        <f t="shared" si="71"/>
        <v>0.999999988353914+0.000286987064284085i</v>
      </c>
      <c r="AA131" s="18">
        <f t="shared" si="83"/>
        <v>1.0000000295347011</v>
      </c>
      <c r="AB131" s="18">
        <f t="shared" si="84"/>
        <v>2.8698705974745893E-4</v>
      </c>
      <c r="AC131" s="68" t="str">
        <f t="shared" si="85"/>
        <v>50.2290068705743-63.9861423324347i</v>
      </c>
      <c r="AD131" s="66">
        <f t="shared" si="86"/>
        <v>38.206729183750724</v>
      </c>
      <c r="AE131" s="63">
        <f t="shared" si="87"/>
        <v>-51.868149960788777</v>
      </c>
      <c r="AF131" s="32" t="str">
        <f t="shared" si="72"/>
        <v>-0.434440565864413</v>
      </c>
      <c r="AG131" s="32" t="str">
        <f t="shared" si="73"/>
        <v>0.0221217956235976i</v>
      </c>
      <c r="AH131" s="32">
        <f t="shared" si="88"/>
        <v>2.21217956235976E-2</v>
      </c>
      <c r="AI131" s="32">
        <f t="shared" si="89"/>
        <v>1.5707963267948966</v>
      </c>
      <c r="AJ131" s="32" t="str">
        <f t="shared" si="74"/>
        <v>1+0.000219027679441561i</v>
      </c>
      <c r="AK131" s="32">
        <f t="shared" si="90"/>
        <v>1.0000000239865618</v>
      </c>
      <c r="AL131" s="32">
        <f t="shared" si="91"/>
        <v>2.190276759390804E-4</v>
      </c>
      <c r="AM131" s="32" t="str">
        <f t="shared" si="75"/>
        <v>1+0.0221217956235976i</v>
      </c>
      <c r="AN131" s="32">
        <f t="shared" si="92"/>
        <v>1.0002446569922843</v>
      </c>
      <c r="AO131" s="32">
        <f t="shared" si="93"/>
        <v>2.2118188073433555E-2</v>
      </c>
      <c r="AP131" s="60" t="str">
        <f t="shared" si="94"/>
        <v>-0.430139153488062+19.6386702690634i</v>
      </c>
      <c r="AQ131" s="51">
        <f t="shared" si="95"/>
        <v>25.864324495408585</v>
      </c>
      <c r="AR131" s="63">
        <f t="shared" si="96"/>
        <v>91.254729465656453</v>
      </c>
      <c r="AS131" s="60" t="str">
        <f t="shared" si="97"/>
        <v>1234.99728856019+1013.95384897157i</v>
      </c>
      <c r="AT131" s="66">
        <f t="shared" si="98"/>
        <v>64.071053679159306</v>
      </c>
      <c r="AU131" s="63">
        <f t="shared" si="99"/>
        <v>39.386579504867711</v>
      </c>
      <c r="AX131" s="32">
        <f t="shared" si="100"/>
        <v>0</v>
      </c>
      <c r="AY131" s="32">
        <f t="shared" si="101"/>
        <v>0</v>
      </c>
    </row>
    <row r="132" spans="14:51" x14ac:dyDescent="0.3">
      <c r="N132" s="11">
        <v>14</v>
      </c>
      <c r="O132" s="52">
        <f t="shared" si="102"/>
        <v>138.0384264602886</v>
      </c>
      <c r="P132" s="50" t="str">
        <f t="shared" si="67"/>
        <v>131.578947368421</v>
      </c>
      <c r="Q132" s="18" t="str">
        <f t="shared" si="68"/>
        <v>1+1.30098151944221i</v>
      </c>
      <c r="R132" s="18">
        <f t="shared" si="77"/>
        <v>1.6409000316686455</v>
      </c>
      <c r="S132" s="18">
        <f t="shared" si="78"/>
        <v>0.91546540465940918</v>
      </c>
      <c r="T132" s="18" t="str">
        <f t="shared" si="69"/>
        <v>1+2.86215934277287E-06i</v>
      </c>
      <c r="U132" s="18">
        <f t="shared" si="79"/>
        <v>1.0000000000040958</v>
      </c>
      <c r="V132" s="18">
        <f t="shared" si="80"/>
        <v>2.8621593427650546E-6</v>
      </c>
      <c r="W132" s="32" t="str">
        <f t="shared" si="70"/>
        <v>1-0.00069385681036918i</v>
      </c>
      <c r="X132" s="18">
        <f t="shared" si="81"/>
        <v>1.0000002407186077</v>
      </c>
      <c r="Y132" s="18">
        <f t="shared" si="82"/>
        <v>-6.938566990197019E-4</v>
      </c>
      <c r="Z132" s="32" t="str">
        <f t="shared" si="71"/>
        <v>0.999999987805051+0.000293671851757131i</v>
      </c>
      <c r="AA132" s="18">
        <f t="shared" si="83"/>
        <v>1.0000000309266288</v>
      </c>
      <c r="AB132" s="18">
        <f t="shared" si="84"/>
        <v>2.9367184689604858E-4</v>
      </c>
      <c r="AC132" s="68" t="str">
        <f t="shared" si="85"/>
        <v>48.8051148611262-63.6241138614788i</v>
      </c>
      <c r="AD132" s="66">
        <f t="shared" si="86"/>
        <v>38.082087508752132</v>
      </c>
      <c r="AE132" s="63">
        <f t="shared" si="87"/>
        <v>-52.508721205399169</v>
      </c>
      <c r="AF132" s="32" t="str">
        <f t="shared" si="72"/>
        <v>-0.434440565864413</v>
      </c>
      <c r="AG132" s="32" t="str">
        <f t="shared" si="73"/>
        <v>0.0226370784382945i</v>
      </c>
      <c r="AH132" s="32">
        <f t="shared" si="88"/>
        <v>2.2637078438294499E-2</v>
      </c>
      <c r="AI132" s="32">
        <f t="shared" si="89"/>
        <v>1.5707963267948966</v>
      </c>
      <c r="AJ132" s="32" t="str">
        <f t="shared" si="74"/>
        <v>1+0.000224129489488065i</v>
      </c>
      <c r="AK132" s="32">
        <f t="shared" si="90"/>
        <v>1.0000000251170138</v>
      </c>
      <c r="AL132" s="32">
        <f t="shared" si="91"/>
        <v>2.2412948573508943E-4</v>
      </c>
      <c r="AM132" s="32" t="str">
        <f t="shared" si="75"/>
        <v>1+0.0226370784382945i</v>
      </c>
      <c r="AN132" s="32">
        <f t="shared" si="92"/>
        <v>1.0002561858445171</v>
      </c>
      <c r="AO132" s="32">
        <f t="shared" si="93"/>
        <v>2.26332129321185E-2</v>
      </c>
      <c r="AP132" s="60" t="str">
        <f t="shared" si="94"/>
        <v>-0.430139152515559+19.1916438960306i</v>
      </c>
      <c r="AQ132" s="51">
        <f t="shared" si="95"/>
        <v>25.664424598857227</v>
      </c>
      <c r="AR132" s="63">
        <f t="shared" si="96"/>
        <v>91.283945904234244</v>
      </c>
      <c r="AS132" s="60" t="str">
        <f t="shared" si="97"/>
        <v>1200.05834568522+964.017607135535i</v>
      </c>
      <c r="AT132" s="66">
        <f t="shared" si="98"/>
        <v>63.746512107609377</v>
      </c>
      <c r="AU132" s="63">
        <f t="shared" si="99"/>
        <v>38.775224698834997</v>
      </c>
      <c r="AX132" s="32">
        <f t="shared" si="100"/>
        <v>0</v>
      </c>
      <c r="AY132" s="32">
        <f t="shared" si="101"/>
        <v>0</v>
      </c>
    </row>
    <row r="133" spans="14:51" x14ac:dyDescent="0.3">
      <c r="N133" s="11">
        <v>15</v>
      </c>
      <c r="O133" s="52">
        <f t="shared" si="102"/>
        <v>141.25375446227542</v>
      </c>
      <c r="P133" s="50" t="str">
        <f t="shared" si="67"/>
        <v>131.578947368421</v>
      </c>
      <c r="Q133" s="18" t="str">
        <f t="shared" si="68"/>
        <v>1+1.33128527193198i</v>
      </c>
      <c r="R133" s="18">
        <f t="shared" si="77"/>
        <v>1.6650286710032973</v>
      </c>
      <c r="S133" s="18">
        <f t="shared" si="78"/>
        <v>0.92655719049868268</v>
      </c>
      <c r="T133" s="18" t="str">
        <f t="shared" si="69"/>
        <v>1+2.92882759825036E-06i</v>
      </c>
      <c r="U133" s="18">
        <f t="shared" si="79"/>
        <v>1.000000000004289</v>
      </c>
      <c r="V133" s="18">
        <f t="shared" si="80"/>
        <v>2.9288275982419852E-6</v>
      </c>
      <c r="W133" s="32" t="str">
        <f t="shared" si="70"/>
        <v>1-0.000710018811697058i</v>
      </c>
      <c r="X133" s="18">
        <f t="shared" si="81"/>
        <v>1.0000002520633247</v>
      </c>
      <c r="Y133" s="18">
        <f t="shared" si="82"/>
        <v>-7.1001869238394421E-4</v>
      </c>
      <c r="Z133" s="32" t="str">
        <f t="shared" si="71"/>
        <v>0.999999987230321+0.000300512347933184i</v>
      </c>
      <c r="AA133" s="18">
        <f t="shared" si="83"/>
        <v>1.0000000323841562</v>
      </c>
      <c r="AB133" s="18">
        <f t="shared" si="84"/>
        <v>3.0051234272444031E-4</v>
      </c>
      <c r="AC133" s="68" t="str">
        <f t="shared" si="85"/>
        <v>47.3979865810789-63.232820699142i</v>
      </c>
      <c r="AD133" s="66">
        <f t="shared" si="86"/>
        <v>37.955295737499384</v>
      </c>
      <c r="AE133" s="63">
        <f t="shared" si="87"/>
        <v>-53.145547846991967</v>
      </c>
      <c r="AF133" s="32" t="str">
        <f t="shared" si="72"/>
        <v>-0.434440565864413</v>
      </c>
      <c r="AG133" s="32" t="str">
        <f t="shared" si="73"/>
        <v>0.0231643637316165i</v>
      </c>
      <c r="AH133" s="32">
        <f t="shared" si="88"/>
        <v>2.31643637316165E-2</v>
      </c>
      <c r="AI133" s="32">
        <f t="shared" si="89"/>
        <v>1.5707963267948966</v>
      </c>
      <c r="AJ133" s="32" t="str">
        <f t="shared" si="74"/>
        <v>1+0.000229350135956599i</v>
      </c>
      <c r="AK133" s="32">
        <f t="shared" si="90"/>
        <v>1.000000026300742</v>
      </c>
      <c r="AL133" s="32">
        <f t="shared" si="91"/>
        <v>2.2935013193521323E-4</v>
      </c>
      <c r="AM133" s="32" t="str">
        <f t="shared" si="75"/>
        <v>1+0.0231643637316165i</v>
      </c>
      <c r="AN133" s="32">
        <f t="shared" si="92"/>
        <v>1.0002682578923969</v>
      </c>
      <c r="AO133" s="32">
        <f t="shared" si="93"/>
        <v>2.3160221827116023E-2</v>
      </c>
      <c r="AP133" s="60" t="str">
        <f t="shared" si="94"/>
        <v>-0.430139151497223+18.754793186623i</v>
      </c>
      <c r="AQ133" s="51">
        <f t="shared" si="95"/>
        <v>25.464529417562648</v>
      </c>
      <c r="AR133" s="63">
        <f t="shared" si="96"/>
        <v>91.31384216868986</v>
      </c>
      <c r="AS133" s="60" t="str">
        <f t="shared" si="97"/>
        <v>1165.53074508856+916.138347632772i</v>
      </c>
      <c r="AT133" s="66">
        <f t="shared" si="98"/>
        <v>63.419825155062028</v>
      </c>
      <c r="AU133" s="63">
        <f t="shared" si="99"/>
        <v>38.168294321697907</v>
      </c>
      <c r="AX133" s="32">
        <f t="shared" si="100"/>
        <v>0</v>
      </c>
      <c r="AY133" s="32">
        <f t="shared" si="101"/>
        <v>0</v>
      </c>
    </row>
    <row r="134" spans="14:51" x14ac:dyDescent="0.3">
      <c r="N134" s="11">
        <v>16</v>
      </c>
      <c r="O134" s="52">
        <f t="shared" si="102"/>
        <v>144.54397707459285</v>
      </c>
      <c r="P134" s="50" t="str">
        <f t="shared" si="67"/>
        <v>131.578947368421</v>
      </c>
      <c r="Q134" s="18" t="str">
        <f t="shared" si="68"/>
        <v>1+1.36229488949458i</v>
      </c>
      <c r="R134" s="18">
        <f t="shared" si="77"/>
        <v>1.6899252545432446</v>
      </c>
      <c r="S134" s="18">
        <f t="shared" si="78"/>
        <v>0.93757806328387883</v>
      </c>
      <c r="T134" s="18" t="str">
        <f t="shared" si="69"/>
        <v>1+2.99704875688807E-06i</v>
      </c>
      <c r="U134" s="18">
        <f t="shared" si="79"/>
        <v>1.0000000000044911</v>
      </c>
      <c r="V134" s="18">
        <f t="shared" si="80"/>
        <v>2.9970487568790966E-6</v>
      </c>
      <c r="W134" s="32" t="str">
        <f t="shared" si="70"/>
        <v>1-0.000726557274397108i</v>
      </c>
      <c r="X134" s="18">
        <f t="shared" si="81"/>
        <v>1.0000002639427017</v>
      </c>
      <c r="Y134" s="18">
        <f t="shared" si="82"/>
        <v>-7.2655714655080498E-4</v>
      </c>
      <c r="Z134" s="32" t="str">
        <f t="shared" si="71"/>
        <v>0.999999986628505+0.000307512179733864i</v>
      </c>
      <c r="AA134" s="18">
        <f t="shared" si="83"/>
        <v>1.0000000339103747</v>
      </c>
      <c r="AB134" s="18">
        <f t="shared" si="84"/>
        <v>3.0751217415259444E-4</v>
      </c>
      <c r="AC134" s="68" t="str">
        <f t="shared" si="85"/>
        <v>46.0087924308202-62.8132102116968i</v>
      </c>
      <c r="AD134" s="66">
        <f t="shared" si="86"/>
        <v>37.826380228910203</v>
      </c>
      <c r="AE134" s="63">
        <f t="shared" si="87"/>
        <v>-53.778342079771257</v>
      </c>
      <c r="AF134" s="32" t="str">
        <f t="shared" si="72"/>
        <v>-0.434440565864413</v>
      </c>
      <c r="AG134" s="32" t="str">
        <f t="shared" si="73"/>
        <v>0.0237039310772057i</v>
      </c>
      <c r="AH134" s="32">
        <f t="shared" si="88"/>
        <v>2.3703931077205701E-2</v>
      </c>
      <c r="AI134" s="32">
        <f t="shared" si="89"/>
        <v>1.5707963267948966</v>
      </c>
      <c r="AJ134" s="32" t="str">
        <f t="shared" si="74"/>
        <v>1+0.000234692386903026i</v>
      </c>
      <c r="AK134" s="32">
        <f t="shared" si="90"/>
        <v>1.0000000275402579</v>
      </c>
      <c r="AL134" s="32">
        <f t="shared" si="91"/>
        <v>2.3469238259403352E-4</v>
      </c>
      <c r="AM134" s="32" t="str">
        <f t="shared" si="75"/>
        <v>1+0.0237039310772057i</v>
      </c>
      <c r="AN134" s="32">
        <f t="shared" si="92"/>
        <v>1.0002808987222105</v>
      </c>
      <c r="AO134" s="32">
        <f t="shared" si="93"/>
        <v>2.3699493013882321E-2</v>
      </c>
      <c r="AP134" s="60" t="str">
        <f t="shared" si="94"/>
        <v>-0.430139150430895+18.3278865168119i</v>
      </c>
      <c r="AQ134" s="51">
        <f t="shared" si="95"/>
        <v>25.264639173509483</v>
      </c>
      <c r="AR134" s="63">
        <f t="shared" si="96"/>
        <v>91.344434043288715</v>
      </c>
      <c r="AS134" s="60" t="str">
        <f t="shared" si="97"/>
        <v>1131.44320562809+870.262347323923i</v>
      </c>
      <c r="AT134" s="66">
        <f t="shared" si="98"/>
        <v>63.091019402419704</v>
      </c>
      <c r="AU134" s="63">
        <f t="shared" si="99"/>
        <v>37.56609196351733</v>
      </c>
      <c r="AX134" s="32">
        <f t="shared" si="100"/>
        <v>0</v>
      </c>
      <c r="AY134" s="32">
        <f t="shared" si="101"/>
        <v>0</v>
      </c>
    </row>
    <row r="135" spans="14:51" x14ac:dyDescent="0.3">
      <c r="N135" s="11">
        <v>17</v>
      </c>
      <c r="O135" s="52">
        <f t="shared" si="102"/>
        <v>147.91083881682084</v>
      </c>
      <c r="P135" s="50" t="str">
        <f t="shared" si="67"/>
        <v>131.578947368421</v>
      </c>
      <c r="Q135" s="18" t="str">
        <f t="shared" si="68"/>
        <v>1+1.39402681383968i</v>
      </c>
      <c r="R135" s="18">
        <f t="shared" si="77"/>
        <v>1.7156079848566836</v>
      </c>
      <c r="S135" s="18">
        <f t="shared" si="78"/>
        <v>0.94852315805067444</v>
      </c>
      <c r="T135" s="18" t="str">
        <f t="shared" si="69"/>
        <v>1+3.06685899044731E-06i</v>
      </c>
      <c r="U135" s="18">
        <f t="shared" si="79"/>
        <v>1.0000000000047029</v>
      </c>
      <c r="V135" s="18">
        <f t="shared" si="80"/>
        <v>3.0668589904376949E-6</v>
      </c>
      <c r="W135" s="32" t="str">
        <f t="shared" si="70"/>
        <v>1-0.000743480967381166i</v>
      </c>
      <c r="X135" s="18">
        <f t="shared" si="81"/>
        <v>1.0000002763819362</v>
      </c>
      <c r="Y135" s="18">
        <f t="shared" si="82"/>
        <v>-7.4348083039138622E-4</v>
      </c>
      <c r="Z135" s="32" t="str">
        <f t="shared" si="71"/>
        <v>0.999999985998326+0.000314675058562642i</v>
      </c>
      <c r="AA135" s="18">
        <f t="shared" si="83"/>
        <v>1.0000000355085217</v>
      </c>
      <c r="AB135" s="18">
        <f t="shared" si="84"/>
        <v>3.1467505258220388E-4</v>
      </c>
      <c r="AC135" s="68" t="str">
        <f t="shared" si="85"/>
        <v>44.6386356617992-62.3662825566069i</v>
      </c>
      <c r="AD135" s="66">
        <f t="shared" si="86"/>
        <v>37.695369068947613</v>
      </c>
      <c r="AE135" s="63">
        <f t="shared" si="87"/>
        <v>-54.406825874808746</v>
      </c>
      <c r="AF135" s="32" t="str">
        <f t="shared" si="72"/>
        <v>-0.434440565864413</v>
      </c>
      <c r="AG135" s="32" t="str">
        <f t="shared" si="73"/>
        <v>0.0242560665608105i</v>
      </c>
      <c r="AH135" s="32">
        <f t="shared" si="88"/>
        <v>2.4256066560810498E-2</v>
      </c>
      <c r="AI135" s="32">
        <f t="shared" si="89"/>
        <v>1.5707963267948966</v>
      </c>
      <c r="AJ135" s="32" t="str">
        <f t="shared" si="74"/>
        <v>1+0.00024015907485951i</v>
      </c>
      <c r="AK135" s="32">
        <f t="shared" si="90"/>
        <v>1.0000000288381903</v>
      </c>
      <c r="AL135" s="32">
        <f t="shared" si="91"/>
        <v>2.4015907024234136E-4</v>
      </c>
      <c r="AM135" s="32" t="str">
        <f t="shared" si="75"/>
        <v>1+0.0242560665608105i</v>
      </c>
      <c r="AN135" s="32">
        <f t="shared" si="92"/>
        <v>1.0002941351247654</v>
      </c>
      <c r="AO135" s="32">
        <f t="shared" si="93"/>
        <v>2.4251311165801148E-2</v>
      </c>
      <c r="AP135" s="60" t="str">
        <f t="shared" si="94"/>
        <v>-0.430139149314311+17.9106975350302i</v>
      </c>
      <c r="AQ135" s="51">
        <f t="shared" si="95"/>
        <v>25.064754099121256</v>
      </c>
      <c r="AR135" s="63">
        <f t="shared" si="96"/>
        <v>91.375737676322217</v>
      </c>
      <c r="AS135" s="60" t="str">
        <f t="shared" si="97"/>
        <v>1097.8227984855+826.335281439693i</v>
      </c>
      <c r="AT135" s="66">
        <f t="shared" si="98"/>
        <v>62.76012316806888</v>
      </c>
      <c r="AU135" s="63">
        <f t="shared" si="99"/>
        <v>36.968911801513443</v>
      </c>
      <c r="AX135" s="32">
        <f t="shared" si="100"/>
        <v>0</v>
      </c>
      <c r="AY135" s="32">
        <f t="shared" si="101"/>
        <v>0</v>
      </c>
    </row>
    <row r="136" spans="14:51" x14ac:dyDescent="0.3">
      <c r="N136" s="11">
        <v>18</v>
      </c>
      <c r="O136" s="52">
        <f t="shared" si="102"/>
        <v>151.3561248436209</v>
      </c>
      <c r="P136" s="50" t="str">
        <f t="shared" si="67"/>
        <v>131.578947368421</v>
      </c>
      <c r="Q136" s="18" t="str">
        <f t="shared" si="68"/>
        <v>1+1.42649786965362i</v>
      </c>
      <c r="R136" s="18">
        <f t="shared" si="77"/>
        <v>1.7420953395627681</v>
      </c>
      <c r="S136" s="18">
        <f t="shared" si="78"/>
        <v>0.95938778894170296</v>
      </c>
      <c r="T136" s="18" t="str">
        <f t="shared" si="69"/>
        <v>1+3.13829531323796E-06i</v>
      </c>
      <c r="U136" s="18">
        <f t="shared" si="79"/>
        <v>1.0000000000049245</v>
      </c>
      <c r="V136" s="18">
        <f t="shared" si="80"/>
        <v>3.138295313227657E-6</v>
      </c>
      <c r="W136" s="32" t="str">
        <f t="shared" si="70"/>
        <v>1-0.000760798863815262i</v>
      </c>
      <c r="X136" s="18">
        <f t="shared" si="81"/>
        <v>1.0000002894074136</v>
      </c>
      <c r="Y136" s="18">
        <f t="shared" si="82"/>
        <v>-7.6079871702807074E-4</v>
      </c>
      <c r="Z136" s="32" t="str">
        <f t="shared" si="71"/>
        <v>0.999999985338447+0.000322004782272688i</v>
      </c>
      <c r="AA136" s="18">
        <f t="shared" si="83"/>
        <v>1.0000000371819864</v>
      </c>
      <c r="AB136" s="18">
        <f t="shared" si="84"/>
        <v>3.2200477586453324E-4</v>
      </c>
      <c r="AC136" s="68" t="str">
        <f t="shared" si="85"/>
        <v>43.2885497199163-61.8930851742958i</v>
      </c>
      <c r="AD136" s="66">
        <f t="shared" si="86"/>
        <v>37.562291966549054</v>
      </c>
      <c r="AE136" s="63">
        <f t="shared" si="87"/>
        <v>-55.030731481855838</v>
      </c>
      <c r="AF136" s="32" t="str">
        <f t="shared" si="72"/>
        <v>-0.434440565864413</v>
      </c>
      <c r="AG136" s="32" t="str">
        <f t="shared" si="73"/>
        <v>0.024821062931973i</v>
      </c>
      <c r="AH136" s="32">
        <f t="shared" si="88"/>
        <v>2.4821062931973E-2</v>
      </c>
      <c r="AI136" s="32">
        <f t="shared" si="89"/>
        <v>1.5707963267948966</v>
      </c>
      <c r="AJ136" s="32" t="str">
        <f t="shared" si="74"/>
        <v>1+0.000245753098336366i</v>
      </c>
      <c r="AK136" s="32">
        <f t="shared" si="90"/>
        <v>1.0000000301972922</v>
      </c>
      <c r="AL136" s="32">
        <f t="shared" si="91"/>
        <v>2.4575309338898066E-4</v>
      </c>
      <c r="AM136" s="32" t="str">
        <f t="shared" si="75"/>
        <v>1+0.024821062931973i</v>
      </c>
      <c r="AN136" s="32">
        <f t="shared" si="92"/>
        <v>1.0003079951520297</v>
      </c>
      <c r="AO136" s="32">
        <f t="shared" si="93"/>
        <v>2.4815967519147462E-2</v>
      </c>
      <c r="AP136" s="60" t="str">
        <f t="shared" si="94"/>
        <v>-0.430139148145106+17.5030050421577i</v>
      </c>
      <c r="AQ136" s="51">
        <f t="shared" si="95"/>
        <v>24.864874437750117</v>
      </c>
      <c r="AR136" s="63">
        <f t="shared" si="96"/>
        <v>91.407769588327412</v>
      </c>
      <c r="AS136" s="60" t="str">
        <f t="shared" si="97"/>
        <v>1064.69488197943+784.302342948333i</v>
      </c>
      <c r="AT136" s="66">
        <f t="shared" si="98"/>
        <v>62.42716640429915</v>
      </c>
      <c r="AU136" s="63">
        <f t="shared" si="99"/>
        <v>36.377038106471666</v>
      </c>
      <c r="AX136" s="32">
        <f t="shared" si="100"/>
        <v>0</v>
      </c>
      <c r="AY136" s="32">
        <f t="shared" si="101"/>
        <v>0</v>
      </c>
    </row>
    <row r="137" spans="14:51" x14ac:dyDescent="0.3">
      <c r="N137" s="11">
        <v>19</v>
      </c>
      <c r="O137" s="52">
        <f t="shared" si="102"/>
        <v>154.8816618912482</v>
      </c>
      <c r="P137" s="50" t="str">
        <f t="shared" si="67"/>
        <v>131.578947368421</v>
      </c>
      <c r="Q137" s="18" t="str">
        <f t="shared" si="68"/>
        <v>1+1.45972527351997i</v>
      </c>
      <c r="R137" s="18">
        <f t="shared" si="77"/>
        <v>1.7694060794947415</v>
      </c>
      <c r="S137" s="18">
        <f t="shared" si="78"/>
        <v>0.97016745698465012</v>
      </c>
      <c r="T137" s="18" t="str">
        <f t="shared" si="69"/>
        <v>1+3.21139560174394E-06i</v>
      </c>
      <c r="U137" s="18">
        <f t="shared" si="79"/>
        <v>1.0000000000051565</v>
      </c>
      <c r="V137" s="18">
        <f t="shared" si="80"/>
        <v>3.2113956017329002E-6</v>
      </c>
      <c r="W137" s="32" t="str">
        <f t="shared" si="70"/>
        <v>1-0.000778520145877318i</v>
      </c>
      <c r="X137" s="18">
        <f t="shared" si="81"/>
        <v>1.0000003030467628</v>
      </c>
      <c r="Y137" s="18">
        <f t="shared" si="82"/>
        <v>-7.785199885920114E-4</v>
      </c>
      <c r="Z137" s="32" t="str">
        <f t="shared" si="71"/>
        <v>0.999999984647469+0.000329505237180531i</v>
      </c>
      <c r="AA137" s="18">
        <f t="shared" si="83"/>
        <v>1.0000000389343189</v>
      </c>
      <c r="AB137" s="18">
        <f t="shared" si="84"/>
        <v>3.2950523031406958E-4</v>
      </c>
      <c r="AC137" s="68" t="str">
        <f t="shared" si="85"/>
        <v>41.9594961002234-61.3947071703884i</v>
      </c>
      <c r="AD137" s="66">
        <f t="shared" si="86"/>
        <v>37.427180145909126</v>
      </c>
      <c r="AE137" s="63">
        <f t="shared" si="87"/>
        <v>-55.649801875383282</v>
      </c>
      <c r="AF137" s="32" t="str">
        <f t="shared" si="72"/>
        <v>-0.434440565864413</v>
      </c>
      <c r="AG137" s="32" t="str">
        <f t="shared" si="73"/>
        <v>0.0253992197592475i</v>
      </c>
      <c r="AH137" s="32">
        <f t="shared" si="88"/>
        <v>2.5399219759247499E-2</v>
      </c>
      <c r="AI137" s="32">
        <f t="shared" si="89"/>
        <v>1.5707963267948966</v>
      </c>
      <c r="AJ137" s="32" t="str">
        <f t="shared" si="74"/>
        <v>1+0.000251477423358886i</v>
      </c>
      <c r="AK137" s="32">
        <f t="shared" si="90"/>
        <v>1.0000000316204467</v>
      </c>
      <c r="AL137" s="32">
        <f t="shared" si="91"/>
        <v>2.514774180576671E-4</v>
      </c>
      <c r="AM137" s="32" t="str">
        <f t="shared" si="75"/>
        <v>1+0.0253992197592475i</v>
      </c>
      <c r="AN137" s="32">
        <f t="shared" si="92"/>
        <v>1.0003225081764273</v>
      </c>
      <c r="AO137" s="32">
        <f t="shared" si="93"/>
        <v>2.539376002110269E-2</v>
      </c>
      <c r="AP137" s="60" t="str">
        <f t="shared" si="94"/>
        <v>-0.430139146920797+17.1045928742383i</v>
      </c>
      <c r="AQ137" s="51">
        <f t="shared" si="95"/>
        <v>24.665000444189396</v>
      </c>
      <c r="AR137" s="63">
        <f t="shared" si="96"/>
        <v>91.44054668047967</v>
      </c>
      <c r="AS137" s="60" t="str">
        <f t="shared" si="97"/>
        <v>1032.0830489248+744.108364970234i</v>
      </c>
      <c r="AT137" s="66">
        <f t="shared" si="98"/>
        <v>62.092180590098558</v>
      </c>
      <c r="AU137" s="63">
        <f t="shared" si="99"/>
        <v>35.790744805096281</v>
      </c>
      <c r="AX137" s="32">
        <f t="shared" si="100"/>
        <v>0</v>
      </c>
      <c r="AY137" s="32">
        <f t="shared" si="101"/>
        <v>0</v>
      </c>
    </row>
    <row r="138" spans="14:51" x14ac:dyDescent="0.3">
      <c r="N138" s="11">
        <v>20</v>
      </c>
      <c r="O138" s="52">
        <f t="shared" si="102"/>
        <v>158.48931924611153</v>
      </c>
      <c r="P138" s="50" t="str">
        <f t="shared" si="67"/>
        <v>131.578947368421</v>
      </c>
      <c r="Q138" s="18" t="str">
        <f t="shared" si="68"/>
        <v>1+1.49372664304809i</v>
      </c>
      <c r="R138" s="18">
        <f t="shared" si="77"/>
        <v>1.7975592574799073</v>
      </c>
      <c r="S138" s="18">
        <f t="shared" si="78"/>
        <v>0.9808578568822971</v>
      </c>
      <c r="T138" s="18" t="str">
        <f t="shared" si="69"/>
        <v>1+3.28619861470581E-06i</v>
      </c>
      <c r="U138" s="18">
        <f t="shared" si="79"/>
        <v>1.0000000000053997</v>
      </c>
      <c r="V138" s="18">
        <f t="shared" si="80"/>
        <v>3.2861986146939807E-6</v>
      </c>
      <c r="W138" s="32" t="str">
        <f t="shared" si="70"/>
        <v>1-0.00079665420962565i</v>
      </c>
      <c r="X138" s="18">
        <f t="shared" si="81"/>
        <v>1.0000003173289145</v>
      </c>
      <c r="Y138" s="18">
        <f t="shared" si="82"/>
        <v>-7.9665404109141038E-4</v>
      </c>
      <c r="Z138" s="32" t="str">
        <f t="shared" si="71"/>
        <v>0.999999983923927+0.000337180400126646i</v>
      </c>
      <c r="AA138" s="18">
        <f t="shared" si="83"/>
        <v>1.0000000407692373</v>
      </c>
      <c r="AB138" s="18">
        <f t="shared" si="84"/>
        <v>3.3718039276909993E-4</v>
      </c>
      <c r="AC138" s="68" t="str">
        <f t="shared" si="85"/>
        <v>40.6523627109224-60.8722736403547i</v>
      </c>
      <c r="AD138" s="66">
        <f t="shared" si="86"/>
        <v>37.290066235890237</v>
      </c>
      <c r="AE138" s="63">
        <f t="shared" si="87"/>
        <v>-56.26379114401815</v>
      </c>
      <c r="AF138" s="32" t="str">
        <f t="shared" si="72"/>
        <v>-0.434440565864413</v>
      </c>
      <c r="AG138" s="32" t="str">
        <f t="shared" si="73"/>
        <v>0.0259908435890369i</v>
      </c>
      <c r="AH138" s="32">
        <f t="shared" si="88"/>
        <v>2.5990843589036899E-2</v>
      </c>
      <c r="AI138" s="32">
        <f t="shared" si="89"/>
        <v>1.5707963267948966</v>
      </c>
      <c r="AJ138" s="32" t="str">
        <f t="shared" si="74"/>
        <v>1+0.000257335085039969i</v>
      </c>
      <c r="AK138" s="32">
        <f t="shared" si="90"/>
        <v>1.0000000331106724</v>
      </c>
      <c r="AL138" s="32">
        <f t="shared" si="91"/>
        <v>2.5733507935961065E-4</v>
      </c>
      <c r="AM138" s="32" t="str">
        <f t="shared" si="75"/>
        <v>1+0.0259908435890369i</v>
      </c>
      <c r="AN138" s="32">
        <f t="shared" si="92"/>
        <v>1.0003377049529174</v>
      </c>
      <c r="AO138" s="32">
        <f t="shared" si="93"/>
        <v>2.5984993480874373E-2</v>
      </c>
      <c r="AP138" s="60" t="str">
        <f t="shared" si="94"/>
        <v>-0.430139145638788+16.7152497878667i</v>
      </c>
      <c r="AQ138" s="51">
        <f t="shared" si="95"/>
        <v>24.465132385210016</v>
      </c>
      <c r="AR138" s="63">
        <f t="shared" si="96"/>
        <v>91.474086243161082</v>
      </c>
      <c r="AS138" s="60" t="str">
        <f t="shared" si="97"/>
        <v>1000.00908648923+705.697944956778i</v>
      </c>
      <c r="AT138" s="66">
        <f t="shared" si="98"/>
        <v>61.755198621100256</v>
      </c>
      <c r="AU138" s="63">
        <f t="shared" si="99"/>
        <v>35.210295099142876</v>
      </c>
      <c r="AX138" s="32">
        <f t="shared" si="100"/>
        <v>0</v>
      </c>
      <c r="AY138" s="32">
        <f t="shared" si="101"/>
        <v>0</v>
      </c>
    </row>
    <row r="139" spans="14:51" x14ac:dyDescent="0.3">
      <c r="N139" s="11">
        <v>21</v>
      </c>
      <c r="O139" s="52">
        <f t="shared" si="102"/>
        <v>162.18100973589304</v>
      </c>
      <c r="P139" s="50" t="str">
        <f t="shared" si="67"/>
        <v>131.578947368421</v>
      </c>
      <c r="Q139" s="18" t="str">
        <f t="shared" si="68"/>
        <v>1+1.52852000621416i</v>
      </c>
      <c r="R139" s="18">
        <f t="shared" si="77"/>
        <v>1.8265742277271231</v>
      </c>
      <c r="S139" s="18">
        <f t="shared" si="78"/>
        <v>0.99145488280873117</v>
      </c>
      <c r="T139" s="18" t="str">
        <f t="shared" si="69"/>
        <v>1+3.36274401367116E-06i</v>
      </c>
      <c r="U139" s="18">
        <f t="shared" si="79"/>
        <v>1.0000000000056541</v>
      </c>
      <c r="V139" s="18">
        <f t="shared" si="80"/>
        <v>3.3627440136584846E-6</v>
      </c>
      <c r="W139" s="32" t="str">
        <f t="shared" si="70"/>
        <v>1-0.000815210669980888i</v>
      </c>
      <c r="X139" s="18">
        <f t="shared" si="81"/>
        <v>1.0000003322841631</v>
      </c>
      <c r="Y139" s="18">
        <f t="shared" si="82"/>
        <v>-8.1521048939319982E-4</v>
      </c>
      <c r="Z139" s="32" t="str">
        <f t="shared" si="71"/>
        <v>0.999999983166285+0.000345034340584016i</v>
      </c>
      <c r="AA139" s="18">
        <f t="shared" si="83"/>
        <v>1.0000000426906324</v>
      </c>
      <c r="AB139" s="18">
        <f t="shared" si="84"/>
        <v>3.4503433270026337E-4</v>
      </c>
      <c r="AC139" s="68" t="str">
        <f t="shared" si="85"/>
        <v>39.3679627390682-60.3269399867506i</v>
      </c>
      <c r="AD139" s="66">
        <f t="shared" si="86"/>
        <v>37.15098415733199</v>
      </c>
      <c r="AE139" s="63">
        <f t="shared" si="87"/>
        <v>-56.87246482304618</v>
      </c>
      <c r="AF139" s="32" t="str">
        <f t="shared" si="72"/>
        <v>-0.434440565864413</v>
      </c>
      <c r="AG139" s="32" t="str">
        <f t="shared" si="73"/>
        <v>0.0265962481081265i</v>
      </c>
      <c r="AH139" s="32">
        <f t="shared" si="88"/>
        <v>2.65962481081265E-2</v>
      </c>
      <c r="AI139" s="32">
        <f t="shared" si="89"/>
        <v>1.5707963267948966</v>
      </c>
      <c r="AJ139" s="32" t="str">
        <f t="shared" si="74"/>
        <v>1+0.000263329189189371i</v>
      </c>
      <c r="AK139" s="32">
        <f t="shared" si="90"/>
        <v>1.0000000346711304</v>
      </c>
      <c r="AL139" s="32">
        <f t="shared" si="91"/>
        <v>2.6332918310275737E-4</v>
      </c>
      <c r="AM139" s="32" t="str">
        <f t="shared" si="75"/>
        <v>1+0.0265962481081265i</v>
      </c>
      <c r="AN139" s="32">
        <f t="shared" si="92"/>
        <v>1.0003536176839813</v>
      </c>
      <c r="AO139" s="32">
        <f t="shared" si="93"/>
        <v>2.6589979723963122E-2</v>
      </c>
      <c r="AP139" s="60" t="str">
        <f t="shared" si="94"/>
        <v>-0.43013914429636+16.3347693481852i</v>
      </c>
      <c r="AQ139" s="51">
        <f t="shared" si="95"/>
        <v>24.265270540122454</v>
      </c>
      <c r="AR139" s="63">
        <f t="shared" si="96"/>
        <v>91.508405964707109</v>
      </c>
      <c r="AS139" s="60" t="str">
        <f t="shared" si="97"/>
        <v>968.492948360108+669.015569394547i</v>
      </c>
      <c r="AT139" s="66">
        <f t="shared" si="98"/>
        <v>61.416254697454448</v>
      </c>
      <c r="AU139" s="63">
        <f t="shared" si="99"/>
        <v>34.635941141660929</v>
      </c>
      <c r="AX139" s="32">
        <f t="shared" si="100"/>
        <v>0</v>
      </c>
      <c r="AY139" s="32">
        <f t="shared" si="101"/>
        <v>0</v>
      </c>
    </row>
    <row r="140" spans="14:51" x14ac:dyDescent="0.3">
      <c r="N140" s="11">
        <v>22</v>
      </c>
      <c r="O140" s="52">
        <f t="shared" si="102"/>
        <v>165.95869074375622</v>
      </c>
      <c r="P140" s="50" t="str">
        <f t="shared" si="67"/>
        <v>131.578947368421</v>
      </c>
      <c r="Q140" s="18" t="str">
        <f t="shared" si="68"/>
        <v>1+1.56412381091989i</v>
      </c>
      <c r="R140" s="18">
        <f t="shared" si="77"/>
        <v>1.8564706558107942</v>
      </c>
      <c r="S140" s="18">
        <f t="shared" si="78"/>
        <v>1.0019546332147324</v>
      </c>
      <c r="T140" s="18" t="str">
        <f t="shared" si="69"/>
        <v>1+3.44107238402377E-06i</v>
      </c>
      <c r="U140" s="18">
        <f t="shared" si="79"/>
        <v>1.0000000000059206</v>
      </c>
      <c r="V140" s="18">
        <f t="shared" si="80"/>
        <v>3.4410723840101883E-6</v>
      </c>
      <c r="W140" s="32" t="str">
        <f t="shared" si="70"/>
        <v>1-0.000834199365823944i</v>
      </c>
      <c r="X140" s="18">
        <f t="shared" si="81"/>
        <v>1.0000003479442303</v>
      </c>
      <c r="Y140" s="18">
        <f t="shared" si="82"/>
        <v>-8.3419917232075357E-4</v>
      </c>
      <c r="Z140" s="32" t="str">
        <f t="shared" si="71"/>
        <v>0.999999982372936+0.000353071222815836i</v>
      </c>
      <c r="AA140" s="18">
        <f t="shared" si="83"/>
        <v>1.0000000447025792</v>
      </c>
      <c r="AB140" s="18">
        <f t="shared" si="84"/>
        <v>3.5307121436824299E-4</v>
      </c>
      <c r="AC140" s="68" t="str">
        <f t="shared" si="85"/>
        <v>38.1070340051306-59.7598862768516i</v>
      </c>
      <c r="AD140" s="66">
        <f t="shared" si="86"/>
        <v>37.009969009010177</v>
      </c>
      <c r="AE140" s="63">
        <f t="shared" si="87"/>
        <v>-57.47560017015617</v>
      </c>
      <c r="AF140" s="32" t="str">
        <f t="shared" si="72"/>
        <v>-0.434440565864413</v>
      </c>
      <c r="AG140" s="32" t="str">
        <f t="shared" si="73"/>
        <v>0.0272157543100062i</v>
      </c>
      <c r="AH140" s="32">
        <f t="shared" si="88"/>
        <v>2.72157543100062E-2</v>
      </c>
      <c r="AI140" s="32">
        <f t="shared" si="89"/>
        <v>1.5707963267948966</v>
      </c>
      <c r="AJ140" s="32" t="str">
        <f t="shared" si="74"/>
        <v>1+0.000269462913960457i</v>
      </c>
      <c r="AK140" s="32">
        <f t="shared" si="90"/>
        <v>1.0000000363051305</v>
      </c>
      <c r="AL140" s="32">
        <f t="shared" si="91"/>
        <v>2.6946290743853305E-4</v>
      </c>
      <c r="AM140" s="32" t="str">
        <f t="shared" si="75"/>
        <v>1+0.0272157543100062i</v>
      </c>
      <c r="AN140" s="32">
        <f t="shared" si="92"/>
        <v>1.0003702800876597</v>
      </c>
      <c r="AO140" s="32">
        <f t="shared" si="93"/>
        <v>2.720903774962875E-2</v>
      </c>
      <c r="AP140" s="60" t="str">
        <f t="shared" si="94"/>
        <v>-0.430139142890665+15.9629498194282i</v>
      </c>
      <c r="AQ140" s="51">
        <f t="shared" si="95"/>
        <v>24.065415201364036</v>
      </c>
      <c r="AR140" s="63">
        <f t="shared" si="96"/>
        <v>91.54352394033431</v>
      </c>
      <c r="AS140" s="60" t="str">
        <f t="shared" si="97"/>
        <v>937.552738907046+634.005737853512i</v>
      </c>
      <c r="AT140" s="66">
        <f t="shared" si="98"/>
        <v>61.075384210374217</v>
      </c>
      <c r="AU140" s="63">
        <f t="shared" si="99"/>
        <v>34.067923770178112</v>
      </c>
      <c r="AX140" s="32">
        <f t="shared" si="100"/>
        <v>0</v>
      </c>
      <c r="AY140" s="32">
        <f t="shared" si="101"/>
        <v>0</v>
      </c>
    </row>
    <row r="141" spans="14:51" x14ac:dyDescent="0.3">
      <c r="N141" s="11">
        <v>23</v>
      </c>
      <c r="O141" s="52">
        <f t="shared" si="102"/>
        <v>169.82436524617444</v>
      </c>
      <c r="P141" s="50" t="str">
        <f t="shared" si="67"/>
        <v>131.578947368421</v>
      </c>
      <c r="Q141" s="18" t="str">
        <f t="shared" si="68"/>
        <v>1+1.60055693477379i</v>
      </c>
      <c r="R141" s="18">
        <f t="shared" si="77"/>
        <v>1.8872685292380813</v>
      </c>
      <c r="S141" s="18">
        <f t="shared" si="78"/>
        <v>1.0123534146533111</v>
      </c>
      <c r="T141" s="18" t="str">
        <f t="shared" si="69"/>
        <v>1+3.52122525650234E-06i</v>
      </c>
      <c r="U141" s="18">
        <f t="shared" si="79"/>
        <v>1.0000000000061995</v>
      </c>
      <c r="V141" s="18">
        <f t="shared" si="80"/>
        <v>3.5212252564877868E-6</v>
      </c>
      <c r="W141" s="32" t="str">
        <f t="shared" si="70"/>
        <v>1-0.000853630365212688i</v>
      </c>
      <c r="X141" s="18">
        <f t="shared" si="81"/>
        <v>1.0000003643423339</v>
      </c>
      <c r="Y141" s="18">
        <f t="shared" si="82"/>
        <v>-8.5363015787028788E-4</v>
      </c>
      <c r="Z141" s="32" t="str">
        <f t="shared" si="71"/>
        <v>0.999999981542198+0.00036129530808344i</v>
      </c>
      <c r="AA141" s="18">
        <f t="shared" si="83"/>
        <v>1.0000000468093471</v>
      </c>
      <c r="AB141" s="18">
        <f t="shared" si="84"/>
        <v>3.6129529903168107E-4</v>
      </c>
      <c r="AC141" s="68" t="str">
        <f t="shared" si="85"/>
        <v>36.8702387888755-59.1723116855666i</v>
      </c>
      <c r="AD141" s="66">
        <f t="shared" si="86"/>
        <v>36.867056952976263</v>
      </c>
      <c r="AE141" s="63">
        <f t="shared" si="87"/>
        <v>-58.072986385049681</v>
      </c>
      <c r="AF141" s="32" t="str">
        <f t="shared" si="72"/>
        <v>-0.434440565864413</v>
      </c>
      <c r="AG141" s="32" t="str">
        <f t="shared" si="73"/>
        <v>0.027849690665064i</v>
      </c>
      <c r="AH141" s="32">
        <f t="shared" si="88"/>
        <v>2.7849690665064E-2</v>
      </c>
      <c r="AI141" s="32">
        <f t="shared" si="89"/>
        <v>1.5707963267948966</v>
      </c>
      <c r="AJ141" s="32" t="str">
        <f t="shared" si="74"/>
        <v>1+0.000275739511535287i</v>
      </c>
      <c r="AK141" s="32">
        <f t="shared" si="90"/>
        <v>1.0000000380161385</v>
      </c>
      <c r="AL141" s="32">
        <f t="shared" si="91"/>
        <v>2.7573950454691954E-4</v>
      </c>
      <c r="AM141" s="32" t="str">
        <f t="shared" si="75"/>
        <v>1+0.027849690665064i</v>
      </c>
      <c r="AN141" s="32">
        <f t="shared" si="92"/>
        <v>1.0003877274687749</v>
      </c>
      <c r="AO141" s="32">
        <f t="shared" si="93"/>
        <v>2.7842493891596647E-2</v>
      </c>
      <c r="AP141" s="60" t="str">
        <f t="shared" si="94"/>
        <v>-0.430139141418722+15.5995940579601i</v>
      </c>
      <c r="AQ141" s="51">
        <f t="shared" si="95"/>
        <v>23.865566675114508</v>
      </c>
      <c r="AR141" s="63">
        <f t="shared" si="96"/>
        <v>91.579458681251694</v>
      </c>
      <c r="AS141" s="60" t="str">
        <f t="shared" si="97"/>
        <v>907.204708909378+600.613085270703i</v>
      </c>
      <c r="AT141" s="66">
        <f t="shared" si="98"/>
        <v>60.732623628090764</v>
      </c>
      <c r="AU141" s="63">
        <f t="shared" si="99"/>
        <v>33.506472296202013</v>
      </c>
      <c r="AX141" s="32">
        <f t="shared" si="100"/>
        <v>0</v>
      </c>
      <c r="AY141" s="32">
        <f t="shared" si="101"/>
        <v>0</v>
      </c>
    </row>
    <row r="142" spans="14:51" x14ac:dyDescent="0.3">
      <c r="N142" s="11">
        <v>24</v>
      </c>
      <c r="O142" s="52">
        <f t="shared" si="102"/>
        <v>173.78008287493768</v>
      </c>
      <c r="P142" s="50" t="str">
        <f t="shared" si="67"/>
        <v>131.578947368421</v>
      </c>
      <c r="Q142" s="18" t="str">
        <f t="shared" si="68"/>
        <v>1+1.63783869510039i</v>
      </c>
      <c r="R142" s="18">
        <f t="shared" si="77"/>
        <v>1.9189881685847228</v>
      </c>
      <c r="S142" s="18">
        <f t="shared" si="78"/>
        <v>1.0226477446440518</v>
      </c>
      <c r="T142" s="18" t="str">
        <f t="shared" si="69"/>
        <v>1+3.60324512922086E-06i</v>
      </c>
      <c r="U142" s="18">
        <f t="shared" si="79"/>
        <v>1.0000000000064917</v>
      </c>
      <c r="V142" s="18">
        <f t="shared" si="80"/>
        <v>3.6032451292052655E-6</v>
      </c>
      <c r="W142" s="32" t="str">
        <f t="shared" si="70"/>
        <v>1-0.000873513970720208i</v>
      </c>
      <c r="X142" s="18">
        <f t="shared" si="81"/>
        <v>1.0000003815132557</v>
      </c>
      <c r="Y142" s="18">
        <f t="shared" si="82"/>
        <v>-8.7351374854882809E-4</v>
      </c>
      <c r="Z142" s="32" t="str">
        <f t="shared" si="71"/>
        <v>0.999999980672309+0.000369710956905702i</v>
      </c>
      <c r="AA142" s="18">
        <f t="shared" si="83"/>
        <v>1.0000000490154037</v>
      </c>
      <c r="AB142" s="18">
        <f t="shared" si="84"/>
        <v>3.6971094720656745E-4</v>
      </c>
      <c r="AC142" s="68" t="str">
        <f t="shared" si="85"/>
        <v>35.6581641047914-58.5654290651364i</v>
      </c>
      <c r="AD142" s="66">
        <f t="shared" si="86"/>
        <v>36.722285099976588</v>
      </c>
      <c r="AE142" s="63">
        <f t="shared" si="87"/>
        <v>-58.664424773991307</v>
      </c>
      <c r="AF142" s="32" t="str">
        <f t="shared" si="72"/>
        <v>-0.434440565864413</v>
      </c>
      <c r="AG142" s="32" t="str">
        <f t="shared" si="73"/>
        <v>0.0284983932947468i</v>
      </c>
      <c r="AH142" s="32">
        <f t="shared" si="88"/>
        <v>2.84983932947468E-2</v>
      </c>
      <c r="AI142" s="32">
        <f t="shared" si="89"/>
        <v>1.5707963267948966</v>
      </c>
      <c r="AJ142" s="32" t="str">
        <f t="shared" si="74"/>
        <v>1+0.000282162309848978i</v>
      </c>
      <c r="AK142" s="32">
        <f t="shared" si="90"/>
        <v>1.0000000398077837</v>
      </c>
      <c r="AL142" s="32">
        <f t="shared" si="91"/>
        <v>2.8216230236080737E-4</v>
      </c>
      <c r="AM142" s="32" t="str">
        <f t="shared" si="75"/>
        <v>1+0.0284983932947468i</v>
      </c>
      <c r="AN142" s="32">
        <f t="shared" si="92"/>
        <v>1.0004059967934928</v>
      </c>
      <c r="AO142" s="32">
        <f t="shared" si="93"/>
        <v>2.8490681982055455E-2</v>
      </c>
      <c r="AP142" s="60" t="str">
        <f t="shared" si="94"/>
        <v>-0.430139139877409+15.2445094077465i</v>
      </c>
      <c r="AQ142" s="51">
        <f t="shared" si="95"/>
        <v>23.665725281939515</v>
      </c>
      <c r="AR142" s="63">
        <f t="shared" si="96"/>
        <v>91.61622912395822</v>
      </c>
      <c r="AS142" s="60" t="str">
        <f t="shared" si="97"/>
        <v>877.46326231454+568.78250144309i</v>
      </c>
      <c r="AT142" s="66">
        <f t="shared" si="98"/>
        <v>60.388010381916104</v>
      </c>
      <c r="AU142" s="63">
        <f t="shared" si="99"/>
        <v>32.951804349966906</v>
      </c>
      <c r="AX142" s="32">
        <f t="shared" si="100"/>
        <v>0</v>
      </c>
      <c r="AY142" s="32">
        <f t="shared" si="101"/>
        <v>0</v>
      </c>
    </row>
    <row r="143" spans="14:51" x14ac:dyDescent="0.3">
      <c r="N143" s="11">
        <v>25</v>
      </c>
      <c r="O143" s="52">
        <f t="shared" si="102"/>
        <v>177.82794100389242</v>
      </c>
      <c r="P143" s="50" t="str">
        <f t="shared" si="67"/>
        <v>131.578947368421</v>
      </c>
      <c r="Q143" s="18" t="str">
        <f t="shared" si="68"/>
        <v>1+1.67598885918249i</v>
      </c>
      <c r="R143" s="18">
        <f t="shared" si="77"/>
        <v>1.9516502391831956</v>
      </c>
      <c r="S143" s="18">
        <f t="shared" si="78"/>
        <v>1.0328343536017233</v>
      </c>
      <c r="T143" s="18" t="str">
        <f t="shared" si="69"/>
        <v>1+3.68717549020148E-06i</v>
      </c>
      <c r="U143" s="18">
        <f t="shared" si="79"/>
        <v>1.0000000000067977</v>
      </c>
      <c r="V143" s="18">
        <f t="shared" si="80"/>
        <v>3.6871754901847708E-6</v>
      </c>
      <c r="W143" s="32" t="str">
        <f t="shared" si="70"/>
        <v>1-0.000893860724897328i</v>
      </c>
      <c r="X143" s="18">
        <f t="shared" si="81"/>
        <v>1.0000003994934179</v>
      </c>
      <c r="Y143" s="18">
        <f t="shared" si="82"/>
        <v>-8.938604868364105E-4</v>
      </c>
      <c r="Z143" s="32" t="str">
        <f t="shared" si="71"/>
        <v>0.999999979761423+0.000378322631371018i</v>
      </c>
      <c r="AA143" s="18">
        <f t="shared" si="83"/>
        <v>1.0000000513254284</v>
      </c>
      <c r="AB143" s="18">
        <f t="shared" si="84"/>
        <v>3.7832262097820809E-4</v>
      </c>
      <c r="AC143" s="68" t="str">
        <f t="shared" si="85"/>
        <v>34.471322401679-57.9404596793698i</v>
      </c>
      <c r="AD143" s="66">
        <f t="shared" si="86"/>
        <v>36.575691395615692</v>
      </c>
      <c r="AE143" s="63">
        <f t="shared" si="87"/>
        <v>-59.249728860752938</v>
      </c>
      <c r="AF143" s="32" t="str">
        <f t="shared" si="72"/>
        <v>-0.434440565864413</v>
      </c>
      <c r="AG143" s="32" t="str">
        <f t="shared" si="73"/>
        <v>0.0291622061497753i</v>
      </c>
      <c r="AH143" s="32">
        <f t="shared" si="88"/>
        <v>2.9162206149775299E-2</v>
      </c>
      <c r="AI143" s="32">
        <f t="shared" si="89"/>
        <v>1.5707963267948966</v>
      </c>
      <c r="AJ143" s="32" t="str">
        <f t="shared" si="74"/>
        <v>1+0.000288734714354211i</v>
      </c>
      <c r="AK143" s="32">
        <f t="shared" si="90"/>
        <v>1.0000000416838668</v>
      </c>
      <c r="AL143" s="32">
        <f t="shared" si="91"/>
        <v>2.8873470633049167E-4</v>
      </c>
      <c r="AM143" s="32" t="str">
        <f t="shared" si="75"/>
        <v>1+0.0291622061497753i</v>
      </c>
      <c r="AN143" s="32">
        <f t="shared" si="92"/>
        <v>1.0004251267673767</v>
      </c>
      <c r="AO143" s="32">
        <f t="shared" si="93"/>
        <v>2.9153943518984888E-2</v>
      </c>
      <c r="AP143" s="60" t="str">
        <f t="shared" si="94"/>
        <v>-0.430139138263455+14.8975075982057i</v>
      </c>
      <c r="AQ143" s="51">
        <f t="shared" si="95"/>
        <v>23.465891357464535</v>
      </c>
      <c r="AR143" s="63">
        <f t="shared" si="96"/>
        <v>91.653854639728934</v>
      </c>
      <c r="AS143" s="60" t="str">
        <f t="shared" si="97"/>
        <v>848.340973404283+538.459246796284i</v>
      </c>
      <c r="AT143" s="66">
        <f t="shared" si="98"/>
        <v>60.041582753080228</v>
      </c>
      <c r="AU143" s="63">
        <f t="shared" si="99"/>
        <v>32.404125778976002</v>
      </c>
      <c r="AX143" s="32">
        <f t="shared" si="100"/>
        <v>0</v>
      </c>
      <c r="AY143" s="32">
        <f t="shared" si="101"/>
        <v>0</v>
      </c>
    </row>
    <row r="144" spans="14:51" x14ac:dyDescent="0.3">
      <c r="N144" s="11">
        <v>26</v>
      </c>
      <c r="O144" s="52">
        <f t="shared" si="102"/>
        <v>181.9700858609983</v>
      </c>
      <c r="P144" s="50" t="str">
        <f t="shared" si="67"/>
        <v>131.578947368421</v>
      </c>
      <c r="Q144" s="18" t="str">
        <f t="shared" si="68"/>
        <v>1+1.71502765474204i</v>
      </c>
      <c r="R144" s="18">
        <f t="shared" si="77"/>
        <v>1.9852757633462363</v>
      </c>
      <c r="S144" s="18">
        <f t="shared" si="78"/>
        <v>1.0429101858609862</v>
      </c>
      <c r="T144" s="18" t="str">
        <f t="shared" si="69"/>
        <v>1+0.0000037730608404325i</v>
      </c>
      <c r="U144" s="18">
        <f t="shared" si="79"/>
        <v>1.0000000000071179</v>
      </c>
      <c r="V144" s="18">
        <f t="shared" si="80"/>
        <v>3.7730608404145953E-6</v>
      </c>
      <c r="W144" s="32" t="str">
        <f t="shared" si="70"/>
        <v>1-0.000914681415862424i</v>
      </c>
      <c r="X144" s="18">
        <f t="shared" si="81"/>
        <v>1.0000004183209588</v>
      </c>
      <c r="Y144" s="18">
        <f t="shared" si="82"/>
        <v>-9.1468116077556081E-4</v>
      </c>
      <c r="Z144" s="32" t="str">
        <f t="shared" si="71"/>
        <v>0.999999978807608+0.000387134897503175i</v>
      </c>
      <c r="AA144" s="18">
        <f t="shared" si="83"/>
        <v>1.0000000537443212</v>
      </c>
      <c r="AB144" s="18">
        <f t="shared" si="84"/>
        <v>3.8713488636707866E-4</v>
      </c>
      <c r="AC144" s="68" t="str">
        <f t="shared" si="85"/>
        <v>33.3101526579525-57.2986281361505i</v>
      </c>
      <c r="AD144" s="66">
        <f t="shared" si="86"/>
        <v>36.427314507886365</v>
      </c>
      <c r="AE144" s="63">
        <f t="shared" si="87"/>
        <v>-59.828724445780331</v>
      </c>
      <c r="AF144" s="32" t="str">
        <f t="shared" si="72"/>
        <v>-0.434440565864413</v>
      </c>
      <c r="AG144" s="32" t="str">
        <f t="shared" si="73"/>
        <v>0.0298414811925116i</v>
      </c>
      <c r="AH144" s="32">
        <f t="shared" si="88"/>
        <v>2.98414811925116E-2</v>
      </c>
      <c r="AI144" s="32">
        <f t="shared" si="89"/>
        <v>1.5707963267948966</v>
      </c>
      <c r="AJ144" s="32" t="str">
        <f t="shared" si="74"/>
        <v>1+0.000295460209826848i</v>
      </c>
      <c r="AK144" s="32">
        <f t="shared" si="90"/>
        <v>1.0000000436483669</v>
      </c>
      <c r="AL144" s="32">
        <f t="shared" si="91"/>
        <v>2.9546020122927786E-4</v>
      </c>
      <c r="AM144" s="32" t="str">
        <f t="shared" si="75"/>
        <v>1+0.0298414811925116i</v>
      </c>
      <c r="AN144" s="32">
        <f t="shared" si="92"/>
        <v>1.0004451579170959</v>
      </c>
      <c r="AO144" s="32">
        <f t="shared" si="93"/>
        <v>2.9832627836860814E-2</v>
      </c>
      <c r="AP144" s="60" t="str">
        <f t="shared" si="94"/>
        <v>-0.430139136573439+14.5584046443855i</v>
      </c>
      <c r="AQ144" s="51">
        <f t="shared" si="95"/>
        <v>23.266065253080214</v>
      </c>
      <c r="AR144" s="63">
        <f t="shared" si="96"/>
        <v>91.6923550442921</v>
      </c>
      <c r="AS144" s="60" t="str">
        <f t="shared" si="97"/>
        <v>819.84861367083+509.589063594052i</v>
      </c>
      <c r="AT144" s="66">
        <f t="shared" si="98"/>
        <v>59.693379760966572</v>
      </c>
      <c r="AU144" s="63">
        <f t="shared" si="99"/>
        <v>31.863630598511762</v>
      </c>
      <c r="AX144" s="32">
        <f t="shared" si="100"/>
        <v>0</v>
      </c>
      <c r="AY144" s="32">
        <f t="shared" si="101"/>
        <v>0</v>
      </c>
    </row>
    <row r="145" spans="14:51" x14ac:dyDescent="0.3">
      <c r="N145" s="11">
        <v>27</v>
      </c>
      <c r="O145" s="52">
        <f t="shared" si="102"/>
        <v>186.20871366628685</v>
      </c>
      <c r="P145" s="50" t="str">
        <f t="shared" si="67"/>
        <v>131.578947368421</v>
      </c>
      <c r="Q145" s="18" t="str">
        <f t="shared" si="68"/>
        <v>1+1.75497578066523i</v>
      </c>
      <c r="R145" s="18">
        <f t="shared" si="77"/>
        <v>2.0198861331078874</v>
      </c>
      <c r="S145" s="18">
        <f t="shared" si="78"/>
        <v>1.0528723998345153</v>
      </c>
      <c r="T145" s="18" t="str">
        <f t="shared" si="69"/>
        <v>1+3.86094671746351E-06i</v>
      </c>
      <c r="U145" s="18">
        <f t="shared" si="79"/>
        <v>1.0000000000074536</v>
      </c>
      <c r="V145" s="18">
        <f t="shared" si="80"/>
        <v>3.8609467174443244E-6</v>
      </c>
      <c r="W145" s="32" t="str">
        <f t="shared" si="70"/>
        <v>1-0.000935987083021456i</v>
      </c>
      <c r="X145" s="18">
        <f t="shared" si="81"/>
        <v>1.0000004380358138</v>
      </c>
      <c r="Y145" s="18">
        <f t="shared" si="82"/>
        <v>-9.359868096909641E-4</v>
      </c>
      <c r="Z145" s="32" t="str">
        <f t="shared" si="71"/>
        <v>0.999999977808842+0.000396152427682327i</v>
      </c>
      <c r="AA145" s="18">
        <f t="shared" si="83"/>
        <v>1.0000000562772136</v>
      </c>
      <c r="AB145" s="18">
        <f t="shared" si="84"/>
        <v>3.9615241574978457E-4</v>
      </c>
      <c r="AC145" s="68" t="str">
        <f t="shared" si="85"/>
        <v>32.175021841765-56.641157547729i</v>
      </c>
      <c r="AD145" s="66">
        <f t="shared" si="86"/>
        <v>36.277193716644156</v>
      </c>
      <c r="AE145" s="63">
        <f t="shared" si="87"/>
        <v>-60.401249615718058</v>
      </c>
      <c r="AF145" s="32" t="str">
        <f t="shared" si="72"/>
        <v>-0.434440565864413</v>
      </c>
      <c r="AG145" s="32" t="str">
        <f t="shared" si="73"/>
        <v>0.030536578583575i</v>
      </c>
      <c r="AH145" s="32">
        <f t="shared" si="88"/>
        <v>3.0536578583574999E-2</v>
      </c>
      <c r="AI145" s="32">
        <f t="shared" si="89"/>
        <v>1.5707963267948966</v>
      </c>
      <c r="AJ145" s="32" t="str">
        <f t="shared" si="74"/>
        <v>1+0.000302342362213614i</v>
      </c>
      <c r="AK145" s="32">
        <f t="shared" si="90"/>
        <v>1.000000045705451</v>
      </c>
      <c r="AL145" s="32">
        <f t="shared" si="91"/>
        <v>3.0234235300115162E-4</v>
      </c>
      <c r="AM145" s="32" t="str">
        <f t="shared" si="75"/>
        <v>1+0.030536578583575i</v>
      </c>
      <c r="AN145" s="32">
        <f t="shared" si="92"/>
        <v>1.0004661326759596</v>
      </c>
      <c r="AO145" s="32">
        <f t="shared" si="93"/>
        <v>3.052709228077808E-2</v>
      </c>
      <c r="AP145" s="60" t="str">
        <f t="shared" si="94"/>
        <v>-0.430139134803774+14.2270207494108i</v>
      </c>
      <c r="AQ145" s="51">
        <f t="shared" si="95"/>
        <v>23.066247336679599</v>
      </c>
      <c r="AR145" s="63">
        <f t="shared" si="96"/>
        <v>91.731750607699951</v>
      </c>
      <c r="AS145" s="60" t="str">
        <f t="shared" si="97"/>
        <v>791.995187644877+482.118281857401i</v>
      </c>
      <c r="AT145" s="66">
        <f t="shared" si="98"/>
        <v>59.343441053323758</v>
      </c>
      <c r="AU145" s="63">
        <f t="shared" si="99"/>
        <v>31.330500991981925</v>
      </c>
      <c r="AX145" s="32">
        <f t="shared" si="100"/>
        <v>0</v>
      </c>
      <c r="AY145" s="32">
        <f t="shared" si="101"/>
        <v>0</v>
      </c>
    </row>
    <row r="146" spans="14:51" x14ac:dyDescent="0.3">
      <c r="N146" s="11">
        <v>28</v>
      </c>
      <c r="O146" s="52">
        <f t="shared" si="102"/>
        <v>190.54607179632498</v>
      </c>
      <c r="P146" s="50" t="str">
        <f t="shared" si="67"/>
        <v>131.578947368421</v>
      </c>
      <c r="Q146" s="18" t="str">
        <f t="shared" si="68"/>
        <v>1+1.79585441797719i</v>
      </c>
      <c r="R146" s="18">
        <f t="shared" si="77"/>
        <v>2.0555031234634971</v>
      </c>
      <c r="S146" s="18">
        <f t="shared" si="78"/>
        <v>1.0627183673465606</v>
      </c>
      <c r="T146" s="18" t="str">
        <f t="shared" si="69"/>
        <v>1+3.95087971954982E-06i</v>
      </c>
      <c r="U146" s="18">
        <f t="shared" si="79"/>
        <v>1.0000000000078049</v>
      </c>
      <c r="V146" s="18">
        <f t="shared" si="80"/>
        <v>3.950879719529263E-6</v>
      </c>
      <c r="W146" s="32" t="str">
        <f t="shared" si="70"/>
        <v>1-0.000957789022921168i</v>
      </c>
      <c r="X146" s="18">
        <f t="shared" si="81"/>
        <v>1.000000458679801</v>
      </c>
      <c r="Y146" s="18">
        <f t="shared" si="82"/>
        <v>-9.5778873004227641E-4</v>
      </c>
      <c r="Z146" s="32" t="str">
        <f t="shared" si="71"/>
        <v>0.999999976763004+0.000405380003122336i</v>
      </c>
      <c r="AA146" s="18">
        <f t="shared" si="83"/>
        <v>1.000000058929476</v>
      </c>
      <c r="AB146" s="18">
        <f t="shared" si="84"/>
        <v>4.0537999033638683E-4</v>
      </c>
      <c r="AC146" s="68" t="str">
        <f t="shared" si="85"/>
        <v>31.066226703223-55.9692649440084i</v>
      </c>
      <c r="AD146" s="66">
        <f t="shared" si="86"/>
        <v>36.125368805557002</v>
      </c>
      <c r="AE146" s="63">
        <f t="shared" si="87"/>
        <v>-60.967154705700011</v>
      </c>
      <c r="AF146" s="32" t="str">
        <f t="shared" si="72"/>
        <v>-0.434440565864413</v>
      </c>
      <c r="AG146" s="32" t="str">
        <f t="shared" si="73"/>
        <v>0.0312478668728031i</v>
      </c>
      <c r="AH146" s="32">
        <f t="shared" si="88"/>
        <v>3.12478668728031E-2</v>
      </c>
      <c r="AI146" s="32">
        <f t="shared" si="89"/>
        <v>1.5707963267948966</v>
      </c>
      <c r="AJ146" s="32" t="str">
        <f t="shared" si="74"/>
        <v>1+0.000309384820522803i</v>
      </c>
      <c r="AK146" s="32">
        <f t="shared" si="90"/>
        <v>1.0000000478594824</v>
      </c>
      <c r="AL146" s="32">
        <f t="shared" si="91"/>
        <v>3.0938481065147179E-4</v>
      </c>
      <c r="AM146" s="32" t="str">
        <f t="shared" si="75"/>
        <v>1+0.0312478668728031i</v>
      </c>
      <c r="AN146" s="32">
        <f t="shared" si="92"/>
        <v>1.0004880954734545</v>
      </c>
      <c r="AO146" s="32">
        <f t="shared" si="93"/>
        <v>3.1237702384029165E-2</v>
      </c>
      <c r="AP146" s="60" t="str">
        <f t="shared" si="94"/>
        <v>-0.430139132950708+13.9031802091542i</v>
      </c>
      <c r="AQ146" s="51">
        <f t="shared" si="95"/>
        <v>22.866437993431113</v>
      </c>
      <c r="AR146" s="63">
        <f t="shared" si="96"/>
        <v>91.772062064394831</v>
      </c>
      <c r="AS146" s="60" t="str">
        <f t="shared" si="97"/>
        <v>764.787976872271+455.993919368252i</v>
      </c>
      <c r="AT146" s="66">
        <f t="shared" si="98"/>
        <v>58.991806798988115</v>
      </c>
      <c r="AU146" s="63">
        <f t="shared" si="99"/>
        <v>30.804907358694841</v>
      </c>
      <c r="AX146" s="32">
        <f t="shared" si="100"/>
        <v>0</v>
      </c>
      <c r="AY146" s="32">
        <f t="shared" si="101"/>
        <v>0</v>
      </c>
    </row>
    <row r="147" spans="14:51" x14ac:dyDescent="0.3">
      <c r="N147" s="11">
        <v>29</v>
      </c>
      <c r="O147" s="52">
        <f t="shared" si="102"/>
        <v>194.98445997580458</v>
      </c>
      <c r="P147" s="50" t="str">
        <f t="shared" ref="P147:P210" si="103">COMPLEX(Adc,0)</f>
        <v>131.578947368421</v>
      </c>
      <c r="Q147" s="18" t="str">
        <f t="shared" ref="Q147:Q210" si="104">IMSUM(COMPLEX(1,0),IMDIV(COMPLEX(0,2*PI()*O147),COMPLEX(wp_lf,0)))</f>
        <v>1+1.83768524107248i</v>
      </c>
      <c r="R147" s="18">
        <f t="shared" si="77"/>
        <v>2.0921489060904865</v>
      </c>
      <c r="S147" s="18">
        <f t="shared" si="78"/>
        <v>1.0724456721881677</v>
      </c>
      <c r="T147" s="18" t="str">
        <f t="shared" ref="T147:T210" si="105">IMSUM(COMPLEX(1,0),IMDIV(COMPLEX(0,2*PI()*O147),COMPLEX(wz_esr,0)))</f>
        <v>1+4.04290753035946E-06i</v>
      </c>
      <c r="U147" s="18">
        <f t="shared" si="79"/>
        <v>1.0000000000081726</v>
      </c>
      <c r="V147" s="18">
        <f t="shared" si="80"/>
        <v>4.0429075303374332E-6</v>
      </c>
      <c r="W147" s="32" t="str">
        <f t="shared" ref="W147:W210" si="106">IMSUB(COMPLEX(1,0),IMDIV(COMPLEX(0,2*PI()*O147),COMPLEX(wz_rhp,0)))</f>
        <v>1-0.000980098795238656i</v>
      </c>
      <c r="X147" s="18">
        <f t="shared" si="81"/>
        <v>1.0000004802967088</v>
      </c>
      <c r="Y147" s="18">
        <f t="shared" si="82"/>
        <v>-9.8009848141327773E-4</v>
      </c>
      <c r="Z147" s="32" t="str">
        <f t="shared" ref="Z147:Z210" si="107">IMSUM(COMPLEX(1,0),IMDIV(COMPLEX(0,2*PI()*O147),COMPLEX(Q*(wsl/2),0)),IMDIV(IMPOWER(COMPLEX(0,2*PI()*O147),2),IMPOWER(COMPLEX(wsl/2,0),2)))</f>
        <v>0.999999975667879+0.000414822516405834i</v>
      </c>
      <c r="AA147" s="18">
        <f t="shared" si="83"/>
        <v>1.0000000617067375</v>
      </c>
      <c r="AB147" s="18">
        <f t="shared" si="84"/>
        <v>4.1482250270544234E-4</v>
      </c>
      <c r="AC147" s="68" t="str">
        <f t="shared" si="85"/>
        <v>29.9839958646517-55.2841569596851i</v>
      </c>
      <c r="AD147" s="66">
        <f t="shared" si="86"/>
        <v>35.971879957006749</v>
      </c>
      <c r="AE147" s="63">
        <f t="shared" si="87"/>
        <v>-61.526302217058493</v>
      </c>
      <c r="AF147" s="32" t="str">
        <f t="shared" ref="AF147:AF210" si="108">COMPLEX(Adc_ea,0)</f>
        <v>-0.434440565864413</v>
      </c>
      <c r="AG147" s="32" t="str">
        <f t="shared" ref="AG147:AG210" si="109">IMDIV(COMPLEX(0,2*PI()*O147),COMPLEX(wp0_ea,0))</f>
        <v>0.0319757231946612i</v>
      </c>
      <c r="AH147" s="32">
        <f t="shared" si="88"/>
        <v>3.1975723194661201E-2</v>
      </c>
      <c r="AI147" s="32">
        <f t="shared" si="89"/>
        <v>1.5707963267948966</v>
      </c>
      <c r="AJ147" s="32" t="str">
        <f t="shared" ref="AJ147:AJ210" si="110">IMSUM(COMPLEX(1,0),IMDIV(COMPLEX(0,2*PI()*O147),COMPLEX(wp1_ea,0)))</f>
        <v>1+0.000316591318759022i</v>
      </c>
      <c r="AK147" s="32">
        <f t="shared" si="90"/>
        <v>1.0000000501150303</v>
      </c>
      <c r="AL147" s="32">
        <f t="shared" si="91"/>
        <v>3.1659130818170001E-4</v>
      </c>
      <c r="AM147" s="32" t="str">
        <f t="shared" ref="AM147:AM210" si="111">IMSUM(COMPLEX(1,0),IMDIV(COMPLEX(0,2*PI()*O147),COMPLEX(wz_ea,0)))</f>
        <v>1+0.0319757231946612i</v>
      </c>
      <c r="AN147" s="32">
        <f t="shared" si="92"/>
        <v>1.0005110928289709</v>
      </c>
      <c r="AO147" s="32">
        <f t="shared" si="93"/>
        <v>3.1964832049178618E-2</v>
      </c>
      <c r="AP147" s="60" t="str">
        <f t="shared" si="94"/>
        <v>-0.430139131010309+13.5867113190749i</v>
      </c>
      <c r="AQ147" s="51">
        <f t="shared" si="95"/>
        <v>22.666637626586336</v>
      </c>
      <c r="AR147" s="63">
        <f t="shared" si="96"/>
        <v>91.813310623473114</v>
      </c>
      <c r="AS147" s="60" t="str">
        <f t="shared" si="97"/>
        <v>738.232591204229+431.163775238635i</v>
      </c>
      <c r="AT147" s="66">
        <f t="shared" si="98"/>
        <v>58.638517583593092</v>
      </c>
      <c r="AU147" s="63">
        <f t="shared" si="99"/>
        <v>30.287008406414643</v>
      </c>
      <c r="AX147" s="32">
        <f t="shared" si="100"/>
        <v>0</v>
      </c>
      <c r="AY147" s="32">
        <f t="shared" si="101"/>
        <v>0</v>
      </c>
    </row>
    <row r="148" spans="14:51" x14ac:dyDescent="0.3">
      <c r="N148" s="11">
        <v>30</v>
      </c>
      <c r="O148" s="52">
        <f t="shared" si="102"/>
        <v>199.52623149688802</v>
      </c>
      <c r="P148" s="50" t="str">
        <f t="shared" si="103"/>
        <v>131.578947368421</v>
      </c>
      <c r="Q148" s="18" t="str">
        <f t="shared" si="104"/>
        <v>1+1.88049042920724i</v>
      </c>
      <c r="R148" s="18">
        <f t="shared" ref="R148:R211" si="112">IMABS(Q148)</f>
        <v>2.1298460635313599</v>
      </c>
      <c r="S148" s="18">
        <f t="shared" ref="S148:S211" si="113">IMARGUMENT(Q148)</f>
        <v>1.0820521079434349</v>
      </c>
      <c r="T148" s="18" t="str">
        <f t="shared" si="105"/>
        <v>1+4.13707894425593E-06i</v>
      </c>
      <c r="U148" s="18">
        <f t="shared" ref="U148:U211" si="114">IMABS(T148)</f>
        <v>1.0000000000085576</v>
      </c>
      <c r="V148" s="18">
        <f t="shared" ref="V148:V211" si="115">IMARGUMENT(T148)</f>
        <v>4.1370789442323272E-6</v>
      </c>
      <c r="W148" s="32" t="str">
        <f t="shared" si="106"/>
        <v>1-0.00100292822891053i</v>
      </c>
      <c r="X148" s="18">
        <f t="shared" ref="X148:X211" si="116">IMABS(W148)</f>
        <v>1.0000005029323897</v>
      </c>
      <c r="Y148" s="18">
        <f t="shared" ref="Y148:Y211" si="117">IMARGUMENT(W148)</f>
        <v>-1.0029278926405878E-3</v>
      </c>
      <c r="Z148" s="32" t="str">
        <f t="shared" si="107"/>
        <v>0.999999974521141+0.000424484974078359i</v>
      </c>
      <c r="AA148" s="18">
        <f t="shared" ref="AA148:AA211" si="118">IMABS(Z148)</f>
        <v>1.0000000646148859</v>
      </c>
      <c r="AB148" s="18">
        <f t="shared" ref="AB148:AB211" si="119">IMARGUMENT(Z148)</f>
        <v>4.2448495939812511E-4</v>
      </c>
      <c r="AC148" s="68" t="str">
        <f t="shared" ref="AC148:AC211" si="120">(IMDIV(IMPRODUCT(P148,T148,W148),IMPRODUCT(Q148,Z148)))</f>
        <v>28.9284921741744-54.5870258118301i</v>
      </c>
      <c r="AD148" s="66">
        <f t="shared" ref="AD148:AD211" si="121">20*LOG(IMABS(AC148))</f>
        <v>35.816767650369876</v>
      </c>
      <c r="AE148" s="63">
        <f t="shared" ref="AE148:AE211" si="122">(180/PI())*IMARGUMENT(AC148)</f>
        <v>-62.078566693274595</v>
      </c>
      <c r="AF148" s="32" t="str">
        <f t="shared" si="108"/>
        <v>-0.434440565864413</v>
      </c>
      <c r="AG148" s="32" t="str">
        <f t="shared" si="109"/>
        <v>0.032720533468206i</v>
      </c>
      <c r="AH148" s="32">
        <f t="shared" ref="AH148:AH211" si="123">IMABS(AG148)</f>
        <v>3.2720533468205998E-2</v>
      </c>
      <c r="AI148" s="32">
        <f t="shared" ref="AI148:AI211" si="124">IMARGUMENT(AG148)</f>
        <v>1.5707963267948966</v>
      </c>
      <c r="AJ148" s="32" t="str">
        <f t="shared" si="110"/>
        <v>1+0.00032396567790303i</v>
      </c>
      <c r="AK148" s="32">
        <f t="shared" ref="AK148:AK211" si="125">IMABS(AJ148)</f>
        <v>1.0000000524768788</v>
      </c>
      <c r="AL148" s="32">
        <f t="shared" ref="AL148:AL211" si="126">IMARGUMENT(AJ148)</f>
        <v>3.2396566656922533E-4</v>
      </c>
      <c r="AM148" s="32" t="str">
        <f t="shared" si="111"/>
        <v>1+0.032720533468206i</v>
      </c>
      <c r="AN148" s="32">
        <f t="shared" ref="AN148:AN211" si="127">IMABS(AM148)</f>
        <v>1.0005351734499113</v>
      </c>
      <c r="AO148" s="32">
        <f t="shared" ref="AO148:AO211" si="128">IMARGUMENT(AM148)</f>
        <v>3.2708863732671623E-2</v>
      </c>
      <c r="AP148" s="60" t="str">
        <f t="shared" ref="AP148:AP211" si="129">IMPRODUCT(AF148,IMDIV(AM148,IMPRODUCT(AG148,AJ148)))</f>
        <v>-0.430139128978462+13.2774462831783i</v>
      </c>
      <c r="AQ148" s="51">
        <f t="shared" ref="AQ148:AQ211" si="130">20*LOG(IMABS(AP148))</f>
        <v>22.466846658325345</v>
      </c>
      <c r="AR148" s="63">
        <f t="shared" ref="AR148:AR211" si="131">(180/PI())*IMARGUMENT(AP148)</f>
        <v>91.855517979149042</v>
      </c>
      <c r="AS148" s="60" t="str">
        <f t="shared" ref="AS148:AS211" si="132">IMPRODUCT(AC148,AP148)</f>
        <v>712.333026548582+407.57651663217i</v>
      </c>
      <c r="AT148" s="66">
        <f t="shared" ref="AT148:AT211" si="133">20*LOG(IMABS(AS148))</f>
        <v>58.283614308695221</v>
      </c>
      <c r="AU148" s="63">
        <f t="shared" ref="AU148:AU211" si="134">(180/PI())*IMARGUMENT(AS148)</f>
        <v>29.776951285874453</v>
      </c>
      <c r="AX148" s="32">
        <f t="shared" ref="AX148:AX211" si="135">SUM((AT149&lt;0)*(AT148&gt;0))*O148</f>
        <v>0</v>
      </c>
      <c r="AY148" s="32">
        <f t="shared" ref="AY148:AY211" si="136">IF(AX148&gt;0,AU148,0)</f>
        <v>0</v>
      </c>
    </row>
    <row r="149" spans="14:51" x14ac:dyDescent="0.3">
      <c r="N149" s="11">
        <v>31</v>
      </c>
      <c r="O149" s="52">
        <f t="shared" si="102"/>
        <v>204.17379446695315</v>
      </c>
      <c r="P149" s="50" t="str">
        <f t="shared" si="103"/>
        <v>131.578947368421</v>
      </c>
      <c r="Q149" s="18" t="str">
        <f t="shared" si="104"/>
        <v>1+1.92429267825879i</v>
      </c>
      <c r="R149" s="18">
        <f t="shared" si="112"/>
        <v>2.1686176038205507</v>
      </c>
      <c r="S149" s="18">
        <f t="shared" si="113"/>
        <v>1.0915356751386633</v>
      </c>
      <c r="T149" s="18" t="str">
        <f t="shared" si="105"/>
        <v>1+4.23344389216934E-06i</v>
      </c>
      <c r="U149" s="18">
        <f t="shared" si="114"/>
        <v>1.0000000000089611</v>
      </c>
      <c r="V149" s="18">
        <f t="shared" si="115"/>
        <v>4.2334438921440494E-6</v>
      </c>
      <c r="W149" s="32" t="str">
        <f t="shared" si="106"/>
        <v>1-0.00102628942840469i</v>
      </c>
      <c r="X149" s="18">
        <f t="shared" si="116"/>
        <v>1.0000005266348566</v>
      </c>
      <c r="Y149" s="18">
        <f t="shared" si="117"/>
        <v>-1.0262890680849655E-3</v>
      </c>
      <c r="Z149" s="32" t="str">
        <f t="shared" si="107"/>
        <v>0.99999997332036+0.000434372499302861i</v>
      </c>
      <c r="AA149" s="18">
        <f t="shared" si="118"/>
        <v>1.0000000676600922</v>
      </c>
      <c r="AB149" s="18">
        <f t="shared" si="119"/>
        <v>4.3437248357270676E-4</v>
      </c>
      <c r="AC149" s="68" t="str">
        <f t="shared" si="120"/>
        <v>27.8998152876486-53.8790455803411i</v>
      </c>
      <c r="AD149" s="66">
        <f t="shared" si="121"/>
        <v>35.660072564051802</v>
      </c>
      <c r="AE149" s="63">
        <f t="shared" si="122"/>
        <v>-62.623834557147553</v>
      </c>
      <c r="AF149" s="32" t="str">
        <f t="shared" si="108"/>
        <v>-0.434440565864413</v>
      </c>
      <c r="AG149" s="32" t="str">
        <f t="shared" si="109"/>
        <v>0.033482692601703i</v>
      </c>
      <c r="AH149" s="32">
        <f t="shared" si="123"/>
        <v>3.3482692601703001E-2</v>
      </c>
      <c r="AI149" s="32">
        <f t="shared" si="124"/>
        <v>1.5707963267948966</v>
      </c>
      <c r="AJ149" s="32" t="str">
        <f t="shared" si="110"/>
        <v>1+0.000331511807937653i</v>
      </c>
      <c r="AK149" s="32">
        <f t="shared" si="125"/>
        <v>1.0000000549500379</v>
      </c>
      <c r="AL149" s="32">
        <f t="shared" si="126"/>
        <v>3.3151179579326255E-4</v>
      </c>
      <c r="AM149" s="32" t="str">
        <f t="shared" si="111"/>
        <v>1+0.033482692601703i</v>
      </c>
      <c r="AN149" s="32">
        <f t="shared" si="127"/>
        <v>1.0005603883343874</v>
      </c>
      <c r="AO149" s="32">
        <f t="shared" si="128"/>
        <v>3.3470188633003828E-2</v>
      </c>
      <c r="AP149" s="60" t="str">
        <f t="shared" si="129"/>
        <v>-0.430139126850857+12.9752211250488i</v>
      </c>
      <c r="AQ149" s="51">
        <f t="shared" si="130"/>
        <v>22.267065530641776</v>
      </c>
      <c r="AR149" s="63">
        <f t="shared" si="131"/>
        <v>91.898706321420093</v>
      </c>
      <c r="AS149" s="60" t="str">
        <f t="shared" si="132"/>
        <v>687.09172822438+385.181758326743i</v>
      </c>
      <c r="AT149" s="66">
        <f t="shared" si="133"/>
        <v>57.927138094693582</v>
      </c>
      <c r="AU149" s="63">
        <f t="shared" si="134"/>
        <v>29.274871764272536</v>
      </c>
      <c r="AX149" s="32">
        <f t="shared" si="135"/>
        <v>0</v>
      </c>
      <c r="AY149" s="32">
        <f t="shared" si="136"/>
        <v>0</v>
      </c>
    </row>
    <row r="150" spans="14:51" x14ac:dyDescent="0.3">
      <c r="N150" s="11">
        <v>32</v>
      </c>
      <c r="O150" s="52">
        <f t="shared" si="102"/>
        <v>208.92961308540396</v>
      </c>
      <c r="P150" s="50" t="str">
        <f t="shared" si="103"/>
        <v>131.578947368421</v>
      </c>
      <c r="Q150" s="18" t="str">
        <f t="shared" si="104"/>
        <v>1+1.96911521275939i</v>
      </c>
      <c r="R150" s="18">
        <f t="shared" si="112"/>
        <v>2.2084869755378809</v>
      </c>
      <c r="S150" s="18">
        <f t="shared" si="113"/>
        <v>1.1008945777682724</v>
      </c>
      <c r="T150" s="18" t="str">
        <f t="shared" si="105"/>
        <v>1+4.33205346807067E-06i</v>
      </c>
      <c r="U150" s="18">
        <f t="shared" si="114"/>
        <v>1.0000000000093834</v>
      </c>
      <c r="V150" s="18">
        <f t="shared" si="115"/>
        <v>4.3320534680435711E-6</v>
      </c>
      <c r="W150" s="32" t="str">
        <f t="shared" si="106"/>
        <v>1-0.00105019478013834i</v>
      </c>
      <c r="X150" s="18">
        <f t="shared" si="116"/>
        <v>1.0000005514543862</v>
      </c>
      <c r="Y150" s="18">
        <f t="shared" si="117"/>
        <v>-1.0501943940488105E-3</v>
      </c>
      <c r="Z150" s="32" t="str">
        <f t="shared" si="107"/>
        <v>0.999999972062987+0.000444490334576097i</v>
      </c>
      <c r="AA150" s="18">
        <f t="shared" si="118"/>
        <v>1.0000000708488137</v>
      </c>
      <c r="AB150" s="18">
        <f t="shared" si="119"/>
        <v>4.4449031772093324E-4</v>
      </c>
      <c r="AC150" s="68" t="str">
        <f t="shared" si="120"/>
        <v>26.8980044442512-53.1613687996856i</v>
      </c>
      <c r="AD150" s="66">
        <f t="shared" si="121"/>
        <v>35.501835481592941</v>
      </c>
      <c r="AE150" s="63">
        <f t="shared" si="122"/>
        <v>-63.162003912265568</v>
      </c>
      <c r="AF150" s="32" t="str">
        <f t="shared" si="108"/>
        <v>-0.434440565864413</v>
      </c>
      <c r="AG150" s="32" t="str">
        <f t="shared" si="109"/>
        <v>0.0342626047020135i</v>
      </c>
      <c r="AH150" s="32">
        <f t="shared" si="123"/>
        <v>3.4262604702013498E-2</v>
      </c>
      <c r="AI150" s="32">
        <f t="shared" si="124"/>
        <v>1.5707963267948966</v>
      </c>
      <c r="AJ150" s="32" t="str">
        <f t="shared" si="110"/>
        <v>1+0.000339233709920926i</v>
      </c>
      <c r="AK150" s="32">
        <f t="shared" si="125"/>
        <v>1.0000000575397534</v>
      </c>
      <c r="AL150" s="32">
        <f t="shared" si="126"/>
        <v>3.3923369690797722E-4</v>
      </c>
      <c r="AM150" s="32" t="str">
        <f t="shared" si="111"/>
        <v>1+0.0342626047020135i</v>
      </c>
      <c r="AN150" s="32">
        <f t="shared" si="127"/>
        <v>1.0005867908787156</v>
      </c>
      <c r="AO150" s="32">
        <f t="shared" si="128"/>
        <v>3.4249206882490862E-2</v>
      </c>
      <c r="AP150" s="60" t="str">
        <f t="shared" si="129"/>
        <v>-0.430139124622981+12.6798756009069i</v>
      </c>
      <c r="AQ150" s="51">
        <f t="shared" si="130"/>
        <v>22.06729470626826</v>
      </c>
      <c r="AR150" s="63">
        <f t="shared" si="131"/>
        <v>91.942898346935678</v>
      </c>
      <c r="AS150" s="60" t="str">
        <f t="shared" si="132"/>
        <v>662.509659068191+363.930134905002i</v>
      </c>
      <c r="AT150" s="66">
        <f t="shared" si="133"/>
        <v>57.569130187861191</v>
      </c>
      <c r="AU150" s="63">
        <f t="shared" si="134"/>
        <v>28.780894434670113</v>
      </c>
      <c r="AX150" s="32">
        <f t="shared" si="135"/>
        <v>0</v>
      </c>
      <c r="AY150" s="32">
        <f t="shared" si="136"/>
        <v>0</v>
      </c>
    </row>
    <row r="151" spans="14:51" x14ac:dyDescent="0.3">
      <c r="N151" s="11">
        <v>33</v>
      </c>
      <c r="O151" s="52">
        <f t="shared" si="102"/>
        <v>213.79620895022339</v>
      </c>
      <c r="P151" s="50" t="str">
        <f t="shared" si="103"/>
        <v>131.578947368421</v>
      </c>
      <c r="Q151" s="18" t="str">
        <f t="shared" si="104"/>
        <v>1+2.01498179821011i</v>
      </c>
      <c r="R151" s="18">
        <f t="shared" si="112"/>
        <v>2.2494780832713284</v>
      </c>
      <c r="S151" s="18">
        <f t="shared" si="113"/>
        <v>1.1101272192522755</v>
      </c>
      <c r="T151" s="18" t="str">
        <f t="shared" si="105"/>
        <v>1+4.43295995606224E-06i</v>
      </c>
      <c r="U151" s="18">
        <f t="shared" si="114"/>
        <v>1.0000000000098255</v>
      </c>
      <c r="V151" s="18">
        <f t="shared" si="115"/>
        <v>4.4329599560332017E-6</v>
      </c>
      <c r="W151" s="32" t="str">
        <f t="shared" si="106"/>
        <v>1-0.00107465695904539i</v>
      </c>
      <c r="X151" s="18">
        <f t="shared" si="116"/>
        <v>1.0000005774436231</v>
      </c>
      <c r="Y151" s="18">
        <f t="shared" si="117"/>
        <v>-1.0746565453430186E-3</v>
      </c>
      <c r="Z151" s="32" t="str">
        <f t="shared" si="107"/>
        <v>0.999999970746356+0.000454843844508247i</v>
      </c>
      <c r="AA151" s="18">
        <f t="shared" si="118"/>
        <v>1.000000074187815</v>
      </c>
      <c r="AB151" s="18">
        <f t="shared" si="119"/>
        <v>4.5484382644761371E-4</v>
      </c>
      <c r="AC151" s="68" t="str">
        <f t="shared" si="120"/>
        <v>25.9230414017154-52.4351233666212i</v>
      </c>
      <c r="AD151" s="66">
        <f t="shared" si="121"/>
        <v>35.342097202117216</v>
      </c>
      <c r="AE151" s="63">
        <f t="shared" si="122"/>
        <v>-63.69298431192064</v>
      </c>
      <c r="AF151" s="32" t="str">
        <f t="shared" si="108"/>
        <v>-0.434440565864413</v>
      </c>
      <c r="AG151" s="32" t="str">
        <f t="shared" si="109"/>
        <v>0.0350606832888559i</v>
      </c>
      <c r="AH151" s="32">
        <f t="shared" si="123"/>
        <v>3.50606832888559E-2</v>
      </c>
      <c r="AI151" s="32">
        <f t="shared" si="124"/>
        <v>1.5707963267948966</v>
      </c>
      <c r="AJ151" s="32" t="str">
        <f t="shared" si="110"/>
        <v>1+0.000347135478107485i</v>
      </c>
      <c r="AK151" s="32">
        <f t="shared" si="125"/>
        <v>1.0000000602515182</v>
      </c>
      <c r="AL151" s="32">
        <f t="shared" si="126"/>
        <v>3.4713546416385919E-4</v>
      </c>
      <c r="AM151" s="32" t="str">
        <f t="shared" si="111"/>
        <v>1+0.0350606832888559i</v>
      </c>
      <c r="AN151" s="32">
        <f t="shared" si="127"/>
        <v>1.0006144369899335</v>
      </c>
      <c r="AO151" s="32">
        <f t="shared" si="128"/>
        <v>3.5046327742659346E-2</v>
      </c>
      <c r="AP151" s="60" t="str">
        <f t="shared" si="129"/>
        <v>-0.430139122290109+12.3912531146467i</v>
      </c>
      <c r="AQ151" s="51">
        <f t="shared" si="130"/>
        <v>21.867534669645686</v>
      </c>
      <c r="AR151" s="63">
        <f t="shared" si="131"/>
        <v>91.988117270070717</v>
      </c>
      <c r="AS151" s="60" t="str">
        <f t="shared" si="132"/>
        <v>638.586371457905+343.773365452213i</v>
      </c>
      <c r="AT151" s="66">
        <f t="shared" si="133"/>
        <v>57.209631871762909</v>
      </c>
      <c r="AU151" s="63">
        <f t="shared" si="134"/>
        <v>28.29513295815007</v>
      </c>
      <c r="AX151" s="32">
        <f t="shared" si="135"/>
        <v>0</v>
      </c>
      <c r="AY151" s="32">
        <f t="shared" si="136"/>
        <v>0</v>
      </c>
    </row>
    <row r="152" spans="14:51" x14ac:dyDescent="0.3">
      <c r="N152" s="11">
        <v>34</v>
      </c>
      <c r="O152" s="52">
        <f t="shared" si="102"/>
        <v>218.77616239495524</v>
      </c>
      <c r="P152" s="50" t="str">
        <f t="shared" si="103"/>
        <v>131.578947368421</v>
      </c>
      <c r="Q152" s="18" t="str">
        <f t="shared" si="104"/>
        <v>1+2.06191675368168i</v>
      </c>
      <c r="R152" s="18">
        <f t="shared" si="112"/>
        <v>2.2916153034733378</v>
      </c>
      <c r="S152" s="18">
        <f t="shared" si="113"/>
        <v>1.1192321978807942</v>
      </c>
      <c r="T152" s="18" t="str">
        <f t="shared" si="105"/>
        <v>1+0.0000045362168580997i</v>
      </c>
      <c r="U152" s="18">
        <f t="shared" si="114"/>
        <v>1.0000000000102887</v>
      </c>
      <c r="V152" s="18">
        <f t="shared" si="115"/>
        <v>4.5362168580685858E-6</v>
      </c>
      <c r="W152" s="32" t="str">
        <f t="shared" si="106"/>
        <v>1-0.0010996889352969i</v>
      </c>
      <c r="X152" s="18">
        <f t="shared" si="116"/>
        <v>1.0000006046576944</v>
      </c>
      <c r="Y152" s="18">
        <f t="shared" si="117"/>
        <v>-1.0996884920068369E-3</v>
      </c>
      <c r="Z152" s="32" t="str">
        <f t="shared" si="107"/>
        <v>0.999999969367674+0.000465438518667326i</v>
      </c>
      <c r="AA152" s="18">
        <f t="shared" si="118"/>
        <v>1.0000000776841789</v>
      </c>
      <c r="AB152" s="18">
        <f t="shared" si="119"/>
        <v>4.6543849931500903E-4</v>
      </c>
      <c r="AC152" s="68" t="str">
        <f t="shared" si="120"/>
        <v>24.9748534982632-51.701409765053i</v>
      </c>
      <c r="AD152" s="66">
        <f t="shared" si="121"/>
        <v>35.180898455338138</v>
      </c>
      <c r="AE152" s="63">
        <f t="shared" si="122"/>
        <v>-64.216696498644268</v>
      </c>
      <c r="AF152" s="32" t="str">
        <f t="shared" si="108"/>
        <v>-0.434440565864413</v>
      </c>
      <c r="AG152" s="32" t="str">
        <f t="shared" si="109"/>
        <v>0.0358773515140613i</v>
      </c>
      <c r="AH152" s="32">
        <f t="shared" si="123"/>
        <v>3.5877351514061302E-2</v>
      </c>
      <c r="AI152" s="32">
        <f t="shared" si="124"/>
        <v>1.5707963267948966</v>
      </c>
      <c r="AJ152" s="32" t="str">
        <f t="shared" si="110"/>
        <v>1+0.000355221302119418i</v>
      </c>
      <c r="AK152" s="32">
        <f t="shared" si="125"/>
        <v>1.0000000630910848</v>
      </c>
      <c r="AL152" s="32">
        <f t="shared" si="126"/>
        <v>3.552212871785538E-4</v>
      </c>
      <c r="AM152" s="32" t="str">
        <f t="shared" si="111"/>
        <v>1+0.0358773515140613i</v>
      </c>
      <c r="AN152" s="32">
        <f t="shared" si="127"/>
        <v>1.0006433852035717</v>
      </c>
      <c r="AO152" s="32">
        <f t="shared" si="128"/>
        <v>3.5861969803290671E-2</v>
      </c>
      <c r="AP152" s="60" t="str">
        <f t="shared" si="129"/>
        <v>-0.430139119847292+12.1092006348054i</v>
      </c>
      <c r="AQ152" s="51">
        <f t="shared" si="130"/>
        <v>21.667785927935803</v>
      </c>
      <c r="AR152" s="63">
        <f t="shared" si="131"/>
        <v>92.03438683420562</v>
      </c>
      <c r="AS152" s="60" t="str">
        <f t="shared" si="132"/>
        <v>615.320082445256+324.664310726545i</v>
      </c>
      <c r="AT152" s="66">
        <f t="shared" si="133"/>
        <v>56.848684383273948</v>
      </c>
      <c r="AU152" s="63">
        <f t="shared" si="134"/>
        <v>27.817690335561359</v>
      </c>
      <c r="AX152" s="32">
        <f t="shared" si="135"/>
        <v>0</v>
      </c>
      <c r="AY152" s="32">
        <f t="shared" si="136"/>
        <v>0</v>
      </c>
    </row>
    <row r="153" spans="14:51" x14ac:dyDescent="0.3">
      <c r="N153" s="11">
        <v>35</v>
      </c>
      <c r="O153" s="52">
        <f t="shared" si="102"/>
        <v>223.87211385683412</v>
      </c>
      <c r="P153" s="50" t="str">
        <f t="shared" si="103"/>
        <v>131.578947368421</v>
      </c>
      <c r="Q153" s="18" t="str">
        <f t="shared" si="104"/>
        <v>1+2.10994496470875i</v>
      </c>
      <c r="R153" s="18">
        <f t="shared" si="112"/>
        <v>2.3349235006954312</v>
      </c>
      <c r="S153" s="18">
        <f t="shared" si="113"/>
        <v>1.1282083018008813</v>
      </c>
      <c r="T153" s="18" t="str">
        <f t="shared" si="105"/>
        <v>1+4.64187892235925E-06i</v>
      </c>
      <c r="U153" s="18">
        <f t="shared" si="114"/>
        <v>1.0000000000107736</v>
      </c>
      <c r="V153" s="18">
        <f t="shared" si="115"/>
        <v>4.6418789223259111E-6</v>
      </c>
      <c r="W153" s="32" t="str">
        <f t="shared" si="106"/>
        <v>1-0.001125303981178i</v>
      </c>
      <c r="X153" s="18">
        <f t="shared" si="116"/>
        <v>1.0000006331543245</v>
      </c>
      <c r="Y153" s="18">
        <f t="shared" si="117"/>
        <v>-1.1253035061841558E-3</v>
      </c>
      <c r="Z153" s="32" t="str">
        <f t="shared" si="107"/>
        <v>0.999999967924017+0.000476279974489811i</v>
      </c>
      <c r="AA153" s="18">
        <f t="shared" si="118"/>
        <v>1.0000000813453214</v>
      </c>
      <c r="AB153" s="18">
        <f t="shared" si="119"/>
        <v>4.7627995375342977E-4</v>
      </c>
      <c r="AC153" s="68" t="str">
        <f t="shared" si="120"/>
        <v>24.0533168096779-50.9612986060032i</v>
      </c>
      <c r="AD153" s="66">
        <f t="shared" si="121"/>
        <v>35.018279821292047</v>
      </c>
      <c r="AE153" s="63">
        <f t="shared" si="122"/>
        <v>-64.73307211753351</v>
      </c>
      <c r="AF153" s="32" t="str">
        <f t="shared" si="108"/>
        <v>-0.434440565864413</v>
      </c>
      <c r="AG153" s="32" t="str">
        <f t="shared" si="109"/>
        <v>0.0367130423859323i</v>
      </c>
      <c r="AH153" s="32">
        <f t="shared" si="123"/>
        <v>3.6713042385932301E-2</v>
      </c>
      <c r="AI153" s="32">
        <f t="shared" si="124"/>
        <v>1.5707963267948966</v>
      </c>
      <c r="AJ153" s="32" t="str">
        <f t="shared" si="110"/>
        <v>1+0.000363495469167646i</v>
      </c>
      <c r="AK153" s="32">
        <f t="shared" si="125"/>
        <v>1.0000000660644759</v>
      </c>
      <c r="AL153" s="32">
        <f t="shared" si="126"/>
        <v>3.6349545315822164E-4</v>
      </c>
      <c r="AM153" s="32" t="str">
        <f t="shared" si="111"/>
        <v>1+0.0367130423859323i</v>
      </c>
      <c r="AN153" s="32">
        <f t="shared" si="127"/>
        <v>1.0006736968069219</v>
      </c>
      <c r="AO153" s="32">
        <f t="shared" si="128"/>
        <v>3.6696561185131517E-2</v>
      </c>
      <c r="AP153" s="60" t="str">
        <f t="shared" si="129"/>
        <v>-0.430139117289349+11.8335686134247i</v>
      </c>
      <c r="AQ153" s="51">
        <f t="shared" si="130"/>
        <v>21.468049012081952</v>
      </c>
      <c r="AR153" s="63">
        <f t="shared" si="131"/>
        <v>92.081731323213475</v>
      </c>
      <c r="AS153" s="60" t="str">
        <f t="shared" si="132"/>
        <v>592.707751222967+306.55702284607i</v>
      </c>
      <c r="AT153" s="66">
        <f t="shared" si="133"/>
        <v>56.486328833373989</v>
      </c>
      <c r="AU153" s="63">
        <f t="shared" si="134"/>
        <v>27.348659205679976</v>
      </c>
      <c r="AX153" s="32">
        <f t="shared" si="135"/>
        <v>0</v>
      </c>
      <c r="AY153" s="32">
        <f t="shared" si="136"/>
        <v>0</v>
      </c>
    </row>
    <row r="154" spans="14:51" x14ac:dyDescent="0.3">
      <c r="N154" s="11">
        <v>36</v>
      </c>
      <c r="O154" s="52">
        <f t="shared" si="102"/>
        <v>229.08676527677744</v>
      </c>
      <c r="P154" s="50" t="str">
        <f t="shared" si="103"/>
        <v>131.578947368421</v>
      </c>
      <c r="Q154" s="18" t="str">
        <f t="shared" si="104"/>
        <v>1+2.15909189648452i</v>
      </c>
      <c r="R154" s="18">
        <f t="shared" si="112"/>
        <v>2.3794280441873257</v>
      </c>
      <c r="S154" s="18">
        <f t="shared" si="113"/>
        <v>1.1370545036003894</v>
      </c>
      <c r="T154" s="18" t="str">
        <f t="shared" si="105"/>
        <v>1+4.75000217226596E-06i</v>
      </c>
      <c r="U154" s="18">
        <f t="shared" si="114"/>
        <v>1.0000000000112812</v>
      </c>
      <c r="V154" s="18">
        <f t="shared" si="115"/>
        <v>4.7500021722302364E-6</v>
      </c>
      <c r="W154" s="32" t="str">
        <f t="shared" si="106"/>
        <v>1-0.00115151567812508i</v>
      </c>
      <c r="X154" s="18">
        <f t="shared" si="116"/>
        <v>1.0000006629939586</v>
      </c>
      <c r="Y154" s="18">
        <f t="shared" si="117"/>
        <v>-1.1515151691600242E-3</v>
      </c>
      <c r="Z154" s="32" t="str">
        <f t="shared" si="107"/>
        <v>0.999999966412323+0.00048737396025908i</v>
      </c>
      <c r="AA154" s="18">
        <f t="shared" si="118"/>
        <v>1.0000000851790087</v>
      </c>
      <c r="AB154" s="18">
        <f t="shared" si="119"/>
        <v>4.8737393803964714E-4</v>
      </c>
      <c r="AC154" s="68" t="str">
        <f t="shared" si="120"/>
        <v>23.1582593716091-50.2158284777663i</v>
      </c>
      <c r="AD154" s="66">
        <f t="shared" si="121"/>
        <v>34.854281654919994</v>
      </c>
      <c r="AE154" s="63">
        <f t="shared" si="122"/>
        <v>-65.242053406500531</v>
      </c>
      <c r="AF154" s="32" t="str">
        <f t="shared" si="108"/>
        <v>-0.434440565864413</v>
      </c>
      <c r="AG154" s="32" t="str">
        <f t="shared" si="109"/>
        <v>0.0375681989988308i</v>
      </c>
      <c r="AH154" s="32">
        <f t="shared" si="123"/>
        <v>3.75681989988308E-2</v>
      </c>
      <c r="AI154" s="32">
        <f t="shared" si="124"/>
        <v>1.5707963267948966</v>
      </c>
      <c r="AJ154" s="32" t="str">
        <f t="shared" si="110"/>
        <v>1+0.000371962366325057i</v>
      </c>
      <c r="AK154" s="32">
        <f t="shared" si="125"/>
        <v>1.0000000691779987</v>
      </c>
      <c r="AL154" s="32">
        <f t="shared" si="126"/>
        <v>3.7196234917064985E-4</v>
      </c>
      <c r="AM154" s="32" t="str">
        <f t="shared" si="111"/>
        <v>1+0.0375681989988308i</v>
      </c>
      <c r="AN154" s="32">
        <f t="shared" si="127"/>
        <v>1.0007054359680554</v>
      </c>
      <c r="AO154" s="32">
        <f t="shared" si="128"/>
        <v>3.7550539746295269E-2</v>
      </c>
      <c r="AP154" s="60" t="str">
        <f t="shared" si="129"/>
        <v>-0.430139114610853+11.5642109067587i</v>
      </c>
      <c r="AQ154" s="51">
        <f t="shared" si="130"/>
        <v>21.268324477918487</v>
      </c>
      <c r="AR154" s="63">
        <f t="shared" si="131"/>
        <v>92.130175573155711</v>
      </c>
      <c r="AS154" s="60" t="str">
        <f t="shared" si="132"/>
        <v>570.745158192477+289.406787607586i</v>
      </c>
      <c r="AT154" s="66">
        <f t="shared" si="133"/>
        <v>56.122606132838484</v>
      </c>
      <c r="AU154" s="63">
        <f t="shared" si="134"/>
        <v>26.888122166655194</v>
      </c>
      <c r="AX154" s="32">
        <f t="shared" si="135"/>
        <v>0</v>
      </c>
      <c r="AY154" s="32">
        <f t="shared" si="136"/>
        <v>0</v>
      </c>
    </row>
    <row r="155" spans="14:51" x14ac:dyDescent="0.3">
      <c r="N155" s="11">
        <v>37</v>
      </c>
      <c r="O155" s="52">
        <f t="shared" si="102"/>
        <v>234.42288153199232</v>
      </c>
      <c r="P155" s="50" t="str">
        <f t="shared" si="103"/>
        <v>131.578947368421</v>
      </c>
      <c r="Q155" s="18" t="str">
        <f t="shared" si="104"/>
        <v>1+2.20938360736276i</v>
      </c>
      <c r="R155" s="18">
        <f t="shared" si="112"/>
        <v>2.4251548248479482</v>
      </c>
      <c r="S155" s="18">
        <f t="shared" si="113"/>
        <v>1.1457699545425089</v>
      </c>
      <c r="T155" s="18" t="str">
        <f t="shared" si="105"/>
        <v>1+4.86064393619808E-06i</v>
      </c>
      <c r="U155" s="18">
        <f t="shared" si="114"/>
        <v>1.0000000000118128</v>
      </c>
      <c r="V155" s="18">
        <f t="shared" si="115"/>
        <v>4.860643936159801E-6</v>
      </c>
      <c r="W155" s="32" t="str">
        <f t="shared" si="106"/>
        <v>1-0.00117833792392681i</v>
      </c>
      <c r="X155" s="18">
        <f t="shared" si="116"/>
        <v>1.0000006942398905</v>
      </c>
      <c r="Y155" s="18">
        <f t="shared" si="117"/>
        <v>-1.1783373785609476E-3</v>
      </c>
      <c r="Z155" s="32" t="str">
        <f t="shared" si="107"/>
        <v>0.999999964829384+0.000498726358153232i</v>
      </c>
      <c r="AA155" s="18">
        <f t="shared" si="118"/>
        <v>1.0000000891933707</v>
      </c>
      <c r="AB155" s="18">
        <f t="shared" si="119"/>
        <v>4.9872633434468107E-4</v>
      </c>
      <c r="AC155" s="68" t="str">
        <f t="shared" si="120"/>
        <v>22.2894644390678-49.4660040987595i</v>
      </c>
      <c r="AD155" s="66">
        <f t="shared" si="121"/>
        <v>34.688944015575018</v>
      </c>
      <c r="AE155" s="63">
        <f t="shared" si="122"/>
        <v>-65.743592866522647</v>
      </c>
      <c r="AF155" s="32" t="str">
        <f t="shared" si="108"/>
        <v>-0.434440565864413</v>
      </c>
      <c r="AG155" s="32" t="str">
        <f t="shared" si="109"/>
        <v>0.0384432747681121i</v>
      </c>
      <c r="AH155" s="32">
        <f t="shared" si="123"/>
        <v>3.8443274768112101E-2</v>
      </c>
      <c r="AI155" s="32">
        <f t="shared" si="124"/>
        <v>1.5707963267948966</v>
      </c>
      <c r="AJ155" s="32" t="str">
        <f t="shared" si="110"/>
        <v>1+0.000380626482852596i</v>
      </c>
      <c r="AK155" s="32">
        <f t="shared" si="125"/>
        <v>1.0000000724382572</v>
      </c>
      <c r="AL155" s="32">
        <f t="shared" si="126"/>
        <v>3.8062646447131759E-4</v>
      </c>
      <c r="AM155" s="32" t="str">
        <f t="shared" si="111"/>
        <v>1+0.0384432747681121i</v>
      </c>
      <c r="AN155" s="32">
        <f t="shared" si="127"/>
        <v>1.0007386698708591</v>
      </c>
      <c r="AO155" s="32">
        <f t="shared" si="128"/>
        <v>3.8424353292362767E-2</v>
      </c>
      <c r="AP155" s="60" t="str">
        <f t="shared" si="129"/>
        <v>-0.430139111806124+11.3009846977858i</v>
      </c>
      <c r="AQ155" s="51">
        <f t="shared" si="130"/>
        <v>21.068612907330568</v>
      </c>
      <c r="AR155" s="63">
        <f t="shared" si="131"/>
        <v>92.179744984186812</v>
      </c>
      <c r="AS155" s="60" t="str">
        <f t="shared" si="132"/>
        <v>549.426984944236+273.170159615384i</v>
      </c>
      <c r="AT155" s="66">
        <f t="shared" si="133"/>
        <v>55.757556922905579</v>
      </c>
      <c r="AU155" s="63">
        <f t="shared" si="134"/>
        <v>26.436152117664118</v>
      </c>
      <c r="AX155" s="32">
        <f t="shared" si="135"/>
        <v>0</v>
      </c>
      <c r="AY155" s="32">
        <f t="shared" si="136"/>
        <v>0</v>
      </c>
    </row>
    <row r="156" spans="14:51" x14ac:dyDescent="0.3">
      <c r="N156" s="11">
        <v>38</v>
      </c>
      <c r="O156" s="52">
        <f t="shared" si="102"/>
        <v>239.88329190194912</v>
      </c>
      <c r="P156" s="50" t="str">
        <f t="shared" si="103"/>
        <v>131.578947368421</v>
      </c>
      <c r="Q156" s="18" t="str">
        <f t="shared" si="104"/>
        <v>1+2.2608467626743i</v>
      </c>
      <c r="R156" s="18">
        <f t="shared" si="112"/>
        <v>2.4721302725169769</v>
      </c>
      <c r="S156" s="18">
        <f t="shared" si="113"/>
        <v>1.154353978503073</v>
      </c>
      <c r="T156" s="18" t="str">
        <f t="shared" si="105"/>
        <v>1+4.97386287788346E-06i</v>
      </c>
      <c r="U156" s="18">
        <f t="shared" si="114"/>
        <v>1.0000000000123697</v>
      </c>
      <c r="V156" s="18">
        <f t="shared" si="115"/>
        <v>4.9738628778424436E-6</v>
      </c>
      <c r="W156" s="32" t="str">
        <f t="shared" si="106"/>
        <v>1-0.00120578494009296i</v>
      </c>
      <c r="X156" s="18">
        <f t="shared" si="116"/>
        <v>1.0000007269583966</v>
      </c>
      <c r="Y156" s="18">
        <f t="shared" si="117"/>
        <v>-1.2057843557229328E-3</v>
      </c>
      <c r="Z156" s="32" t="str">
        <f t="shared" si="107"/>
        <v>0.999999963171844+0.000510343187363906i</v>
      </c>
      <c r="AA156" s="18">
        <f t="shared" si="118"/>
        <v>1.0000000933969249</v>
      </c>
      <c r="AB156" s="18">
        <f t="shared" si="119"/>
        <v>5.1034316185258409E-4</v>
      </c>
      <c r="AC156" s="68" t="str">
        <f t="shared" si="120"/>
        <v>21.4466737571156-48.712794763352i</v>
      </c>
      <c r="AD156" s="66">
        <f t="shared" si="121"/>
        <v>34.522306601492133</v>
      </c>
      <c r="AE156" s="63">
        <f t="shared" si="122"/>
        <v>-66.23765291487409</v>
      </c>
      <c r="AF156" s="32" t="str">
        <f t="shared" si="108"/>
        <v>-0.434440565864413</v>
      </c>
      <c r="AG156" s="32" t="str">
        <f t="shared" si="109"/>
        <v>0.0393387336705328i</v>
      </c>
      <c r="AH156" s="32">
        <f t="shared" si="123"/>
        <v>3.9338733670532797E-2</v>
      </c>
      <c r="AI156" s="32">
        <f t="shared" si="124"/>
        <v>1.5707963267948966</v>
      </c>
      <c r="AJ156" s="32" t="str">
        <f t="shared" si="110"/>
        <v>1+0.000389492412579533i</v>
      </c>
      <c r="AK156" s="32">
        <f t="shared" si="125"/>
        <v>1.000000075852167</v>
      </c>
      <c r="AL156" s="32">
        <f t="shared" si="126"/>
        <v>3.894923928836384E-4</v>
      </c>
      <c r="AM156" s="32" t="str">
        <f t="shared" si="111"/>
        <v>1+0.0393387336705328i</v>
      </c>
      <c r="AN156" s="32">
        <f t="shared" si="127"/>
        <v>1.0007734688563648</v>
      </c>
      <c r="AO156" s="32">
        <f t="shared" si="128"/>
        <v>3.9318459790193612E-2</v>
      </c>
      <c r="AP156" s="60" t="str">
        <f t="shared" si="129"/>
        <v>-0.430139108869212+11.0437504204857i</v>
      </c>
      <c r="AQ156" s="51">
        <f t="shared" si="130"/>
        <v>20.868914909468373</v>
      </c>
      <c r="AR156" s="63">
        <f t="shared" si="131"/>
        <v>92.230465532668234</v>
      </c>
      <c r="AS156" s="60" t="str">
        <f t="shared" si="132"/>
        <v>528.746894512708+257.804990453202i</v>
      </c>
      <c r="AT156" s="66">
        <f t="shared" si="133"/>
        <v>55.391221510960513</v>
      </c>
      <c r="AU156" s="63">
        <f t="shared" si="134"/>
        <v>25.992812617794137</v>
      </c>
      <c r="AX156" s="32">
        <f t="shared" si="135"/>
        <v>0</v>
      </c>
      <c r="AY156" s="32">
        <f t="shared" si="136"/>
        <v>0</v>
      </c>
    </row>
    <row r="157" spans="14:51" x14ac:dyDescent="0.3">
      <c r="N157" s="11">
        <v>39</v>
      </c>
      <c r="O157" s="52">
        <f t="shared" si="102"/>
        <v>245.4708915685033</v>
      </c>
      <c r="P157" s="50" t="str">
        <f t="shared" si="103"/>
        <v>131.578947368421</v>
      </c>
      <c r="Q157" s="18" t="str">
        <f t="shared" si="104"/>
        <v>1+2.31350864886523i</v>
      </c>
      <c r="R157" s="18">
        <f t="shared" si="112"/>
        <v>2.520381373596905</v>
      </c>
      <c r="S157" s="18">
        <f t="shared" si="113"/>
        <v>1.1628060656608541</v>
      </c>
      <c r="T157" s="18" t="str">
        <f t="shared" si="105"/>
        <v>1+5.08971902750352E-06i</v>
      </c>
      <c r="U157" s="18">
        <f t="shared" si="114"/>
        <v>1.0000000000129527</v>
      </c>
      <c r="V157" s="18">
        <f t="shared" si="115"/>
        <v>5.0897190274595698E-6</v>
      </c>
      <c r="W157" s="32" t="str">
        <f t="shared" si="106"/>
        <v>1-0.00123387127939479i</v>
      </c>
      <c r="X157" s="18">
        <f t="shared" si="116"/>
        <v>1.0000007612188773</v>
      </c>
      <c r="Y157" s="18">
        <f t="shared" si="117"/>
        <v>-1.2338706532310502E-3</v>
      </c>
      <c r="Z157" s="32" t="str">
        <f t="shared" si="107"/>
        <v>0.999999961436187+0.000522230607287708i</v>
      </c>
      <c r="AA157" s="18">
        <f t="shared" si="118"/>
        <v>1.0000000977985866</v>
      </c>
      <c r="AB157" s="18">
        <f t="shared" si="119"/>
        <v>5.2223057995183411E-4</v>
      </c>
      <c r="AC157" s="68" t="str">
        <f t="shared" si="120"/>
        <v>20.6295908188983-47.9571330690528i</v>
      </c>
      <c r="AD157" s="66">
        <f t="shared" si="121"/>
        <v>34.354408689219483</v>
      </c>
      <c r="AE157" s="63">
        <f t="shared" si="122"/>
        <v>-66.724205524218888</v>
      </c>
      <c r="AF157" s="32" t="str">
        <f t="shared" si="108"/>
        <v>-0.434440565864413</v>
      </c>
      <c r="AG157" s="32" t="str">
        <f t="shared" si="109"/>
        <v>0.0402550504902551i</v>
      </c>
      <c r="AH157" s="32">
        <f t="shared" si="123"/>
        <v>4.0255050490255101E-2</v>
      </c>
      <c r="AI157" s="32">
        <f t="shared" si="124"/>
        <v>1.5707963267948966</v>
      </c>
      <c r="AJ157" s="32" t="str">
        <f t="shared" si="110"/>
        <v>1+0.00039856485633916i</v>
      </c>
      <c r="AK157" s="32">
        <f t="shared" si="125"/>
        <v>1.0000000794269692</v>
      </c>
      <c r="AL157" s="32">
        <f t="shared" si="126"/>
        <v>3.9856483523462882E-4</v>
      </c>
      <c r="AM157" s="32" t="str">
        <f t="shared" si="111"/>
        <v>1+0.0402550504902551i</v>
      </c>
      <c r="AN157" s="32">
        <f t="shared" si="127"/>
        <v>1.0008099065706599</v>
      </c>
      <c r="AO157" s="32">
        <f t="shared" si="128"/>
        <v>4.0233327585446066E-2</v>
      </c>
      <c r="AP157" s="60" t="str">
        <f t="shared" si="129"/>
        <v>-0.430139105793888+10.7923716858398i</v>
      </c>
      <c r="AQ157" s="51">
        <f t="shared" si="130"/>
        <v>20.66923112201696</v>
      </c>
      <c r="AR157" s="63">
        <f t="shared" si="131"/>
        <v>92.282363783492059</v>
      </c>
      <c r="AS157" s="60" t="str">
        <f t="shared" si="132"/>
        <v>508.697611320762+243.2704501791i</v>
      </c>
      <c r="AT157" s="66">
        <f t="shared" si="133"/>
        <v>55.023639811236436</v>
      </c>
      <c r="AU157" s="63">
        <f t="shared" si="134"/>
        <v>25.558158259273213</v>
      </c>
      <c r="AX157" s="32">
        <f t="shared" si="135"/>
        <v>0</v>
      </c>
      <c r="AY157" s="32">
        <f t="shared" si="136"/>
        <v>0</v>
      </c>
    </row>
    <row r="158" spans="14:51" x14ac:dyDescent="0.3">
      <c r="N158" s="11">
        <v>40</v>
      </c>
      <c r="O158" s="52">
        <f t="shared" si="102"/>
        <v>251.18864315095806</v>
      </c>
      <c r="P158" s="50" t="str">
        <f t="shared" si="103"/>
        <v>131.578947368421</v>
      </c>
      <c r="Q158" s="18" t="str">
        <f t="shared" si="104"/>
        <v>1+2.36739718796472i</v>
      </c>
      <c r="R158" s="18">
        <f t="shared" si="112"/>
        <v>2.5699356889975409</v>
      </c>
      <c r="S158" s="18">
        <f t="shared" si="113"/>
        <v>1.1711258659889905</v>
      </c>
      <c r="T158" s="18" t="str">
        <f t="shared" si="105"/>
        <v>1+5.20827381352238E-06i</v>
      </c>
      <c r="U158" s="18">
        <f t="shared" si="114"/>
        <v>1.0000000000135629</v>
      </c>
      <c r="V158" s="18">
        <f t="shared" si="115"/>
        <v>5.2082738134752866E-6</v>
      </c>
      <c r="W158" s="32" t="str">
        <f t="shared" si="106"/>
        <v>1-0.00126261183358118i</v>
      </c>
      <c r="X158" s="18">
        <f t="shared" si="116"/>
        <v>1.0000007970940035</v>
      </c>
      <c r="Y158" s="18">
        <f t="shared" si="117"/>
        <v>-1.2626111626346736E-3</v>
      </c>
      <c r="Z158" s="32" t="str">
        <f t="shared" si="107"/>
        <v>0.99999995961873+0.000534394920792036i</v>
      </c>
      <c r="AA158" s="18">
        <f t="shared" si="118"/>
        <v>1.0000001024076914</v>
      </c>
      <c r="AB158" s="18">
        <f t="shared" si="119"/>
        <v>5.3439489150111966E-4</v>
      </c>
      <c r="AC158" s="68" t="str">
        <f t="shared" si="120"/>
        <v>19.837884089393-47.1999139118611i</v>
      </c>
      <c r="AD158" s="66">
        <f t="shared" si="121"/>
        <v>34.185289077973955</v>
      </c>
      <c r="AE158" s="63">
        <f t="shared" si="122"/>
        <v>-67.203231850326219</v>
      </c>
      <c r="AF158" s="32" t="str">
        <f t="shared" si="108"/>
        <v>-0.434440565864413</v>
      </c>
      <c r="AG158" s="32" t="str">
        <f t="shared" si="109"/>
        <v>0.0411927110705862i</v>
      </c>
      <c r="AH158" s="32">
        <f t="shared" si="123"/>
        <v>4.1192711070586203E-2</v>
      </c>
      <c r="AI158" s="32">
        <f t="shared" si="124"/>
        <v>1.5707963267948966</v>
      </c>
      <c r="AJ158" s="32" t="str">
        <f t="shared" si="110"/>
        <v>1+0.000407848624461249i</v>
      </c>
      <c r="AK158" s="32">
        <f t="shared" si="125"/>
        <v>1.0000000831702467</v>
      </c>
      <c r="AL158" s="32">
        <f t="shared" si="126"/>
        <v>4.0784860184733644E-4</v>
      </c>
      <c r="AM158" s="32" t="str">
        <f t="shared" si="111"/>
        <v>1+0.0411927110705862i</v>
      </c>
      <c r="AN158" s="32">
        <f t="shared" si="127"/>
        <v>1.000848060119689</v>
      </c>
      <c r="AO158" s="32">
        <f t="shared" si="128"/>
        <v>4.1169435623810757E-2</v>
      </c>
      <c r="AP158" s="60" t="str">
        <f t="shared" si="129"/>
        <v>-0.430139102573628+10.5467152095154i</v>
      </c>
      <c r="AQ158" s="51">
        <f t="shared" si="130"/>
        <v>20.469562212523908</v>
      </c>
      <c r="AR158" s="63">
        <f t="shared" si="131"/>
        <v>92.335466902613746</v>
      </c>
      <c r="AS158" s="60" t="str">
        <f t="shared" si="132"/>
        <v>489.271000282872+229.527042461805i</v>
      </c>
      <c r="AT158" s="66">
        <f t="shared" si="133"/>
        <v>54.654851290497859</v>
      </c>
      <c r="AU158" s="63">
        <f t="shared" si="134"/>
        <v>25.132235052287491</v>
      </c>
      <c r="AX158" s="32">
        <f t="shared" si="135"/>
        <v>0</v>
      </c>
      <c r="AY158" s="32">
        <f t="shared" si="136"/>
        <v>0</v>
      </c>
    </row>
    <row r="159" spans="14:51" x14ac:dyDescent="0.3">
      <c r="N159" s="11">
        <v>41</v>
      </c>
      <c r="O159" s="52">
        <f t="shared" si="102"/>
        <v>257.03957827688663</v>
      </c>
      <c r="P159" s="50" t="str">
        <f t="shared" si="103"/>
        <v>131.578947368421</v>
      </c>
      <c r="Q159" s="18" t="str">
        <f t="shared" si="104"/>
        <v>1+2.42254095238945i</v>
      </c>
      <c r="R159" s="18">
        <f t="shared" si="112"/>
        <v>2.6208213723953002</v>
      </c>
      <c r="S159" s="18">
        <f t="shared" si="113"/>
        <v>1.1793131825930727</v>
      </c>
      <c r="T159" s="18" t="str">
        <f t="shared" si="105"/>
        <v>1+0.0000053295900952568i</v>
      </c>
      <c r="U159" s="18">
        <f t="shared" si="114"/>
        <v>1.0000000000142024</v>
      </c>
      <c r="V159" s="18">
        <f t="shared" si="115"/>
        <v>5.3295900952063389E-6</v>
      </c>
      <c r="W159" s="32" t="str">
        <f t="shared" si="106"/>
        <v>1-0.00129202184127438i</v>
      </c>
      <c r="X159" s="18">
        <f t="shared" si="116"/>
        <v>1.0000008346598708</v>
      </c>
      <c r="Y159" s="18">
        <f t="shared" si="117"/>
        <v>-1.292021122342278E-3</v>
      </c>
      <c r="Z159" s="32" t="str">
        <f t="shared" si="107"/>
        <v>0.999999957715619+0.000546842577556918i</v>
      </c>
      <c r="AA159" s="18">
        <f t="shared" si="118"/>
        <v>1.0000001072340166</v>
      </c>
      <c r="AB159" s="18">
        <f t="shared" si="119"/>
        <v>5.4684254617113595E-4</v>
      </c>
      <c r="AC159" s="68" t="str">
        <f t="shared" si="120"/>
        <v>19.0711901755176-46.4419937353223i</v>
      </c>
      <c r="AD159" s="66">
        <f t="shared" si="121"/>
        <v>34.014986038855561</v>
      </c>
      <c r="AE159" s="63">
        <f t="shared" si="122"/>
        <v>-67.674721851010801</v>
      </c>
      <c r="AF159" s="32" t="str">
        <f t="shared" si="108"/>
        <v>-0.434440565864413</v>
      </c>
      <c r="AG159" s="32" t="str">
        <f t="shared" si="109"/>
        <v>0.0421522125715765i</v>
      </c>
      <c r="AH159" s="32">
        <f t="shared" si="123"/>
        <v>4.2152212571576503E-2</v>
      </c>
      <c r="AI159" s="32">
        <f t="shared" si="124"/>
        <v>1.5707963267948966</v>
      </c>
      <c r="AJ159" s="32" t="str">
        <f t="shared" si="110"/>
        <v>1+0.00041734863932254i</v>
      </c>
      <c r="AK159" s="32">
        <f t="shared" si="125"/>
        <v>1.0000000870899395</v>
      </c>
      <c r="AL159" s="32">
        <f t="shared" si="126"/>
        <v>4.1734861509129631E-4</v>
      </c>
      <c r="AM159" s="32" t="str">
        <f t="shared" si="111"/>
        <v>1+0.0421522125715765i</v>
      </c>
      <c r="AN159" s="32">
        <f t="shared" si="127"/>
        <v>1.0008880102312543</v>
      </c>
      <c r="AO159" s="32">
        <f t="shared" si="128"/>
        <v>4.2127273675939651E-2</v>
      </c>
      <c r="AP159" s="60" t="str">
        <f t="shared" si="129"/>
        <v>-0.430139099201602+10.3066507411974i</v>
      </c>
      <c r="AQ159" s="51">
        <f t="shared" si="130"/>
        <v>20.269908879789121</v>
      </c>
      <c r="AR159" s="63">
        <f t="shared" si="131"/>
        <v>92.389802669793568</v>
      </c>
      <c r="AS159" s="60" t="str">
        <f t="shared" si="132"/>
        <v>470.458144592045+216.536613708453i</v>
      </c>
      <c r="AT159" s="66">
        <f t="shared" si="133"/>
        <v>54.284894918644682</v>
      </c>
      <c r="AU159" s="63">
        <f t="shared" si="134"/>
        <v>24.715080818782756</v>
      </c>
      <c r="AX159" s="32">
        <f t="shared" si="135"/>
        <v>0</v>
      </c>
      <c r="AY159" s="32">
        <f t="shared" si="136"/>
        <v>0</v>
      </c>
    </row>
    <row r="160" spans="14:51" x14ac:dyDescent="0.3">
      <c r="N160" s="11">
        <v>42</v>
      </c>
      <c r="O160" s="52">
        <f t="shared" si="102"/>
        <v>263.02679918953817</v>
      </c>
      <c r="P160" s="50" t="str">
        <f t="shared" si="103"/>
        <v>131.578947368421</v>
      </c>
      <c r="Q160" s="18" t="str">
        <f t="shared" si="104"/>
        <v>1+2.47896918009327i</v>
      </c>
      <c r="R160" s="18">
        <f t="shared" si="112"/>
        <v>2.6730671888024622</v>
      </c>
      <c r="S160" s="18">
        <f t="shared" si="113"/>
        <v>1.1873679649390427</v>
      </c>
      <c r="T160" s="18" t="str">
        <f t="shared" si="105"/>
        <v>1+5.45373219620519E-06i</v>
      </c>
      <c r="U160" s="18">
        <f t="shared" si="114"/>
        <v>1.0000000000148717</v>
      </c>
      <c r="V160" s="18">
        <f t="shared" si="115"/>
        <v>5.4537321961511195E-6</v>
      </c>
      <c r="W160" s="32" t="str">
        <f t="shared" si="106"/>
        <v>1-0.00132211689604974i</v>
      </c>
      <c r="X160" s="18">
        <f t="shared" si="116"/>
        <v>1.0000008739961614</v>
      </c>
      <c r="Y160" s="18">
        <f t="shared" si="117"/>
        <v>-1.3221161257001499E-3</v>
      </c>
      <c r="Z160" s="32" t="str">
        <f t="shared" si="107"/>
        <v>0.999999955722818+0.000559580177494738i</v>
      </c>
      <c r="AA160" s="18">
        <f t="shared" si="118"/>
        <v>1.0000001122878002</v>
      </c>
      <c r="AB160" s="18">
        <f t="shared" si="119"/>
        <v>5.5958014386426681E-4</v>
      </c>
      <c r="AC160" s="68" t="str">
        <f t="shared" si="120"/>
        <v>18.3291169254756-45.6841900178599i</v>
      </c>
      <c r="AD160" s="66">
        <f t="shared" si="121"/>
        <v>33.843537268824186</v>
      </c>
      <c r="AE160" s="63">
        <f t="shared" si="122"/>
        <v>-68.138673898778848</v>
      </c>
      <c r="AF160" s="32" t="str">
        <f t="shared" si="108"/>
        <v>-0.434440565864413</v>
      </c>
      <c r="AG160" s="32" t="str">
        <f t="shared" si="109"/>
        <v>0.0431340637336229i</v>
      </c>
      <c r="AH160" s="32">
        <f t="shared" si="123"/>
        <v>4.3134063733622899E-2</v>
      </c>
      <c r="AI160" s="32">
        <f t="shared" si="124"/>
        <v>1.5707963267948966</v>
      </c>
      <c r="AJ160" s="32" t="str">
        <f t="shared" si="110"/>
        <v>1+0.000427069937956663i</v>
      </c>
      <c r="AK160" s="32">
        <f t="shared" si="125"/>
        <v>1.0000000911943618</v>
      </c>
      <c r="AL160" s="32">
        <f t="shared" si="126"/>
        <v>4.270699119924177E-4</v>
      </c>
      <c r="AM160" s="32" t="str">
        <f t="shared" si="111"/>
        <v>1+0.0431340637336229i</v>
      </c>
      <c r="AN160" s="32">
        <f t="shared" si="127"/>
        <v>1.0009298414245507</v>
      </c>
      <c r="AO160" s="32">
        <f t="shared" si="128"/>
        <v>4.3107342566063682E-2</v>
      </c>
      <c r="AP160" s="60" t="str">
        <f t="shared" si="129"/>
        <v>-0.430139095670657+10.0720509955269i</v>
      </c>
      <c r="AQ160" s="51">
        <f t="shared" si="130"/>
        <v>20.070271855316825</v>
      </c>
      <c r="AR160" s="63">
        <f t="shared" si="131"/>
        <v>92.445399491545899</v>
      </c>
      <c r="AS160" s="60" t="str">
        <f t="shared" si="132"/>
        <v>452.24942177046+204.262356557094i</v>
      </c>
      <c r="AT160" s="66">
        <f t="shared" si="133"/>
        <v>53.913809124141004</v>
      </c>
      <c r="AU160" s="63">
        <f t="shared" si="134"/>
        <v>24.306725592767048</v>
      </c>
      <c r="AX160" s="32">
        <f t="shared" si="135"/>
        <v>0</v>
      </c>
      <c r="AY160" s="32">
        <f t="shared" si="136"/>
        <v>0</v>
      </c>
    </row>
    <row r="161" spans="14:51" x14ac:dyDescent="0.3">
      <c r="N161" s="11">
        <v>43</v>
      </c>
      <c r="O161" s="52">
        <f t="shared" si="102"/>
        <v>269.15348039269179</v>
      </c>
      <c r="P161" s="50" t="str">
        <f t="shared" si="103"/>
        <v>131.578947368421</v>
      </c>
      <c r="Q161" s="18" t="str">
        <f t="shared" si="104"/>
        <v>1+2.53671179006941i</v>
      </c>
      <c r="R161" s="18">
        <f t="shared" si="112"/>
        <v>2.726702533441657</v>
      </c>
      <c r="S161" s="18">
        <f t="shared" si="113"/>
        <v>1.1952903020110566</v>
      </c>
      <c r="T161" s="18" t="str">
        <f t="shared" si="105"/>
        <v>1+5.58076593815271E-06i</v>
      </c>
      <c r="U161" s="18">
        <f t="shared" si="114"/>
        <v>1.0000000000155724</v>
      </c>
      <c r="V161" s="18">
        <f t="shared" si="115"/>
        <v>5.5807659380947719E-6</v>
      </c>
      <c r="W161" s="32" t="str">
        <f t="shared" si="106"/>
        <v>1-0.00135291295470369i</v>
      </c>
      <c r="X161" s="18">
        <f t="shared" si="116"/>
        <v>1.0000009151863127</v>
      </c>
      <c r="Y161" s="18">
        <f t="shared" si="117"/>
        <v>-1.3529121292592732E-3</v>
      </c>
      <c r="Z161" s="32" t="str">
        <f t="shared" si="107"/>
        <v>0.999999953636099+0.000572614474249587i</v>
      </c>
      <c r="AA161" s="18">
        <f t="shared" si="118"/>
        <v>1.000000117579761</v>
      </c>
      <c r="AB161" s="18">
        <f t="shared" si="119"/>
        <v>5.7261443821388786E-4</v>
      </c>
      <c r="AC161" s="68" t="str">
        <f t="shared" si="120"/>
        <v>17.6112464424593-44.9272809822701i</v>
      </c>
      <c r="AD161" s="66">
        <f t="shared" si="121"/>
        <v>33.67097984932186</v>
      </c>
      <c r="AE161" s="63">
        <f t="shared" si="122"/>
        <v>-68.595094389472976</v>
      </c>
      <c r="AF161" s="32" t="str">
        <f t="shared" si="108"/>
        <v>-0.434440565864413</v>
      </c>
      <c r="AG161" s="32" t="str">
        <f t="shared" si="109"/>
        <v>0.0441387851472079i</v>
      </c>
      <c r="AH161" s="32">
        <f t="shared" si="123"/>
        <v>4.4138785147207898E-2</v>
      </c>
      <c r="AI161" s="32">
        <f t="shared" si="124"/>
        <v>1.5707963267948966</v>
      </c>
      <c r="AJ161" s="32" t="str">
        <f t="shared" si="110"/>
        <v>1+0.00043701767472483i</v>
      </c>
      <c r="AK161" s="32">
        <f t="shared" si="125"/>
        <v>1.0000000954922195</v>
      </c>
      <c r="AL161" s="32">
        <f t="shared" si="126"/>
        <v>4.3701764690364002E-4</v>
      </c>
      <c r="AM161" s="32" t="str">
        <f t="shared" si="111"/>
        <v>1+0.0441387851472079i</v>
      </c>
      <c r="AN161" s="32">
        <f t="shared" si="127"/>
        <v>1.000973642187581</v>
      </c>
      <c r="AO161" s="32">
        <f t="shared" si="128"/>
        <v>4.4110154404266737E-2</v>
      </c>
      <c r="AP161" s="60" t="str">
        <f t="shared" si="129"/>
        <v>-0.430139091973304+9.84279158461338i</v>
      </c>
      <c r="AQ161" s="51">
        <f t="shared" si="130"/>
        <v>19.870651904835352</v>
      </c>
      <c r="AR161" s="63">
        <f t="shared" si="131"/>
        <v>92.502286414294559</v>
      </c>
      <c r="AS161" s="60" t="str">
        <f t="shared" si="132"/>
        <v>434.634577618571+192.668808124934i</v>
      </c>
      <c r="AT161" s="66">
        <f t="shared" si="133"/>
        <v>53.541631754157208</v>
      </c>
      <c r="AU161" s="63">
        <f t="shared" si="134"/>
        <v>23.907192024821615</v>
      </c>
      <c r="AX161" s="32">
        <f t="shared" si="135"/>
        <v>0</v>
      </c>
      <c r="AY161" s="32">
        <f t="shared" si="136"/>
        <v>0</v>
      </c>
    </row>
    <row r="162" spans="14:51" x14ac:dyDescent="0.3">
      <c r="N162" s="11">
        <v>44</v>
      </c>
      <c r="O162" s="52">
        <f t="shared" si="102"/>
        <v>275.42287033381683</v>
      </c>
      <c r="P162" s="50" t="str">
        <f t="shared" si="103"/>
        <v>131.578947368421</v>
      </c>
      <c r="Q162" s="18" t="str">
        <f t="shared" si="104"/>
        <v>1+2.595799398214i</v>
      </c>
      <c r="R162" s="18">
        <f t="shared" si="112"/>
        <v>2.7817574509234557</v>
      </c>
      <c r="S162" s="18">
        <f t="shared" si="113"/>
        <v>1.2030804154368002</v>
      </c>
      <c r="T162" s="18" t="str">
        <f t="shared" si="105"/>
        <v>1+5.71075867607081E-06i</v>
      </c>
      <c r="U162" s="18">
        <f t="shared" si="114"/>
        <v>1.0000000000163065</v>
      </c>
      <c r="V162" s="18">
        <f t="shared" si="115"/>
        <v>5.7107586760087287E-6</v>
      </c>
      <c r="W162" s="32" t="str">
        <f t="shared" si="106"/>
        <v>1-0.00138442634571414i</v>
      </c>
      <c r="X162" s="18">
        <f t="shared" si="116"/>
        <v>1.0000009583176943</v>
      </c>
      <c r="Y162" s="18">
        <f t="shared" si="117"/>
        <v>-1.3844254612345578E-3</v>
      </c>
      <c r="Z162" s="32" t="str">
        <f t="shared" si="107"/>
        <v>0.999999951451035+0.000585952378778132i</v>
      </c>
      <c r="AA162" s="18">
        <f t="shared" si="118"/>
        <v>1.0000001231211237</v>
      </c>
      <c r="AB162" s="18">
        <f t="shared" si="119"/>
        <v>5.8595234016518513E-4</v>
      </c>
      <c r="AC162" s="68" t="str">
        <f t="shared" si="120"/>
        <v>16.9171379999581-44.1720055108114i</v>
      </c>
      <c r="AD162" s="66">
        <f t="shared" si="121"/>
        <v>33.497350209397723</v>
      </c>
      <c r="AE162" s="63">
        <f t="shared" si="122"/>
        <v>-69.043997349070878</v>
      </c>
      <c r="AF162" s="32" t="str">
        <f t="shared" si="108"/>
        <v>-0.434440565864413</v>
      </c>
      <c r="AG162" s="32" t="str">
        <f t="shared" si="109"/>
        <v>0.0451669095289237i</v>
      </c>
      <c r="AH162" s="32">
        <f t="shared" si="123"/>
        <v>4.5166909528923702E-2</v>
      </c>
      <c r="AI162" s="32">
        <f t="shared" si="124"/>
        <v>1.5707963267948966</v>
      </c>
      <c r="AJ162" s="32" t="str">
        <f t="shared" si="110"/>
        <v>1+0.00044719712404875i</v>
      </c>
      <c r="AK162" s="32">
        <f t="shared" si="125"/>
        <v>1.0000000999926288</v>
      </c>
      <c r="AL162" s="32">
        <f t="shared" si="126"/>
        <v>4.4719709423780802E-4</v>
      </c>
      <c r="AM162" s="32" t="str">
        <f t="shared" si="111"/>
        <v>1+0.0451669095289237i</v>
      </c>
      <c r="AN162" s="32">
        <f t="shared" si="127"/>
        <v>1.0010195051628086</v>
      </c>
      <c r="AO162" s="32">
        <f t="shared" si="128"/>
        <v>4.5136232822390529E-2</v>
      </c>
      <c r="AP162" s="60" t="str">
        <f t="shared" si="129"/>
        <v>-0.4301390881017+9.61875095208263i</v>
      </c>
      <c r="AQ162" s="51">
        <f t="shared" si="130"/>
        <v>19.671049829886073</v>
      </c>
      <c r="AR162" s="63">
        <f t="shared" si="131"/>
        <v>92.560493137732493</v>
      </c>
      <c r="AS162" s="60" t="str">
        <f t="shared" si="132"/>
        <v>417.602797749924+181.721843413654i</v>
      </c>
      <c r="AT162" s="66">
        <f t="shared" si="133"/>
        <v>53.168400039283796</v>
      </c>
      <c r="AU162" s="63">
        <f t="shared" si="134"/>
        <v>23.516495788661615</v>
      </c>
      <c r="AX162" s="32">
        <f t="shared" si="135"/>
        <v>0</v>
      </c>
      <c r="AY162" s="32">
        <f t="shared" si="136"/>
        <v>0</v>
      </c>
    </row>
    <row r="163" spans="14:51" x14ac:dyDescent="0.3">
      <c r="N163" s="11">
        <v>45</v>
      </c>
      <c r="O163" s="52">
        <f t="shared" si="102"/>
        <v>281.83829312644554</v>
      </c>
      <c r="P163" s="50" t="str">
        <f t="shared" si="103"/>
        <v>131.578947368421</v>
      </c>
      <c r="Q163" s="18" t="str">
        <f t="shared" si="104"/>
        <v>1+2.65626333355899i</v>
      </c>
      <c r="R163" s="18">
        <f t="shared" si="112"/>
        <v>2.8382626547255838</v>
      </c>
      <c r="S163" s="18">
        <f t="shared" si="113"/>
        <v>1.2107386526146986</v>
      </c>
      <c r="T163" s="18" t="str">
        <f t="shared" si="105"/>
        <v>1+5.84377933382978E-06i</v>
      </c>
      <c r="U163" s="18">
        <f t="shared" si="114"/>
        <v>1.0000000000170748</v>
      </c>
      <c r="V163" s="18">
        <f t="shared" si="115"/>
        <v>5.843779333763259E-6</v>
      </c>
      <c r="W163" s="32" t="str">
        <f t="shared" si="106"/>
        <v>1-0.00141667377789813i</v>
      </c>
      <c r="X163" s="18">
        <f t="shared" si="116"/>
        <v>1.000001003481793</v>
      </c>
      <c r="Y163" s="18">
        <f t="shared" si="117"/>
        <v>-1.4166728301612339E-3</v>
      </c>
      <c r="Z163" s="32" t="str">
        <f t="shared" si="107"/>
        <v>0.999999949162993+0.0005996009630139i</v>
      </c>
      <c r="AA163" s="18">
        <f t="shared" si="118"/>
        <v>1.0000001289236433</v>
      </c>
      <c r="AB163" s="18">
        <f t="shared" si="119"/>
        <v>5.9960092163938226E-4</v>
      </c>
      <c r="AC163" s="68" t="str">
        <f t="shared" si="120"/>
        <v>16.2463308480132-43.4190632491349i</v>
      </c>
      <c r="AD163" s="66">
        <f t="shared" si="121"/>
        <v>33.32268409318015</v>
      </c>
      <c r="AE163" s="63">
        <f t="shared" si="122"/>
        <v>-69.485404040607179</v>
      </c>
      <c r="AF163" s="32" t="str">
        <f t="shared" si="108"/>
        <v>-0.434440565864413</v>
      </c>
      <c r="AG163" s="32" t="str">
        <f t="shared" si="109"/>
        <v>0.0462189820039265i</v>
      </c>
      <c r="AH163" s="32">
        <f t="shared" si="123"/>
        <v>4.6218982003926497E-2</v>
      </c>
      <c r="AI163" s="32">
        <f t="shared" si="124"/>
        <v>1.5707963267948966</v>
      </c>
      <c r="AJ163" s="32" t="str">
        <f t="shared" si="110"/>
        <v>1+0.000457613683207193i</v>
      </c>
      <c r="AK163" s="32">
        <f t="shared" si="125"/>
        <v>1.0000001047051361</v>
      </c>
      <c r="AL163" s="32">
        <f t="shared" si="126"/>
        <v>4.576136512641934E-4</v>
      </c>
      <c r="AM163" s="32" t="str">
        <f t="shared" si="111"/>
        <v>1+0.0462189820039265i</v>
      </c>
      <c r="AN163" s="32">
        <f t="shared" si="127"/>
        <v>1.0010675273414273</v>
      </c>
      <c r="AO163" s="32">
        <f t="shared" si="128"/>
        <v>4.618611321352882E-2</v>
      </c>
      <c r="AP163" s="60" t="str">
        <f t="shared" si="129"/>
        <v>-0.430139084047634+9.3998103086257i</v>
      </c>
      <c r="AQ163" s="51">
        <f t="shared" si="130"/>
        <v>19.471466469484557</v>
      </c>
      <c r="AR163" s="63">
        <f t="shared" si="131"/>
        <v>92.620050028383602</v>
      </c>
      <c r="AS163" s="60" t="str">
        <f t="shared" si="132"/>
        <v>401.14277644999+171.388664278687i</v>
      </c>
      <c r="AT163" s="66">
        <f t="shared" si="133"/>
        <v>52.794150562664697</v>
      </c>
      <c r="AU163" s="63">
        <f t="shared" si="134"/>
        <v>23.134645987776395</v>
      </c>
      <c r="AX163" s="32">
        <f t="shared" si="135"/>
        <v>0</v>
      </c>
      <c r="AY163" s="32">
        <f t="shared" si="136"/>
        <v>0</v>
      </c>
    </row>
    <row r="164" spans="14:51" x14ac:dyDescent="0.3">
      <c r="N164" s="11">
        <v>46</v>
      </c>
      <c r="O164" s="52">
        <f t="shared" si="102"/>
        <v>288.40315031266073</v>
      </c>
      <c r="P164" s="50" t="str">
        <f t="shared" si="103"/>
        <v>131.578947368421</v>
      </c>
      <c r="Q164" s="18" t="str">
        <f t="shared" si="104"/>
        <v>1+2.71813565488323i</v>
      </c>
      <c r="R164" s="18">
        <f t="shared" si="112"/>
        <v>2.8962495469740666</v>
      </c>
      <c r="S164" s="18">
        <f t="shared" si="113"/>
        <v>1.2182654798745918</v>
      </c>
      <c r="T164" s="18" t="str">
        <f t="shared" si="105"/>
        <v>1+5.97989844074311E-06i</v>
      </c>
      <c r="U164" s="18">
        <f t="shared" si="114"/>
        <v>1.0000000000178795</v>
      </c>
      <c r="V164" s="18">
        <f t="shared" si="115"/>
        <v>5.9798984406718314E-6</v>
      </c>
      <c r="W164" s="32" t="str">
        <f t="shared" si="106"/>
        <v>1-0.00144967234927106i</v>
      </c>
      <c r="X164" s="18">
        <f t="shared" si="116"/>
        <v>1.0000010507744082</v>
      </c>
      <c r="Y164" s="18">
        <f t="shared" si="117"/>
        <v>-1.4496713337527371E-3</v>
      </c>
      <c r="Z164" s="32" t="str">
        <f t="shared" si="107"/>
        <v>0.999999946767119+0.000613567463616916i</v>
      </c>
      <c r="AA164" s="18">
        <f t="shared" si="118"/>
        <v>1.0000001349996275</v>
      </c>
      <c r="AB164" s="18">
        <f t="shared" si="119"/>
        <v>6.1356741928332158E-4</v>
      </c>
      <c r="AC164" s="68" t="str">
        <f t="shared" si="120"/>
        <v>15.5983469017125-42.6691148822894i</v>
      </c>
      <c r="AD164" s="66">
        <f t="shared" si="121"/>
        <v>33.147016531523285</v>
      </c>
      <c r="AE164" s="63">
        <f t="shared" si="122"/>
        <v>-69.91934257302826</v>
      </c>
      <c r="AF164" s="32" t="str">
        <f t="shared" si="108"/>
        <v>-0.434440565864413</v>
      </c>
      <c r="AG164" s="32" t="str">
        <f t="shared" si="109"/>
        <v>0.0472955603949682i</v>
      </c>
      <c r="AH164" s="32">
        <f t="shared" si="123"/>
        <v>4.7295560394968197E-2</v>
      </c>
      <c r="AI164" s="32">
        <f t="shared" si="124"/>
        <v>1.5707963267948966</v>
      </c>
      <c r="AJ164" s="32" t="str">
        <f t="shared" si="110"/>
        <v>1+0.000468272875197705i</v>
      </c>
      <c r="AK164" s="32">
        <f t="shared" si="125"/>
        <v>1.0000001096397368</v>
      </c>
      <c r="AL164" s="32">
        <f t="shared" si="126"/>
        <v>4.6827284097016443E-4</v>
      </c>
      <c r="AM164" s="32" t="str">
        <f t="shared" si="111"/>
        <v>1+0.0472955603949682i</v>
      </c>
      <c r="AN164" s="32">
        <f t="shared" si="127"/>
        <v>1.0011178102666409</v>
      </c>
      <c r="AO164" s="32">
        <f t="shared" si="128"/>
        <v>4.7260342975058545E-2</v>
      </c>
      <c r="AP164" s="60" t="str">
        <f t="shared" si="129"/>
        <v>-0.430139079802505+9.18585356901548i</v>
      </c>
      <c r="AQ164" s="51">
        <f t="shared" si="130"/>
        <v>19.271902701858014</v>
      </c>
      <c r="AR164" s="63">
        <f t="shared" si="131"/>
        <v>92.680988133363414</v>
      </c>
      <c r="AS164" s="60" t="str">
        <f t="shared" si="132"/>
        <v>385.242782645467+161.637784369293i</v>
      </c>
      <c r="AT164" s="66">
        <f t="shared" si="133"/>
        <v>52.41891923338131</v>
      </c>
      <c r="AU164" s="63">
        <f t="shared" si="134"/>
        <v>22.7616455603352</v>
      </c>
      <c r="AX164" s="32">
        <f t="shared" si="135"/>
        <v>0</v>
      </c>
      <c r="AY164" s="32">
        <f t="shared" si="136"/>
        <v>0</v>
      </c>
    </row>
    <row r="165" spans="14:51" x14ac:dyDescent="0.3">
      <c r="N165" s="11">
        <v>47</v>
      </c>
      <c r="O165" s="52">
        <f t="shared" si="102"/>
        <v>295.12092266663871</v>
      </c>
      <c r="P165" s="50" t="str">
        <f t="shared" si="103"/>
        <v>131.578947368421</v>
      </c>
      <c r="Q165" s="18" t="str">
        <f t="shared" si="104"/>
        <v>1+2.78144916771046i</v>
      </c>
      <c r="R165" s="18">
        <f t="shared" si="112"/>
        <v>2.9557502385278109</v>
      </c>
      <c r="S165" s="18">
        <f t="shared" si="113"/>
        <v>1.2256614757005067</v>
      </c>
      <c r="T165" s="18" t="str">
        <f t="shared" si="105"/>
        <v>1+6.11918816896302E-06i</v>
      </c>
      <c r="U165" s="18">
        <f t="shared" si="114"/>
        <v>1.0000000000187224</v>
      </c>
      <c r="V165" s="18">
        <f t="shared" si="115"/>
        <v>6.1191881688866428E-6</v>
      </c>
      <c r="W165" s="32" t="str">
        <f t="shared" si="106"/>
        <v>1-0.00148343955611225i</v>
      </c>
      <c r="X165" s="18">
        <f t="shared" si="116"/>
        <v>1.0000011002958529</v>
      </c>
      <c r="Y165" s="18">
        <f t="shared" si="117"/>
        <v>-1.4834384679648269E-3</v>
      </c>
      <c r="Z165" s="32" t="str">
        <f t="shared" si="107"/>
        <v>0.99999994425833+0.000627859285810666i</v>
      </c>
      <c r="AA165" s="18">
        <f t="shared" si="118"/>
        <v>1.0000001413619632</v>
      </c>
      <c r="AB165" s="18">
        <f t="shared" si="119"/>
        <v>6.2785923830636448E-4</v>
      </c>
      <c r="AC165" s="68" t="str">
        <f t="shared" si="120"/>
        <v>14.9726933050618-41.9227825662114i</v>
      </c>
      <c r="AD165" s="66">
        <f t="shared" si="121"/>
        <v>32.970381817641801</v>
      </c>
      <c r="AE165" s="63">
        <f t="shared" si="122"/>
        <v>-70.345847513624236</v>
      </c>
      <c r="AF165" s="32" t="str">
        <f t="shared" si="108"/>
        <v>-0.434440565864413</v>
      </c>
      <c r="AG165" s="32" t="str">
        <f t="shared" si="109"/>
        <v>0.0483972155181621i</v>
      </c>
      <c r="AH165" s="32">
        <f t="shared" si="123"/>
        <v>4.8397215518162097E-2</v>
      </c>
      <c r="AI165" s="32">
        <f t="shared" si="124"/>
        <v>1.5707963267948966</v>
      </c>
      <c r="AJ165" s="32" t="str">
        <f t="shared" si="110"/>
        <v>1+0.000479180351664972i</v>
      </c>
      <c r="AK165" s="32">
        <f t="shared" si="125"/>
        <v>1.0000001148068982</v>
      </c>
      <c r="AL165" s="32">
        <f t="shared" si="126"/>
        <v>4.7918031498950172E-4</v>
      </c>
      <c r="AM165" s="32" t="str">
        <f t="shared" si="111"/>
        <v>1+0.0483972155181621i</v>
      </c>
      <c r="AN165" s="32">
        <f t="shared" si="127"/>
        <v>1.0011704602463616</v>
      </c>
      <c r="AO165" s="32">
        <f t="shared" si="128"/>
        <v>4.8359481755150716E-2</v>
      </c>
      <c r="AP165" s="60" t="str">
        <f t="shared" si="129"/>
        <v>-0.43013907535731+8.97676729055653i</v>
      </c>
      <c r="AQ165" s="51">
        <f t="shared" si="130"/>
        <v>19.072359446261341</v>
      </c>
      <c r="AR165" s="63">
        <f t="shared" si="131"/>
        <v>92.743339194335391</v>
      </c>
      <c r="AS165" s="60" t="str">
        <f t="shared" si="132"/>
        <v>369.890722815632+152.439010441849i</v>
      </c>
      <c r="AT165" s="66">
        <f t="shared" si="133"/>
        <v>52.042741263903132</v>
      </c>
      <c r="AU165" s="63">
        <f t="shared" si="134"/>
        <v>22.397491680711152</v>
      </c>
      <c r="AX165" s="32">
        <f t="shared" si="135"/>
        <v>0</v>
      </c>
      <c r="AY165" s="32">
        <f t="shared" si="136"/>
        <v>0</v>
      </c>
    </row>
    <row r="166" spans="14:51" x14ac:dyDescent="0.3">
      <c r="N166" s="11">
        <v>48</v>
      </c>
      <c r="O166" s="52">
        <f t="shared" si="102"/>
        <v>301.99517204020168</v>
      </c>
      <c r="P166" s="50" t="str">
        <f t="shared" si="103"/>
        <v>131.578947368421</v>
      </c>
      <c r="Q166" s="18" t="str">
        <f t="shared" si="104"/>
        <v>1+2.84623744170325i</v>
      </c>
      <c r="R166" s="18">
        <f t="shared" si="112"/>
        <v>3.0167975693694564</v>
      </c>
      <c r="S166" s="18">
        <f t="shared" si="113"/>
        <v>1.2329273240412928</v>
      </c>
      <c r="T166" s="18" t="str">
        <f t="shared" si="105"/>
        <v>1+6.26172237174716E-06i</v>
      </c>
      <c r="U166" s="18">
        <f t="shared" si="114"/>
        <v>1.0000000000196045</v>
      </c>
      <c r="V166" s="18">
        <f t="shared" si="115"/>
        <v>6.2617223716653211E-6</v>
      </c>
      <c r="W166" s="32" t="str">
        <f t="shared" si="106"/>
        <v>1-0.00151799330224174i</v>
      </c>
      <c r="X166" s="18">
        <f t="shared" si="116"/>
        <v>1.0000011521511691</v>
      </c>
      <c r="Y166" s="18">
        <f t="shared" si="117"/>
        <v>-1.5179921362708417E-3</v>
      </c>
      <c r="Z166" s="32" t="str">
        <f t="shared" si="107"/>
        <v>0.999999941631306+0.000642484007308454i</v>
      </c>
      <c r="AA166" s="18">
        <f t="shared" si="118"/>
        <v>1.0000001480241465</v>
      </c>
      <c r="AB166" s="18">
        <f t="shared" si="119"/>
        <v>6.4248395640667815E-4</v>
      </c>
      <c r="AC166" s="68" t="str">
        <f t="shared" si="120"/>
        <v>14.3688648651005-41.1806504984678i</v>
      </c>
      <c r="AD166" s="66">
        <f t="shared" si="121"/>
        <v>32.792813486543075</v>
      </c>
      <c r="AE166" s="63">
        <f t="shared" si="122"/>
        <v>-70.764959505509566</v>
      </c>
      <c r="AF166" s="32" t="str">
        <f t="shared" si="108"/>
        <v>-0.434440565864413</v>
      </c>
      <c r="AG166" s="32" t="str">
        <f t="shared" si="109"/>
        <v>0.0495245314856367i</v>
      </c>
      <c r="AH166" s="32">
        <f t="shared" si="123"/>
        <v>4.9524531485636701E-2</v>
      </c>
      <c r="AI166" s="32">
        <f t="shared" si="124"/>
        <v>1.5707963267948966</v>
      </c>
      <c r="AJ166" s="32" t="str">
        <f t="shared" si="110"/>
        <v>1+0.000490341895897393i</v>
      </c>
      <c r="AK166" s="32">
        <f t="shared" si="125"/>
        <v>1.0000001202175801</v>
      </c>
      <c r="AL166" s="32">
        <f t="shared" si="126"/>
        <v>4.9034185659891879E-4</v>
      </c>
      <c r="AM166" s="32" t="str">
        <f t="shared" si="111"/>
        <v>1+0.0495245314856367i</v>
      </c>
      <c r="AN166" s="32">
        <f t="shared" si="127"/>
        <v>1.0012255885757573</v>
      </c>
      <c r="AO166" s="32">
        <f t="shared" si="128"/>
        <v>4.9484101702686946E-2</v>
      </c>
      <c r="AP166" s="60" t="str">
        <f t="shared" si="129"/>
        <v>-0.430139070702619+8.77244061293636i</v>
      </c>
      <c r="AQ166" s="51">
        <f t="shared" si="130"/>
        <v>18.872837664876066</v>
      </c>
      <c r="AR166" s="63">
        <f t="shared" si="131"/>
        <v>92.807135661658364</v>
      </c>
      <c r="AS166" s="60" t="str">
        <f t="shared" si="132"/>
        <v>355.074200719771+143.763420440742i</v>
      </c>
      <c r="AT166" s="66">
        <f t="shared" si="133"/>
        <v>51.665651151419134</v>
      </c>
      <c r="AU166" s="63">
        <f t="shared" si="134"/>
        <v>22.042176156148766</v>
      </c>
      <c r="AX166" s="32">
        <f t="shared" si="135"/>
        <v>0</v>
      </c>
      <c r="AY166" s="32">
        <f t="shared" si="136"/>
        <v>0</v>
      </c>
    </row>
    <row r="167" spans="14:51" x14ac:dyDescent="0.3">
      <c r="N167" s="11">
        <v>49</v>
      </c>
      <c r="O167" s="52">
        <f t="shared" si="102"/>
        <v>309.02954325135937</v>
      </c>
      <c r="P167" s="50" t="str">
        <f t="shared" si="103"/>
        <v>131.578947368421</v>
      </c>
      <c r="Q167" s="18" t="str">
        <f t="shared" si="104"/>
        <v>1+2.91253482846204i</v>
      </c>
      <c r="R167" s="18">
        <f t="shared" si="112"/>
        <v>3.0794251293065082</v>
      </c>
      <c r="S167" s="18">
        <f t="shared" si="113"/>
        <v>1.2400638077320743</v>
      </c>
      <c r="T167" s="18" t="str">
        <f t="shared" si="105"/>
        <v>1+6.40757662261649E-06i</v>
      </c>
      <c r="U167" s="18">
        <f t="shared" si="114"/>
        <v>1.0000000000205285</v>
      </c>
      <c r="V167" s="18">
        <f t="shared" si="115"/>
        <v>6.407576622528798E-6</v>
      </c>
      <c r="W167" s="32" t="str">
        <f t="shared" si="106"/>
        <v>1-0.00155335190851309i</v>
      </c>
      <c r="X167" s="18">
        <f t="shared" si="116"/>
        <v>1.0000012064503481</v>
      </c>
      <c r="Y167" s="18">
        <f t="shared" si="117"/>
        <v>-1.5533506591528445E-3</v>
      </c>
      <c r="Z167" s="32" t="str">
        <f t="shared" si="107"/>
        <v>0.999999938880474+0.000657449382331197i</v>
      </c>
      <c r="AA167" s="18">
        <f t="shared" si="118"/>
        <v>1.000000155000309</v>
      </c>
      <c r="AB167" s="18">
        <f t="shared" si="119"/>
        <v>6.5744932778896226E-4</v>
      </c>
      <c r="AC167" s="68" t="str">
        <f t="shared" si="120"/>
        <v>13.7863463526964-40.443265612476i</v>
      </c>
      <c r="AD167" s="66">
        <f t="shared" si="121"/>
        <v>32.614344298055236</v>
      </c>
      <c r="AE167" s="63">
        <f t="shared" si="122"/>
        <v>-71.176724891472219</v>
      </c>
      <c r="AF167" s="32" t="str">
        <f t="shared" si="108"/>
        <v>-0.434440565864413</v>
      </c>
      <c r="AG167" s="32" t="str">
        <f t="shared" si="109"/>
        <v>0.0506781060152395i</v>
      </c>
      <c r="AH167" s="32">
        <f t="shared" si="123"/>
        <v>5.0678106015239498E-2</v>
      </c>
      <c r="AI167" s="32">
        <f t="shared" si="124"/>
        <v>1.5707963267948966</v>
      </c>
      <c r="AJ167" s="32" t="str">
        <f t="shared" si="110"/>
        <v>1+0.000501763425893461i</v>
      </c>
      <c r="AK167" s="32">
        <f t="shared" si="125"/>
        <v>1.0000001258832598</v>
      </c>
      <c r="AL167" s="32">
        <f t="shared" si="126"/>
        <v>5.0176338378438764E-4</v>
      </c>
      <c r="AM167" s="32" t="str">
        <f t="shared" si="111"/>
        <v>1+0.0506781060152395i</v>
      </c>
      <c r="AN167" s="32">
        <f t="shared" si="127"/>
        <v>1.0012833117700963</v>
      </c>
      <c r="AO167" s="32">
        <f t="shared" si="128"/>
        <v>5.0634787720499168E-2</v>
      </c>
      <c r="AP167" s="60" t="str">
        <f t="shared" si="129"/>
        <v>-0.430139065828559+8.57276519944594i</v>
      </c>
      <c r="AQ167" s="51">
        <f t="shared" si="130"/>
        <v>18.673338364795494</v>
      </c>
      <c r="AR167" s="63">
        <f t="shared" si="131"/>
        <v>92.872410708720395</v>
      </c>
      <c r="AS167" s="60" t="str">
        <f t="shared" si="132"/>
        <v>340.780573853245+135.583338729511i</v>
      </c>
      <c r="AT167" s="66">
        <f t="shared" si="133"/>
        <v>51.287682662850727</v>
      </c>
      <c r="AU167" s="63">
        <f t="shared" si="134"/>
        <v>21.695685817248204</v>
      </c>
      <c r="AX167" s="32">
        <f t="shared" si="135"/>
        <v>0</v>
      </c>
      <c r="AY167" s="32">
        <f t="shared" si="136"/>
        <v>0</v>
      </c>
    </row>
    <row r="168" spans="14:51" x14ac:dyDescent="0.3">
      <c r="N168" s="11">
        <v>50</v>
      </c>
      <c r="O168" s="52">
        <f t="shared" si="102"/>
        <v>316.22776601683825</v>
      </c>
      <c r="P168" s="50" t="str">
        <f t="shared" si="103"/>
        <v>131.578947368421</v>
      </c>
      <c r="Q168" s="18" t="str">
        <f t="shared" si="104"/>
        <v>1+2.98037647973883i</v>
      </c>
      <c r="R168" s="18">
        <f t="shared" si="112"/>
        <v>3.1436672789880964</v>
      </c>
      <c r="S168" s="18">
        <f t="shared" si="113"/>
        <v>1.2470718020467888</v>
      </c>
      <c r="T168" s="18" t="str">
        <f t="shared" si="105"/>
        <v>1+6.55682825542543E-06i</v>
      </c>
      <c r="U168" s="18">
        <f t="shared" si="114"/>
        <v>1.0000000000214961</v>
      </c>
      <c r="V168" s="18">
        <f t="shared" si="115"/>
        <v>6.5568282553314662E-6</v>
      </c>
      <c r="W168" s="32" t="str">
        <f t="shared" si="106"/>
        <v>1-0.00158953412252738i</v>
      </c>
      <c r="X168" s="18">
        <f t="shared" si="116"/>
        <v>1.0000012633085653</v>
      </c>
      <c r="Y168" s="18">
        <f t="shared" si="117"/>
        <v>-1.5895327838138492E-3</v>
      </c>
      <c r="Z168" s="32" t="str">
        <f t="shared" si="107"/>
        <v>0.999999936+0.000672763345718823i</v>
      </c>
      <c r="AA168" s="18">
        <f t="shared" si="118"/>
        <v>1.0000001623052486</v>
      </c>
      <c r="AB168" s="18">
        <f t="shared" si="119"/>
        <v>6.7276328727576551E-4</v>
      </c>
      <c r="AC168" s="68" t="str">
        <f t="shared" si="120"/>
        <v>13.2246146679027-39.7111383800179i</v>
      </c>
      <c r="AD168" s="66">
        <f t="shared" si="121"/>
        <v>32.435006223247072</v>
      </c>
      <c r="AE168" s="63">
        <f t="shared" si="122"/>
        <v>-71.581195345351546</v>
      </c>
      <c r="AF168" s="32" t="str">
        <f t="shared" si="108"/>
        <v>-0.434440565864413</v>
      </c>
      <c r="AG168" s="32" t="str">
        <f t="shared" si="109"/>
        <v>0.0518585507474557i</v>
      </c>
      <c r="AH168" s="32">
        <f t="shared" si="123"/>
        <v>5.1858550747455698E-2</v>
      </c>
      <c r="AI168" s="32">
        <f t="shared" si="124"/>
        <v>1.5707963267948966</v>
      </c>
      <c r="AJ168" s="32" t="str">
        <f t="shared" si="110"/>
        <v>1+0.000513450997499561i</v>
      </c>
      <c r="AK168" s="32">
        <f t="shared" si="125"/>
        <v>1.0000001318159546</v>
      </c>
      <c r="AL168" s="32">
        <f t="shared" si="126"/>
        <v>5.1345095237887621E-4</v>
      </c>
      <c r="AM168" s="32" t="str">
        <f t="shared" si="111"/>
        <v>1+0.0518585507474557i</v>
      </c>
      <c r="AN168" s="32">
        <f t="shared" si="127"/>
        <v>1.0013437518083519</v>
      </c>
      <c r="AO168" s="32">
        <f t="shared" si="128"/>
        <v>5.1812137721836488E-2</v>
      </c>
      <c r="AP168" s="60" t="str">
        <f t="shared" si="129"/>
        <v>-0.430139060724792+8.37763517953798i</v>
      </c>
      <c r="AQ168" s="51">
        <f t="shared" si="130"/>
        <v>18.473862600099505</v>
      </c>
      <c r="AR168" s="63">
        <f t="shared" si="131"/>
        <v>92.939198246453515</v>
      </c>
      <c r="AS168" s="60" t="str">
        <f t="shared" si="132"/>
        <v>326.99700658024+127.872308840749i</v>
      </c>
      <c r="AT168" s="66">
        <f t="shared" si="133"/>
        <v>50.90886882334658</v>
      </c>
      <c r="AU168" s="63">
        <f t="shared" si="134"/>
        <v>21.358002901102012</v>
      </c>
      <c r="AX168" s="32">
        <f t="shared" si="135"/>
        <v>0</v>
      </c>
      <c r="AY168" s="32">
        <f t="shared" si="136"/>
        <v>0</v>
      </c>
    </row>
    <row r="169" spans="14:51" x14ac:dyDescent="0.3">
      <c r="N169" s="11">
        <v>51</v>
      </c>
      <c r="O169" s="52">
        <f t="shared" si="102"/>
        <v>323.59365692962825</v>
      </c>
      <c r="P169" s="50" t="str">
        <f t="shared" si="103"/>
        <v>131.578947368421</v>
      </c>
      <c r="Q169" s="18" t="str">
        <f t="shared" si="104"/>
        <v>1+3.04979836607512i</v>
      </c>
      <c r="R169" s="18">
        <f t="shared" si="112"/>
        <v>3.2095591712436882</v>
      </c>
      <c r="S169" s="18">
        <f t="shared" si="113"/>
        <v>1.2539522683994622</v>
      </c>
      <c r="T169" s="18" t="str">
        <f t="shared" si="105"/>
        <v>1+6.70955640536528E-06i</v>
      </c>
      <c r="U169" s="18">
        <f t="shared" si="114"/>
        <v>1.0000000000225091</v>
      </c>
      <c r="V169" s="18">
        <f t="shared" si="115"/>
        <v>6.7095564052645956E-6</v>
      </c>
      <c r="W169" s="32" t="str">
        <f t="shared" si="106"/>
        <v>1-0.0016265591285734i</v>
      </c>
      <c r="X169" s="18">
        <f t="shared" si="116"/>
        <v>1.0000013228464244</v>
      </c>
      <c r="Y169" s="18">
        <f t="shared" si="117"/>
        <v>-1.6265576941161101E-3</v>
      </c>
      <c r="Z169" s="32" t="str">
        <f t="shared" si="107"/>
        <v>0.999999932983773+0.000688434017137426i</v>
      </c>
      <c r="AA169" s="18">
        <f t="shared" si="118"/>
        <v>1.0000001699544587</v>
      </c>
      <c r="AB169" s="18">
        <f t="shared" si="119"/>
        <v>6.8843395451456213E-4</v>
      </c>
      <c r="AC169" s="68" t="str">
        <f t="shared" si="120"/>
        <v>12.6831408690609-38.9847437075384i</v>
      </c>
      <c r="AD169" s="66">
        <f t="shared" si="121"/>
        <v>32.254830434033188</v>
      </c>
      <c r="AE169" s="63">
        <f t="shared" si="122"/>
        <v>-71.978427511955161</v>
      </c>
      <c r="AF169" s="32" t="str">
        <f t="shared" si="108"/>
        <v>-0.434440565864413</v>
      </c>
      <c r="AG169" s="32" t="str">
        <f t="shared" si="109"/>
        <v>0.0530664915697072i</v>
      </c>
      <c r="AH169" s="32">
        <f t="shared" si="123"/>
        <v>5.3066491569707198E-2</v>
      </c>
      <c r="AI169" s="32">
        <f t="shared" si="124"/>
        <v>1.5707963267948966</v>
      </c>
      <c r="AJ169" s="32" t="str">
        <f t="shared" si="110"/>
        <v>1+0.000525410807620864i</v>
      </c>
      <c r="AK169" s="32">
        <f t="shared" si="125"/>
        <v>1.0000001380282488</v>
      </c>
      <c r="AL169" s="32">
        <f t="shared" si="126"/>
        <v>5.2541075927317951E-4</v>
      </c>
      <c r="AM169" s="32" t="str">
        <f t="shared" si="111"/>
        <v>1+0.0530664915697072i</v>
      </c>
      <c r="AN169" s="32">
        <f t="shared" si="127"/>
        <v>1.0014070363880603</v>
      </c>
      <c r="AO169" s="32">
        <f t="shared" si="128"/>
        <v>5.3016762889945307E-2</v>
      </c>
      <c r="AP169" s="60" t="str">
        <f t="shared" si="129"/>
        <v>-0.430139055380492+8.18694709269313i</v>
      </c>
      <c r="AQ169" s="51">
        <f t="shared" si="130"/>
        <v>18.274411474023402</v>
      </c>
      <c r="AR169" s="63">
        <f t="shared" si="131"/>
        <v>93.00753293802255</v>
      </c>
      <c r="AS169" s="60" t="str">
        <f t="shared" si="132"/>
        <v>313.710519923143+120.605064096787i</v>
      </c>
      <c r="AT169" s="66">
        <f t="shared" si="133"/>
        <v>50.529241908056605</v>
      </c>
      <c r="AU169" s="63">
        <f t="shared" si="134"/>
        <v>21.029105426067414</v>
      </c>
      <c r="AX169" s="32">
        <f t="shared" si="135"/>
        <v>0</v>
      </c>
      <c r="AY169" s="32">
        <f t="shared" si="136"/>
        <v>0</v>
      </c>
    </row>
    <row r="170" spans="14:51" x14ac:dyDescent="0.3">
      <c r="N170" s="11">
        <v>52</v>
      </c>
      <c r="O170" s="52">
        <f t="shared" si="102"/>
        <v>331.13112148259137</v>
      </c>
      <c r="P170" s="50" t="str">
        <f t="shared" si="103"/>
        <v>131.578947368421</v>
      </c>
      <c r="Q170" s="18" t="str">
        <f t="shared" si="104"/>
        <v>1+3.12083729587398i</v>
      </c>
      <c r="R170" s="18">
        <f t="shared" si="112"/>
        <v>3.2771367727511795</v>
      </c>
      <c r="S170" s="18">
        <f t="shared" si="113"/>
        <v>1.2607062482094047</v>
      </c>
      <c r="T170" s="18" t="str">
        <f t="shared" si="105"/>
        <v>1+6.86584205092276E-06i</v>
      </c>
      <c r="U170" s="18">
        <f t="shared" si="114"/>
        <v>1.00000000002357</v>
      </c>
      <c r="V170" s="18">
        <f t="shared" si="115"/>
        <v>6.8658420508148748E-6</v>
      </c>
      <c r="W170" s="32" t="str">
        <f t="shared" si="106"/>
        <v>1-0.00166444655779946i</v>
      </c>
      <c r="X170" s="18">
        <f t="shared" si="116"/>
        <v>1.0000013851902125</v>
      </c>
      <c r="Y170" s="18">
        <f t="shared" si="117"/>
        <v>-1.6644450207508963E-3</v>
      </c>
      <c r="Z170" s="32" t="str">
        <f t="shared" si="107"/>
        <v>0.999999929825395+0.000704469705384419i</v>
      </c>
      <c r="AA170" s="18">
        <f t="shared" si="118"/>
        <v>1.0000001779641645</v>
      </c>
      <c r="AB170" s="18">
        <f t="shared" si="119"/>
        <v>7.0446963828281245E-4</v>
      </c>
      <c r="AC170" s="68" t="str">
        <f t="shared" si="120"/>
        <v>12.1613920659917-38.2645219124694i</v>
      </c>
      <c r="AD170" s="66">
        <f t="shared" si="121"/>
        <v>32.073847295758604</v>
      </c>
      <c r="AE170" s="63">
        <f t="shared" si="122"/>
        <v>-72.368482656388224</v>
      </c>
      <c r="AF170" s="32" t="str">
        <f t="shared" si="108"/>
        <v>-0.434440565864413</v>
      </c>
      <c r="AG170" s="32" t="str">
        <f t="shared" si="109"/>
        <v>0.0543025689482073i</v>
      </c>
      <c r="AH170" s="32">
        <f t="shared" si="123"/>
        <v>5.43025689482073E-2</v>
      </c>
      <c r="AI170" s="32">
        <f t="shared" si="124"/>
        <v>1.5707963267948966</v>
      </c>
      <c r="AJ170" s="32" t="str">
        <f t="shared" si="110"/>
        <v>1+0.000537649197507003i</v>
      </c>
      <c r="AK170" s="32">
        <f t="shared" si="125"/>
        <v>1.0000001445333193</v>
      </c>
      <c r="AL170" s="32">
        <f t="shared" si="126"/>
        <v>5.3764914570152611E-4</v>
      </c>
      <c r="AM170" s="32" t="str">
        <f t="shared" si="111"/>
        <v>1+0.0543025689482073i</v>
      </c>
      <c r="AN170" s="32">
        <f t="shared" si="127"/>
        <v>1.0014732991919328</v>
      </c>
      <c r="AO170" s="32">
        <f t="shared" si="128"/>
        <v>5.4249287940639962E-2</v>
      </c>
      <c r="AP170" s="60" t="str">
        <f t="shared" si="129"/>
        <v>-0.430139049784323+8.0005998335635i</v>
      </c>
      <c r="AQ170" s="51">
        <f t="shared" si="130"/>
        <v>18.074986141224201</v>
      </c>
      <c r="AR170" s="63">
        <f t="shared" si="131"/>
        <v>93.077450213681118</v>
      </c>
      <c r="AS170" s="60" t="str">
        <f t="shared" si="132"/>
        <v>300.908038016969+113.757496434955i</v>
      </c>
      <c r="AT170" s="66">
        <f t="shared" si="133"/>
        <v>50.148833436982798</v>
      </c>
      <c r="AU170" s="63">
        <f t="shared" si="134"/>
        <v>20.708967557292976</v>
      </c>
      <c r="AX170" s="32">
        <f t="shared" si="135"/>
        <v>0</v>
      </c>
      <c r="AY170" s="32">
        <f t="shared" si="136"/>
        <v>0</v>
      </c>
    </row>
    <row r="171" spans="14:51" x14ac:dyDescent="0.3">
      <c r="N171" s="11">
        <v>53</v>
      </c>
      <c r="O171" s="52">
        <f t="shared" si="102"/>
        <v>338.84415613920277</v>
      </c>
      <c r="P171" s="50" t="str">
        <f t="shared" si="103"/>
        <v>131.578947368421</v>
      </c>
      <c r="Q171" s="18" t="str">
        <f t="shared" si="104"/>
        <v>1+3.19353093491625i</v>
      </c>
      <c r="R171" s="18">
        <f t="shared" si="112"/>
        <v>3.3464368860426843</v>
      </c>
      <c r="S171" s="18">
        <f t="shared" si="113"/>
        <v>1.2673348569431666</v>
      </c>
      <c r="T171" s="18" t="str">
        <f t="shared" si="105"/>
        <v>1+7.02576805681575E-06i</v>
      </c>
      <c r="U171" s="18">
        <f t="shared" si="114"/>
        <v>1.0000000000246807</v>
      </c>
      <c r="V171" s="18">
        <f t="shared" si="115"/>
        <v>7.0257680567001497E-6</v>
      </c>
      <c r="W171" s="32" t="str">
        <f t="shared" si="106"/>
        <v>1-0.001703216498622i</v>
      </c>
      <c r="X171" s="18">
        <f t="shared" si="116"/>
        <v>1.0000014504721688</v>
      </c>
      <c r="Y171" s="18">
        <f t="shared" si="117"/>
        <v>-1.7032148516449199E-3</v>
      </c>
      <c r="Z171" s="32" t="str">
        <f t="shared" si="107"/>
        <v>0.999999926518168+0.00072087891279396i</v>
      </c>
      <c r="AA171" s="18">
        <f t="shared" si="118"/>
        <v>1.0000001863513568</v>
      </c>
      <c r="AB171" s="18">
        <f t="shared" si="119"/>
        <v>7.2087884089329368E-4</v>
      </c>
      <c r="AC171" s="68" t="str">
        <f t="shared" si="120"/>
        <v>11.6588331786401-37.5508797666069i</v>
      </c>
      <c r="AD171" s="66">
        <f t="shared" si="121"/>
        <v>31.892086362556029</v>
      </c>
      <c r="AE171" s="63">
        <f t="shared" si="122"/>
        <v>-72.751426323528605</v>
      </c>
      <c r="AF171" s="32" t="str">
        <f t="shared" si="108"/>
        <v>-0.434440565864413</v>
      </c>
      <c r="AG171" s="32" t="str">
        <f t="shared" si="109"/>
        <v>0.0555674382675428i</v>
      </c>
      <c r="AH171" s="32">
        <f t="shared" si="123"/>
        <v>5.5567438267542797E-2</v>
      </c>
      <c r="AI171" s="32">
        <f t="shared" si="124"/>
        <v>1.5707963267948966</v>
      </c>
      <c r="AJ171" s="32" t="str">
        <f t="shared" si="110"/>
        <v>1+0.000550172656114285i</v>
      </c>
      <c r="AK171" s="32">
        <f t="shared" si="125"/>
        <v>1.0000001513449643</v>
      </c>
      <c r="AL171" s="32">
        <f t="shared" si="126"/>
        <v>5.5017260060371686E-4</v>
      </c>
      <c r="AM171" s="32" t="str">
        <f t="shared" si="111"/>
        <v>1+0.0555674382675428i</v>
      </c>
      <c r="AN171" s="32">
        <f t="shared" si="127"/>
        <v>1.0015426801667602</v>
      </c>
      <c r="AO171" s="32">
        <f t="shared" si="128"/>
        <v>5.5510351387716615E-2</v>
      </c>
      <c r="AP171" s="60" t="str">
        <f t="shared" si="129"/>
        <v>-0.430139043924415+7.81849459836592i</v>
      </c>
      <c r="AQ171" s="51">
        <f t="shared" si="130"/>
        <v>17.875587810149884</v>
      </c>
      <c r="AR171" s="63">
        <f t="shared" si="131"/>
        <v>93.148986285785995</v>
      </c>
      <c r="AS171" s="60" t="str">
        <f t="shared" si="132"/>
        <v>288.57643126237+107.306623751776i</v>
      </c>
      <c r="AT171" s="66">
        <f t="shared" si="133"/>
        <v>49.767674172705924</v>
      </c>
      <c r="AU171" s="63">
        <f t="shared" si="134"/>
        <v>20.397559962257386</v>
      </c>
      <c r="AX171" s="32">
        <f t="shared" si="135"/>
        <v>0</v>
      </c>
      <c r="AY171" s="32">
        <f t="shared" si="136"/>
        <v>0</v>
      </c>
    </row>
    <row r="172" spans="14:51" x14ac:dyDescent="0.3">
      <c r="N172" s="11">
        <v>54</v>
      </c>
      <c r="O172" s="52">
        <f t="shared" si="102"/>
        <v>346.73685045253183</v>
      </c>
      <c r="P172" s="50" t="str">
        <f t="shared" si="103"/>
        <v>131.578947368421</v>
      </c>
      <c r="Q172" s="18" t="str">
        <f t="shared" si="104"/>
        <v>1+3.2679178263316i</v>
      </c>
      <c r="R172" s="18">
        <f t="shared" si="112"/>
        <v>3.4174971718577689</v>
      </c>
      <c r="S172" s="18">
        <f t="shared" si="113"/>
        <v>1.2738392783439403</v>
      </c>
      <c r="T172" s="18" t="str">
        <f t="shared" si="105"/>
        <v>1+7.18941921792953E-06i</v>
      </c>
      <c r="U172" s="18">
        <f t="shared" si="114"/>
        <v>1.0000000000258438</v>
      </c>
      <c r="V172" s="18">
        <f t="shared" si="115"/>
        <v>7.1894192178056612E-6</v>
      </c>
      <c r="W172" s="32" t="str">
        <f t="shared" si="106"/>
        <v>1-0.00174288950737686i</v>
      </c>
      <c r="X172" s="18">
        <f t="shared" si="116"/>
        <v>1.000001518830764</v>
      </c>
      <c r="Y172" s="18">
        <f t="shared" si="117"/>
        <v>-1.7428877426092682E-3</v>
      </c>
      <c r="Z172" s="32" t="str">
        <f t="shared" si="107"/>
        <v>0.999999923055076+0.000737670339745029i</v>
      </c>
      <c r="AA172" s="18">
        <f t="shared" si="118"/>
        <v>1.0000001951338251</v>
      </c>
      <c r="AB172" s="18">
        <f t="shared" si="119"/>
        <v>7.3767026270207771E-4</v>
      </c>
      <c r="AC172" s="68" t="str">
        <f t="shared" si="120"/>
        <v>11.174928563431-36.8441915944076i</v>
      </c>
      <c r="AD172" s="66">
        <f t="shared" si="121"/>
        <v>31.709576375272903</v>
      </c>
      <c r="AE172" s="63">
        <f t="shared" si="122"/>
        <v>-73.127328008261728</v>
      </c>
      <c r="AF172" s="32" t="str">
        <f t="shared" si="108"/>
        <v>-0.434440565864413</v>
      </c>
      <c r="AG172" s="32" t="str">
        <f t="shared" si="109"/>
        <v>0.05686177017817i</v>
      </c>
      <c r="AH172" s="32">
        <f t="shared" si="123"/>
        <v>5.6861770178169999E-2</v>
      </c>
      <c r="AI172" s="32">
        <f t="shared" si="124"/>
        <v>1.5707963267948966</v>
      </c>
      <c r="AJ172" s="32" t="str">
        <f t="shared" si="110"/>
        <v>1+0.000562987823546237i</v>
      </c>
      <c r="AK172" s="32">
        <f t="shared" si="125"/>
        <v>1.0000001584776321</v>
      </c>
      <c r="AL172" s="32">
        <f t="shared" si="126"/>
        <v>5.6298776406559208E-4</v>
      </c>
      <c r="AM172" s="32" t="str">
        <f t="shared" si="111"/>
        <v>1+0.05686177017817i</v>
      </c>
      <c r="AN172" s="32">
        <f t="shared" si="127"/>
        <v>1.001615325815153</v>
      </c>
      <c r="AO172" s="32">
        <f t="shared" si="128"/>
        <v>5.680060581105624E-2</v>
      </c>
      <c r="AP172" s="60" t="str">
        <f t="shared" si="129"/>
        <v>-0.430139037788338+7.64053483249403i</v>
      </c>
      <c r="AQ172" s="51">
        <f t="shared" si="130"/>
        <v>17.676217745513554</v>
      </c>
      <c r="AR172" s="63">
        <f t="shared" si="131"/>
        <v>93.222178163961317</v>
      </c>
      <c r="AS172" s="60" t="str">
        <f t="shared" si="132"/>
        <v>276.702556232527+101.230556060035i</v>
      </c>
      <c r="AT172" s="66">
        <f t="shared" si="133"/>
        <v>49.38579412078645</v>
      </c>
      <c r="AU172" s="63">
        <f t="shared" si="134"/>
        <v>20.094850155699678</v>
      </c>
      <c r="AX172" s="32">
        <f t="shared" si="135"/>
        <v>0</v>
      </c>
      <c r="AY172" s="32">
        <f t="shared" si="136"/>
        <v>0</v>
      </c>
    </row>
    <row r="173" spans="14:51" x14ac:dyDescent="0.3">
      <c r="N173" s="11">
        <v>55</v>
      </c>
      <c r="O173" s="52">
        <f t="shared" si="102"/>
        <v>354.81338923357566</v>
      </c>
      <c r="P173" s="50" t="str">
        <f t="shared" si="103"/>
        <v>131.578947368421</v>
      </c>
      <c r="Q173" s="18" t="str">
        <f t="shared" si="104"/>
        <v>1+3.34403741103448i</v>
      </c>
      <c r="R173" s="18">
        <f t="shared" si="112"/>
        <v>3.4903561718538394</v>
      </c>
      <c r="S173" s="18">
        <f t="shared" si="113"/>
        <v>1.2802207588569614</v>
      </c>
      <c r="T173" s="18" t="str">
        <f t="shared" si="105"/>
        <v>1+7.35688230427587E-06i</v>
      </c>
      <c r="U173" s="18">
        <f t="shared" si="114"/>
        <v>1.0000000000270619</v>
      </c>
      <c r="V173" s="18">
        <f t="shared" si="115"/>
        <v>7.3568823041431426E-6</v>
      </c>
      <c r="W173" s="32" t="str">
        <f t="shared" si="106"/>
        <v>1-0.00178348661921839i</v>
      </c>
      <c r="X173" s="18">
        <f t="shared" si="116"/>
        <v>1.0000015904109958</v>
      </c>
      <c r="Y173" s="18">
        <f t="shared" si="117"/>
        <v>-1.7834847282360085E-3</v>
      </c>
      <c r="Z173" s="32" t="str">
        <f t="shared" si="107"/>
        <v>0.999999919428774+0.00075485288927445i</v>
      </c>
      <c r="AA173" s="18">
        <f t="shared" si="118"/>
        <v>1.0000002043301985</v>
      </c>
      <c r="AB173" s="18">
        <f t="shared" si="119"/>
        <v>7.5485280672144071E-4</v>
      </c>
      <c r="AC173" s="68" t="str">
        <f t="shared" si="120"/>
        <v>10.7091435103635-36.1448004149341i</v>
      </c>
      <c r="AD173" s="66">
        <f t="shared" si="121"/>
        <v>31.526345261771581</v>
      </c>
      <c r="AE173" s="63">
        <f t="shared" si="122"/>
        <v>-73.496260836965632</v>
      </c>
      <c r="AF173" s="32" t="str">
        <f t="shared" si="108"/>
        <v>-0.434440565864413</v>
      </c>
      <c r="AG173" s="32" t="str">
        <f t="shared" si="109"/>
        <v>0.0581862509520001i</v>
      </c>
      <c r="AH173" s="32">
        <f t="shared" si="123"/>
        <v>5.8186250952000099E-2</v>
      </c>
      <c r="AI173" s="32">
        <f t="shared" si="124"/>
        <v>1.5707963267948966</v>
      </c>
      <c r="AJ173" s="32" t="str">
        <f t="shared" si="110"/>
        <v>1+0.000576101494574258i</v>
      </c>
      <c r="AK173" s="32">
        <f t="shared" si="125"/>
        <v>1.0000001659464521</v>
      </c>
      <c r="AL173" s="32">
        <f t="shared" si="126"/>
        <v>5.7610143083959933E-4</v>
      </c>
      <c r="AM173" s="32" t="str">
        <f t="shared" si="111"/>
        <v>1+0.0581862509520001i</v>
      </c>
      <c r="AN173" s="32">
        <f t="shared" si="127"/>
        <v>1.0016913895007029</v>
      </c>
      <c r="AO173" s="32">
        <f t="shared" si="128"/>
        <v>5.8120718127228133E-2</v>
      </c>
      <c r="AP173" s="60" t="str">
        <f t="shared" si="129"/>
        <v>-0.430139031363077+7.46662617932449i</v>
      </c>
      <c r="AQ173" s="51">
        <f t="shared" si="130"/>
        <v>17.476877270880149</v>
      </c>
      <c r="AR173" s="63">
        <f t="shared" si="131"/>
        <v>93.297063670401101</v>
      </c>
      <c r="AS173" s="60" t="str">
        <f t="shared" si="132"/>
        <v>265.27329240833+95.5084607319146i</v>
      </c>
      <c r="AT173" s="66">
        <f t="shared" si="133"/>
        <v>49.003222532651741</v>
      </c>
      <c r="AU173" s="63">
        <f t="shared" si="134"/>
        <v>19.800802833435469</v>
      </c>
      <c r="AX173" s="32">
        <f t="shared" si="135"/>
        <v>0</v>
      </c>
      <c r="AY173" s="32">
        <f t="shared" si="136"/>
        <v>0</v>
      </c>
    </row>
    <row r="174" spans="14:51" x14ac:dyDescent="0.3">
      <c r="N174" s="11">
        <v>56</v>
      </c>
      <c r="O174" s="52">
        <f t="shared" si="102"/>
        <v>363.07805477010152</v>
      </c>
      <c r="P174" s="50" t="str">
        <f t="shared" si="103"/>
        <v>131.578947368421</v>
      </c>
      <c r="Q174" s="18" t="str">
        <f t="shared" si="104"/>
        <v>1+3.42193004863627i</v>
      </c>
      <c r="R174" s="18">
        <f t="shared" si="112"/>
        <v>3.5650533316852111</v>
      </c>
      <c r="S174" s="18">
        <f t="shared" si="113"/>
        <v>1.2864806022576636</v>
      </c>
      <c r="T174" s="18" t="str">
        <f t="shared" si="105"/>
        <v>1+7.52824610699981E-06i</v>
      </c>
      <c r="U174" s="18">
        <f t="shared" si="114"/>
        <v>1.0000000000283373</v>
      </c>
      <c r="V174" s="18">
        <f t="shared" si="115"/>
        <v>7.5282461068575899E-6</v>
      </c>
      <c r="W174" s="32" t="str">
        <f t="shared" si="106"/>
        <v>1-0.00182502935927268i</v>
      </c>
      <c r="X174" s="18">
        <f t="shared" si="116"/>
        <v>1.0000016653646944</v>
      </c>
      <c r="Y174" s="18">
        <f t="shared" si="117"/>
        <v>-1.8250273330487345E-3</v>
      </c>
      <c r="Z174" s="32" t="str">
        <f t="shared" si="107"/>
        <v>0.999999915631569+0.000772435671797428i</v>
      </c>
      <c r="AA174" s="18">
        <f t="shared" si="118"/>
        <v>1.0000002139599833</v>
      </c>
      <c r="AB174" s="18">
        <f t="shared" si="119"/>
        <v>7.7243558334028604E-4</v>
      </c>
      <c r="AC174" s="68" t="str">
        <f t="shared" si="120"/>
        <v>10.2609456145088-35.4530191170196i</v>
      </c>
      <c r="AD174" s="66">
        <f t="shared" si="121"/>
        <v>31.342420139406407</v>
      </c>
      <c r="AE174" s="63">
        <f t="shared" si="122"/>
        <v>-73.858301260634249</v>
      </c>
      <c r="AF174" s="32" t="str">
        <f t="shared" si="108"/>
        <v>-0.434440565864413</v>
      </c>
      <c r="AG174" s="32" t="str">
        <f t="shared" si="109"/>
        <v>0.0595415828462712i</v>
      </c>
      <c r="AH174" s="32">
        <f t="shared" si="123"/>
        <v>5.9541582846271202E-2</v>
      </c>
      <c r="AI174" s="32">
        <f t="shared" si="124"/>
        <v>1.5707963267948966</v>
      </c>
      <c r="AJ174" s="32" t="str">
        <f t="shared" si="110"/>
        <v>1+0.000589520622240309i</v>
      </c>
      <c r="AK174" s="32">
        <f t="shared" si="125"/>
        <v>1.000000173767267</v>
      </c>
      <c r="AL174" s="32">
        <f t="shared" si="126"/>
        <v>5.8952055394739247E-4</v>
      </c>
      <c r="AM174" s="32" t="str">
        <f t="shared" si="111"/>
        <v>1+0.0595415828462712i</v>
      </c>
      <c r="AN174" s="32">
        <f t="shared" si="127"/>
        <v>1.0017710317671595</v>
      </c>
      <c r="AO174" s="32">
        <f t="shared" si="128"/>
        <v>5.9471369862402229E-2</v>
      </c>
      <c r="AP174" s="60" t="str">
        <f t="shared" si="129"/>
        <v>-0.430139024635003+7.29667643018731i</v>
      </c>
      <c r="AQ174" s="51">
        <f t="shared" si="130"/>
        <v>17.277567771367348</v>
      </c>
      <c r="AR174" s="63">
        <f t="shared" si="131"/>
        <v>93.373681455299774</v>
      </c>
      <c r="AS174" s="60" t="str">
        <f t="shared" si="132"/>
        <v>254.275575831679+90.1205270801811i</v>
      </c>
      <c r="AT174" s="66">
        <f t="shared" si="133"/>
        <v>48.619987910773744</v>
      </c>
      <c r="AU174" s="63">
        <f t="shared" si="134"/>
        <v>19.515380194665543</v>
      </c>
      <c r="AX174" s="32">
        <f t="shared" si="135"/>
        <v>0</v>
      </c>
      <c r="AY174" s="32">
        <f t="shared" si="136"/>
        <v>0</v>
      </c>
    </row>
    <row r="175" spans="14:51" x14ac:dyDescent="0.3">
      <c r="N175" s="11">
        <v>57</v>
      </c>
      <c r="O175" s="52">
        <f t="shared" si="102"/>
        <v>371.53522909717265</v>
      </c>
      <c r="P175" s="50" t="str">
        <f t="shared" si="103"/>
        <v>131.578947368421</v>
      </c>
      <c r="Q175" s="18" t="str">
        <f t="shared" si="104"/>
        <v>1+3.50163703884444i</v>
      </c>
      <c r="R175" s="18">
        <f t="shared" si="112"/>
        <v>3.6416290244624396</v>
      </c>
      <c r="S175" s="18">
        <f t="shared" si="113"/>
        <v>1.292620164487521</v>
      </c>
      <c r="T175" s="18" t="str">
        <f t="shared" si="105"/>
        <v>1+7.70360148545777E-06i</v>
      </c>
      <c r="U175" s="18">
        <f t="shared" si="114"/>
        <v>1.0000000000296727</v>
      </c>
      <c r="V175" s="18">
        <f t="shared" si="115"/>
        <v>7.7036014853053787E-6</v>
      </c>
      <c r="W175" s="32" t="str">
        <f t="shared" si="106"/>
        <v>1-0.00186753975405037i</v>
      </c>
      <c r="X175" s="18">
        <f t="shared" si="116"/>
        <v>1.0000017438508459</v>
      </c>
      <c r="Y175" s="18">
        <f t="shared" si="117"/>
        <v>-1.8675375829125002E-3</v>
      </c>
      <c r="Z175" s="32" t="str">
        <f t="shared" si="107"/>
        <v>0.999999911655407+0.000790428009937984i</v>
      </c>
      <c r="AA175" s="18">
        <f t="shared" si="118"/>
        <v>1.0000002240436054</v>
      </c>
      <c r="AB175" s="18">
        <f t="shared" si="119"/>
        <v>7.9042791515444996E-4</v>
      </c>
      <c r="AC175" s="68" t="str">
        <f t="shared" si="120"/>
        <v>9.82980602612302-34.7691316580996i</v>
      </c>
      <c r="AD175" s="66">
        <f t="shared" si="121"/>
        <v>31.157827319491641</v>
      </c>
      <c r="AE175" s="63">
        <f t="shared" si="122"/>
        <v>-74.213528759919683</v>
      </c>
      <c r="AF175" s="32" t="str">
        <f t="shared" si="108"/>
        <v>-0.434440565864413</v>
      </c>
      <c r="AG175" s="32" t="str">
        <f t="shared" si="109"/>
        <v>0.0609284844758933i</v>
      </c>
      <c r="AH175" s="32">
        <f t="shared" si="123"/>
        <v>6.0928484475893302E-2</v>
      </c>
      <c r="AI175" s="32">
        <f t="shared" si="124"/>
        <v>1.5707963267948966</v>
      </c>
      <c r="AJ175" s="32" t="str">
        <f t="shared" si="110"/>
        <v>1+0.000603252321543498i</v>
      </c>
      <c r="AK175" s="32">
        <f t="shared" si="125"/>
        <v>1.0000001819566651</v>
      </c>
      <c r="AL175" s="32">
        <f t="shared" si="126"/>
        <v>6.0325224836632022E-4</v>
      </c>
      <c r="AM175" s="32" t="str">
        <f t="shared" si="111"/>
        <v>1+0.0609284844758933i</v>
      </c>
      <c r="AN175" s="32">
        <f t="shared" si="127"/>
        <v>1.0018544206722497</v>
      </c>
      <c r="AO175" s="32">
        <f t="shared" si="128"/>
        <v>6.0853257427341212E-2</v>
      </c>
      <c r="AP175" s="60" t="str">
        <f t="shared" si="129"/>
        <v>-0.430139017589844+7.13059547547597i</v>
      </c>
      <c r="AQ175" s="51">
        <f t="shared" si="130"/>
        <v>17.078290696467967</v>
      </c>
      <c r="AR175" s="63">
        <f t="shared" si="131"/>
        <v>93.452071012396615</v>
      </c>
      <c r="AS175" s="60" t="str">
        <f t="shared" si="132"/>
        <v>243.696429780298+85.0479305085461i</v>
      </c>
      <c r="AT175" s="66">
        <f t="shared" si="133"/>
        <v>48.236118015959605</v>
      </c>
      <c r="AU175" s="63">
        <f t="shared" si="134"/>
        <v>19.23854225247694</v>
      </c>
      <c r="AX175" s="32">
        <f t="shared" si="135"/>
        <v>0</v>
      </c>
      <c r="AY175" s="32">
        <f t="shared" si="136"/>
        <v>0</v>
      </c>
    </row>
    <row r="176" spans="14:51" x14ac:dyDescent="0.3">
      <c r="N176" s="11">
        <v>58</v>
      </c>
      <c r="O176" s="52">
        <f t="shared" si="102"/>
        <v>380.18939632056163</v>
      </c>
      <c r="P176" s="50" t="str">
        <f t="shared" si="103"/>
        <v>131.578947368421</v>
      </c>
      <c r="Q176" s="18" t="str">
        <f t="shared" si="104"/>
        <v>1+3.58320064336024i</v>
      </c>
      <c r="R176" s="18">
        <f t="shared" si="112"/>
        <v>3.7201245746046241</v>
      </c>
      <c r="S176" s="18">
        <f t="shared" si="113"/>
        <v>1.2986408487009564</v>
      </c>
      <c r="T176" s="18" t="str">
        <f t="shared" si="105"/>
        <v>1+7.88304141539254E-06i</v>
      </c>
      <c r="U176" s="18">
        <f t="shared" si="114"/>
        <v>1.0000000000310711</v>
      </c>
      <c r="V176" s="18">
        <f t="shared" si="115"/>
        <v>7.8830414152292484E-6</v>
      </c>
      <c r="W176" s="32" t="str">
        <f t="shared" si="106"/>
        <v>1-0.00191104034312546i</v>
      </c>
      <c r="X176" s="18">
        <f t="shared" si="116"/>
        <v>1.0000018260359294</v>
      </c>
      <c r="Y176" s="18">
        <f t="shared" si="117"/>
        <v>-1.9110380167095477E-3</v>
      </c>
      <c r="Z176" s="32" t="str">
        <f t="shared" si="107"/>
        <v>0.999999907491855+0.000808839443471961i</v>
      </c>
      <c r="AA176" s="18">
        <f t="shared" si="118"/>
        <v>1.0000002346024544</v>
      </c>
      <c r="AB176" s="18">
        <f t="shared" si="119"/>
        <v>8.0883934190957541E-4</v>
      </c>
      <c r="AC176" s="68" t="str">
        <f t="shared" si="120"/>
        <v>9.41520058401063-34.0933942779963i</v>
      </c>
      <c r="AD176" s="66">
        <f t="shared" si="121"/>
        <v>30.972592313579142</v>
      </c>
      <c r="AE176" s="63">
        <f t="shared" si="122"/>
        <v>-74.562025562291367</v>
      </c>
      <c r="AF176" s="32" t="str">
        <f t="shared" si="108"/>
        <v>-0.434440565864413</v>
      </c>
      <c r="AG176" s="32" t="str">
        <f t="shared" si="109"/>
        <v>0.0623476911944683i</v>
      </c>
      <c r="AH176" s="32">
        <f t="shared" si="123"/>
        <v>6.2347691194468299E-2</v>
      </c>
      <c r="AI176" s="32">
        <f t="shared" si="124"/>
        <v>1.5707963267948966</v>
      </c>
      <c r="AJ176" s="32" t="str">
        <f t="shared" si="110"/>
        <v>1+0.000617303873212558i</v>
      </c>
      <c r="AK176" s="32">
        <f t="shared" si="125"/>
        <v>1.0000001905320177</v>
      </c>
      <c r="AL176" s="32">
        <f t="shared" si="126"/>
        <v>6.1730379480180004E-4</v>
      </c>
      <c r="AM176" s="32" t="str">
        <f t="shared" si="111"/>
        <v>1+0.0623476911944683i</v>
      </c>
      <c r="AN176" s="32">
        <f t="shared" si="127"/>
        <v>1.0019417321367947</v>
      </c>
      <c r="AO176" s="32">
        <f t="shared" si="128"/>
        <v>6.2267092394230603E-2</v>
      </c>
      <c r="AP176" s="60" t="str">
        <f t="shared" si="129"/>
        <v>-0.430139010212659+6.96829525686997i</v>
      </c>
      <c r="AQ176" s="51">
        <f t="shared" si="130"/>
        <v>16.879047562997229</v>
      </c>
      <c r="AR176" s="63">
        <f t="shared" si="131"/>
        <v>93.532272694621</v>
      </c>
      <c r="AS176" s="60" t="str">
        <f t="shared" si="132"/>
        <v>233.522992577799+80.2727964415679i</v>
      </c>
      <c r="AT176" s="66">
        <f t="shared" si="133"/>
        <v>47.851639876576357</v>
      </c>
      <c r="AU176" s="63">
        <f t="shared" si="134"/>
        <v>18.970247132329675</v>
      </c>
      <c r="AX176" s="32">
        <f t="shared" si="135"/>
        <v>0</v>
      </c>
      <c r="AY176" s="32">
        <f t="shared" si="136"/>
        <v>0</v>
      </c>
    </row>
    <row r="177" spans="14:51" x14ac:dyDescent="0.3">
      <c r="N177" s="11">
        <v>59</v>
      </c>
      <c r="O177" s="52">
        <f t="shared" si="102"/>
        <v>389.04514499428063</v>
      </c>
      <c r="P177" s="50" t="str">
        <f t="shared" si="103"/>
        <v>131.578947368421</v>
      </c>
      <c r="Q177" s="18" t="str">
        <f t="shared" si="104"/>
        <v>1+3.66666410828643i</v>
      </c>
      <c r="R177" s="18">
        <f t="shared" si="112"/>
        <v>3.8005822820978263</v>
      </c>
      <c r="S177" s="18">
        <f t="shared" si="113"/>
        <v>1.3045441005252245</v>
      </c>
      <c r="T177" s="18" t="str">
        <f t="shared" si="105"/>
        <v>1+8.06666103823015E-06i</v>
      </c>
      <c r="U177" s="18">
        <f t="shared" si="114"/>
        <v>1.0000000000325355</v>
      </c>
      <c r="V177" s="18">
        <f t="shared" si="115"/>
        <v>8.0666610380551813E-6</v>
      </c>
      <c r="W177" s="32" t="str">
        <f t="shared" si="106"/>
        <v>1-0.0019555541910861i</v>
      </c>
      <c r="X177" s="18">
        <f t="shared" si="116"/>
        <v>1.0000019120942691</v>
      </c>
      <c r="Y177" s="18">
        <f t="shared" si="117"/>
        <v>-1.9555516982867954E-3</v>
      </c>
      <c r="Z177" s="32" t="str">
        <f t="shared" si="107"/>
        <v>0.99999990313208+0.000827679734385123i</v>
      </c>
      <c r="AA177" s="18">
        <f t="shared" si="118"/>
        <v>1.0000002456589259</v>
      </c>
      <c r="AB177" s="18">
        <f t="shared" si="119"/>
        <v>8.2767962555906798E-4</v>
      </c>
      <c r="AC177" s="68" t="str">
        <f t="shared" si="120"/>
        <v>9.01661083711896-33.4260367197652i</v>
      </c>
      <c r="AD177" s="66">
        <f t="shared" si="121"/>
        <v>30.786739841371812</v>
      </c>
      <c r="AE177" s="63">
        <f t="shared" si="122"/>
        <v>-74.903876371418278</v>
      </c>
      <c r="AF177" s="32" t="str">
        <f t="shared" si="108"/>
        <v>-0.434440565864413</v>
      </c>
      <c r="AG177" s="32" t="str">
        <f t="shared" si="109"/>
        <v>0.0637999554841839i</v>
      </c>
      <c r="AH177" s="32">
        <f t="shared" si="123"/>
        <v>6.3799955484183907E-2</v>
      </c>
      <c r="AI177" s="32">
        <f t="shared" si="124"/>
        <v>1.5707963267948966</v>
      </c>
      <c r="AJ177" s="32" t="str">
        <f t="shared" si="110"/>
        <v>1+0.000631682727566178i</v>
      </c>
      <c r="AK177" s="32">
        <f t="shared" si="125"/>
        <v>1.0000001995115142</v>
      </c>
      <c r="AL177" s="32">
        <f t="shared" si="126"/>
        <v>6.3168264354753812E-4</v>
      </c>
      <c r="AM177" s="32" t="str">
        <f t="shared" si="111"/>
        <v>1+0.0637999554841839i</v>
      </c>
      <c r="AN177" s="32">
        <f t="shared" si="127"/>
        <v>1.0020331503098008</v>
      </c>
      <c r="AO177" s="32">
        <f t="shared" si="128"/>
        <v>6.3713601775072085E-2</v>
      </c>
      <c r="AP177" s="60" t="str">
        <f t="shared" si="129"/>
        <v>-0.430139002487797+6.80968972064497i</v>
      </c>
      <c r="AQ177" s="51">
        <f t="shared" si="130"/>
        <v>16.67983995817065</v>
      </c>
      <c r="AR177" s="63">
        <f t="shared" si="131"/>
        <v>93.614327729821923</v>
      </c>
      <c r="AS177" s="60" t="str">
        <f t="shared" si="132"/>
        <v>223.742542661187+75.7781642243453i</v>
      </c>
      <c r="AT177" s="66">
        <f t="shared" si="133"/>
        <v>47.466579799542444</v>
      </c>
      <c r="AU177" s="63">
        <f t="shared" si="134"/>
        <v>18.710451358403695</v>
      </c>
      <c r="AX177" s="32">
        <f t="shared" si="135"/>
        <v>0</v>
      </c>
      <c r="AY177" s="32">
        <f t="shared" si="136"/>
        <v>0</v>
      </c>
    </row>
    <row r="178" spans="14:51" x14ac:dyDescent="0.3">
      <c r="N178" s="11">
        <v>60</v>
      </c>
      <c r="O178" s="52">
        <f t="shared" si="102"/>
        <v>398.10717055349761</v>
      </c>
      <c r="P178" s="50" t="str">
        <f t="shared" si="103"/>
        <v>131.578947368421</v>
      </c>
      <c r="Q178" s="18" t="str">
        <f t="shared" si="104"/>
        <v>1+3.75207168705685i</v>
      </c>
      <c r="R178" s="18">
        <f t="shared" si="112"/>
        <v>3.8830454471733442</v>
      </c>
      <c r="S178" s="18">
        <f t="shared" si="113"/>
        <v>1.3103314035338618</v>
      </c>
      <c r="T178" s="18" t="str">
        <f t="shared" si="105"/>
        <v>1+8.25455771152508E-06i</v>
      </c>
      <c r="U178" s="18">
        <f t="shared" si="114"/>
        <v>1.0000000000340687</v>
      </c>
      <c r="V178" s="18">
        <f t="shared" si="115"/>
        <v>8.2545577113375978E-6</v>
      </c>
      <c r="W178" s="32" t="str">
        <f t="shared" si="106"/>
        <v>1-0.00200110489976366i</v>
      </c>
      <c r="X178" s="18">
        <f t="shared" si="116"/>
        <v>1.0000020022084055</v>
      </c>
      <c r="Y178" s="18">
        <f t="shared" si="117"/>
        <v>-2.0011022286813697E-3</v>
      </c>
      <c r="Z178" s="32" t="str">
        <f t="shared" si="107"/>
        <v>0.999999898566836+0.000846958872049091i</v>
      </c>
      <c r="AA178" s="18">
        <f t="shared" si="118"/>
        <v>1.0000002572364737</v>
      </c>
      <c r="AB178" s="18">
        <f t="shared" si="119"/>
        <v>8.4695875543987318E-4</v>
      </c>
      <c r="AC178" s="68" t="str">
        <f t="shared" si="120"/>
        <v>8.63352495959348-32.7672634505138i</v>
      </c>
      <c r="AD178" s="66">
        <f t="shared" si="121"/>
        <v>30.600293840107277</v>
      </c>
      <c r="AE178" s="63">
        <f t="shared" si="122"/>
        <v>-75.239168108811256</v>
      </c>
      <c r="AF178" s="32" t="str">
        <f t="shared" si="108"/>
        <v>-0.434440565864413</v>
      </c>
      <c r="AG178" s="32" t="str">
        <f t="shared" si="109"/>
        <v>0.0652860473547893i</v>
      </c>
      <c r="AH178" s="32">
        <f t="shared" si="123"/>
        <v>6.5286047354789295E-2</v>
      </c>
      <c r="AI178" s="32">
        <f t="shared" si="124"/>
        <v>1.5707963267948966</v>
      </c>
      <c r="AJ178" s="32" t="str">
        <f t="shared" si="110"/>
        <v>1+0.000646396508463261i</v>
      </c>
      <c r="AK178" s="32">
        <f t="shared" si="125"/>
        <v>1.0000002089142013</v>
      </c>
      <c r="AL178" s="32">
        <f t="shared" si="126"/>
        <v>6.4639641843566734E-4</v>
      </c>
      <c r="AM178" s="32" t="str">
        <f t="shared" si="111"/>
        <v>1+0.0652860473547893i</v>
      </c>
      <c r="AN178" s="32">
        <f t="shared" si="127"/>
        <v>1.0021288679502312</v>
      </c>
      <c r="AO178" s="32">
        <f t="shared" si="128"/>
        <v>6.519352830134191E-2</v>
      </c>
      <c r="AP178" s="60" t="str">
        <f t="shared" si="129"/>
        <v>-0.430138994398873+6.65469477204635i</v>
      </c>
      <c r="AQ178" s="51">
        <f t="shared" si="130"/>
        <v>16.480669542818646</v>
      </c>
      <c r="AR178" s="63">
        <f t="shared" si="131"/>
        <v>93.698278236564832</v>
      </c>
      <c r="AS178" s="60" t="str">
        <f t="shared" si="132"/>
        <v>214.342521034163+71.5479511627453i</v>
      </c>
      <c r="AT178" s="66">
        <f t="shared" si="133"/>
        <v>47.080963382925944</v>
      </c>
      <c r="AU178" s="63">
        <f t="shared" si="134"/>
        <v>18.459110127753533</v>
      </c>
      <c r="AX178" s="32">
        <f t="shared" si="135"/>
        <v>0</v>
      </c>
      <c r="AY178" s="32">
        <f t="shared" si="136"/>
        <v>0</v>
      </c>
    </row>
    <row r="179" spans="14:51" x14ac:dyDescent="0.3">
      <c r="N179" s="11">
        <v>61</v>
      </c>
      <c r="O179" s="52">
        <f t="shared" si="102"/>
        <v>407.38027780411272</v>
      </c>
      <c r="P179" s="50" t="str">
        <f t="shared" si="103"/>
        <v>131.578947368421</v>
      </c>
      <c r="Q179" s="18" t="str">
        <f t="shared" si="104"/>
        <v>1+3.83946866390031i</v>
      </c>
      <c r="R179" s="18">
        <f t="shared" si="112"/>
        <v>3.9675583954205931</v>
      </c>
      <c r="S179" s="18">
        <f t="shared" si="113"/>
        <v>1.3160042749331637</v>
      </c>
      <c r="T179" s="18" t="str">
        <f t="shared" si="105"/>
        <v>1+8.44683106058068E-06i</v>
      </c>
      <c r="U179" s="18">
        <f t="shared" si="114"/>
        <v>1.0000000000356746</v>
      </c>
      <c r="V179" s="18">
        <f t="shared" si="115"/>
        <v>8.4468310603797899E-6</v>
      </c>
      <c r="W179" s="32" t="str">
        <f t="shared" si="106"/>
        <v>1-0.00204771662074683i</v>
      </c>
      <c r="X179" s="18">
        <f t="shared" si="116"/>
        <v>1.0000020965694816</v>
      </c>
      <c r="Y179" s="18">
        <f t="shared" si="117"/>
        <v>-2.0477137586309142E-3</v>
      </c>
      <c r="Z179" s="32" t="str">
        <f t="shared" si="107"/>
        <v>0.999999893786438+0.000866687078517847i</v>
      </c>
      <c r="AA179" s="18">
        <f t="shared" si="118"/>
        <v>1.0000002693596532</v>
      </c>
      <c r="AB179" s="18">
        <f t="shared" si="119"/>
        <v>8.6668695356882078E-4</v>
      </c>
      <c r="AC179" s="68" t="str">
        <f t="shared" si="120"/>
        <v>8.26543856470128-32.1172548758667i</v>
      </c>
      <c r="AD179" s="66">
        <f t="shared" si="121"/>
        <v>30.413277475254166</v>
      </c>
      <c r="AE179" s="63">
        <f t="shared" si="122"/>
        <v>-75.567989667693283</v>
      </c>
      <c r="AF179" s="32" t="str">
        <f t="shared" si="108"/>
        <v>-0.434440565864413</v>
      </c>
      <c r="AG179" s="32" t="str">
        <f t="shared" si="109"/>
        <v>0.0668067547518654i</v>
      </c>
      <c r="AH179" s="32">
        <f t="shared" si="123"/>
        <v>6.6806754751865399E-2</v>
      </c>
      <c r="AI179" s="32">
        <f t="shared" si="124"/>
        <v>1.5707963267948966</v>
      </c>
      <c r="AJ179" s="32" t="str">
        <f t="shared" si="110"/>
        <v>1+0.000661453017345203i</v>
      </c>
      <c r="AK179" s="32">
        <f t="shared" si="125"/>
        <v>1.0000002187600232</v>
      </c>
      <c r="AL179" s="32">
        <f t="shared" si="126"/>
        <v>6.6145292087889948E-4</v>
      </c>
      <c r="AM179" s="32" t="str">
        <f t="shared" si="111"/>
        <v>1+0.0668067547518654i</v>
      </c>
      <c r="AN179" s="32">
        <f t="shared" si="127"/>
        <v>1.0022290868261987</v>
      </c>
      <c r="AO179" s="32">
        <f t="shared" si="128"/>
        <v>6.6707630704587198E-2</v>
      </c>
      <c r="AP179" s="60" t="str">
        <f t="shared" si="129"/>
        <v>-0.430138985928732+6.50322823070064i</v>
      </c>
      <c r="AQ179" s="51">
        <f t="shared" si="130"/>
        <v>16.28153805474178</v>
      </c>
      <c r="AR179" s="63">
        <f t="shared" si="131"/>
        <v>93.78416723997718</v>
      </c>
      <c r="AS179" s="60" t="str">
        <f t="shared" si="132"/>
        <v>205.310551238867+67.5669168562071i</v>
      </c>
      <c r="AT179" s="66">
        <f t="shared" si="133"/>
        <v>46.694815529995935</v>
      </c>
      <c r="AU179" s="63">
        <f t="shared" si="134"/>
        <v>18.216177572283947</v>
      </c>
      <c r="AX179" s="32">
        <f t="shared" si="135"/>
        <v>0</v>
      </c>
      <c r="AY179" s="32">
        <f t="shared" si="136"/>
        <v>0</v>
      </c>
    </row>
    <row r="180" spans="14:51" x14ac:dyDescent="0.3">
      <c r="N180" s="11">
        <v>62</v>
      </c>
      <c r="O180" s="52">
        <f t="shared" si="102"/>
        <v>416.86938347033572</v>
      </c>
      <c r="P180" s="50" t="str">
        <f t="shared" si="103"/>
        <v>131.578947368421</v>
      </c>
      <c r="Q180" s="18" t="str">
        <f t="shared" si="104"/>
        <v>1+3.92890137785074i</v>
      </c>
      <c r="R180" s="18">
        <f t="shared" si="112"/>
        <v>4.0541665033490482</v>
      </c>
      <c r="S180" s="18">
        <f t="shared" si="113"/>
        <v>1.3215642614600387</v>
      </c>
      <c r="T180" s="18" t="str">
        <f t="shared" si="105"/>
        <v>1+8.64358303127164E-06i</v>
      </c>
      <c r="U180" s="18">
        <f t="shared" si="114"/>
        <v>1.0000000000373559</v>
      </c>
      <c r="V180" s="18">
        <f t="shared" si="115"/>
        <v>8.6435830310563816E-6</v>
      </c>
      <c r="W180" s="32" t="str">
        <f t="shared" si="106"/>
        <v>1-0.00209541406818706i</v>
      </c>
      <c r="X180" s="18">
        <f t="shared" si="116"/>
        <v>1.0000021953776488</v>
      </c>
      <c r="Y180" s="18">
        <f t="shared" si="117"/>
        <v>-2.0954110013749663E-3</v>
      </c>
      <c r="Z180" s="32" t="str">
        <f t="shared" si="107"/>
        <v>0.999999888780747+0.000886874813947594i</v>
      </c>
      <c r="AA180" s="18">
        <f t="shared" si="118"/>
        <v>1.0000002820541813</v>
      </c>
      <c r="AB180" s="18">
        <f t="shared" si="119"/>
        <v>8.8687468006230243E-4</v>
      </c>
      <c r="AC180" s="68" t="str">
        <f t="shared" si="120"/>
        <v>7.91185542313626-31.4761685424764i</v>
      </c>
      <c r="AD180" s="66">
        <f t="shared" si="121"/>
        <v>30.225713152371085</v>
      </c>
      <c r="AE180" s="63">
        <f t="shared" si="122"/>
        <v>-75.890431679004948</v>
      </c>
      <c r="AF180" s="32" t="str">
        <f t="shared" si="108"/>
        <v>-0.434440565864413</v>
      </c>
      <c r="AG180" s="32" t="str">
        <f t="shared" si="109"/>
        <v>0.068362883974603i</v>
      </c>
      <c r="AH180" s="32">
        <f t="shared" si="123"/>
        <v>6.8362883974602995E-2</v>
      </c>
      <c r="AI180" s="32">
        <f t="shared" si="124"/>
        <v>1.5707963267948966</v>
      </c>
      <c r="AJ180" s="32" t="str">
        <f t="shared" si="110"/>
        <v>1+0.000676860237372307i</v>
      </c>
      <c r="AK180" s="32">
        <f t="shared" si="125"/>
        <v>1.0000002290698642</v>
      </c>
      <c r="AL180" s="32">
        <f t="shared" si="126"/>
        <v>6.768601340068018E-4</v>
      </c>
      <c r="AM180" s="32" t="str">
        <f t="shared" si="111"/>
        <v>1+0.068362883974603i</v>
      </c>
      <c r="AN180" s="32">
        <f t="shared" si="127"/>
        <v>1.0023340181323415</v>
      </c>
      <c r="AO180" s="32">
        <f t="shared" si="128"/>
        <v>6.8256683997597142E-2</v>
      </c>
      <c r="AP180" s="60" t="str">
        <f t="shared" si="129"/>
        <v>-0.430138977059404+6.35520978704271i</v>
      </c>
      <c r="AQ180" s="51">
        <f t="shared" si="130"/>
        <v>16.082447312214253</v>
      </c>
      <c r="AR180" s="63">
        <f t="shared" si="131"/>
        <v>93.872038687621199</v>
      </c>
      <c r="AS180" s="60" t="str">
        <f t="shared" si="132"/>
        <v>196.634456981402+63.8206279573927i</v>
      </c>
      <c r="AT180" s="66">
        <f t="shared" si="133"/>
        <v>46.308160464585335</v>
      </c>
      <c r="AU180" s="63">
        <f t="shared" si="134"/>
        <v>17.981607008616272</v>
      </c>
      <c r="AX180" s="32">
        <f t="shared" si="135"/>
        <v>0</v>
      </c>
      <c r="AY180" s="32">
        <f t="shared" si="136"/>
        <v>0</v>
      </c>
    </row>
    <row r="181" spans="14:51" x14ac:dyDescent="0.3">
      <c r="N181" s="11">
        <v>63</v>
      </c>
      <c r="O181" s="52">
        <f t="shared" si="102"/>
        <v>426.57951880159294</v>
      </c>
      <c r="P181" s="50" t="str">
        <f t="shared" si="103"/>
        <v>131.578947368421</v>
      </c>
      <c r="Q181" s="18" t="str">
        <f t="shared" si="104"/>
        <v>1+4.02041724731686i</v>
      </c>
      <c r="R181" s="18">
        <f t="shared" si="112"/>
        <v>4.142916224415222</v>
      </c>
      <c r="S181" s="18">
        <f t="shared" si="113"/>
        <v>1.3270129354887477</v>
      </c>
      <c r="T181" s="18" t="str">
        <f t="shared" si="105"/>
        <v>1+0.0000088449179440971i</v>
      </c>
      <c r="U181" s="18">
        <f t="shared" si="114"/>
        <v>1.0000000000391163</v>
      </c>
      <c r="V181" s="18">
        <f t="shared" si="115"/>
        <v>8.8449179438664454E-6</v>
      </c>
      <c r="W181" s="32" t="str">
        <f t="shared" si="106"/>
        <v>1-0.00214422253190233i</v>
      </c>
      <c r="X181" s="18">
        <f t="shared" si="116"/>
        <v>1.0000022988424908</v>
      </c>
      <c r="Y181" s="18">
        <f t="shared" si="117"/>
        <v>-2.1442192457543736E-3</v>
      </c>
      <c r="Z181" s="32" t="str">
        <f t="shared" si="107"/>
        <v>0.999999883539145+0.000907532782142871i</v>
      </c>
      <c r="AA181" s="18">
        <f t="shared" si="118"/>
        <v>1.0000002953469835</v>
      </c>
      <c r="AB181" s="18">
        <f t="shared" si="119"/>
        <v>9.0753263868219856E-4</v>
      </c>
      <c r="AC181" s="68" t="str">
        <f t="shared" si="120"/>
        <v>7.57228809126646-30.8441403236741i</v>
      </c>
      <c r="AD181" s="66">
        <f t="shared" si="121"/>
        <v>30.037622529988344</v>
      </c>
      <c r="AE181" s="63">
        <f t="shared" si="122"/>
        <v>-76.206586289402409</v>
      </c>
      <c r="AF181" s="32" t="str">
        <f t="shared" si="108"/>
        <v>-0.434440565864413</v>
      </c>
      <c r="AG181" s="32" t="str">
        <f t="shared" si="109"/>
        <v>0.0699552601033135i</v>
      </c>
      <c r="AH181" s="32">
        <f t="shared" si="123"/>
        <v>6.9955260103313502E-2</v>
      </c>
      <c r="AI181" s="32">
        <f t="shared" si="124"/>
        <v>1.5707963267948966</v>
      </c>
      <c r="AJ181" s="32" t="str">
        <f t="shared" si="110"/>
        <v>1+0.000692626337656569i</v>
      </c>
      <c r="AK181" s="32">
        <f t="shared" si="125"/>
        <v>1.0000002398655929</v>
      </c>
      <c r="AL181" s="32">
        <f t="shared" si="126"/>
        <v>6.9262622689843613E-4</v>
      </c>
      <c r="AM181" s="32" t="str">
        <f t="shared" si="111"/>
        <v>1+0.0699552601033135i</v>
      </c>
      <c r="AN181" s="32">
        <f t="shared" si="127"/>
        <v>1.0024438829261828</v>
      </c>
      <c r="AO181" s="32">
        <f t="shared" si="128"/>
        <v>6.9841479755758801E-2</v>
      </c>
      <c r="AP181" s="60" t="str">
        <f t="shared" si="129"/>
        <v>-0.430138967772079+6.21056095973444i</v>
      </c>
      <c r="AQ181" s="51">
        <f t="shared" si="130"/>
        <v>15.883399217640115</v>
      </c>
      <c r="AR181" s="63">
        <f t="shared" si="131"/>
        <v>93.961937465372017</v>
      </c>
      <c r="AS181" s="60" t="str">
        <f t="shared" si="132"/>
        <v>188.302277547531+60.2954234761238i</v>
      </c>
      <c r="AT181" s="66">
        <f t="shared" si="133"/>
        <v>45.921021747628458</v>
      </c>
      <c r="AU181" s="63">
        <f t="shared" si="134"/>
        <v>17.755351175969597</v>
      </c>
      <c r="AX181" s="32">
        <f t="shared" si="135"/>
        <v>0</v>
      </c>
      <c r="AY181" s="32">
        <f t="shared" si="136"/>
        <v>0</v>
      </c>
    </row>
    <row r="182" spans="14:51" x14ac:dyDescent="0.3">
      <c r="N182" s="11">
        <v>64</v>
      </c>
      <c r="O182" s="52">
        <f t="shared" si="102"/>
        <v>436.51583224016622</v>
      </c>
      <c r="P182" s="50" t="str">
        <f t="shared" si="103"/>
        <v>131.578947368421</v>
      </c>
      <c r="Q182" s="18" t="str">
        <f t="shared" si="104"/>
        <v>1+4.11406479522402i</v>
      </c>
      <c r="R182" s="18">
        <f t="shared" si="112"/>
        <v>4.2338551155302486</v>
      </c>
      <c r="S182" s="18">
        <f t="shared" si="113"/>
        <v>1.3323518913431731</v>
      </c>
      <c r="T182" s="18" t="str">
        <f t="shared" si="105"/>
        <v>1+9.05094254949284E-06i</v>
      </c>
      <c r="U182" s="18">
        <f t="shared" si="114"/>
        <v>1.0000000000409597</v>
      </c>
      <c r="V182" s="18">
        <f t="shared" si="115"/>
        <v>9.0509425492456905E-6</v>
      </c>
      <c r="W182" s="32" t="str">
        <f t="shared" si="106"/>
        <v>1-0.00219416789078614i</v>
      </c>
      <c r="X182" s="18">
        <f t="shared" si="116"/>
        <v>1.0000024071834692</v>
      </c>
      <c r="Y182" s="18">
        <f t="shared" si="117"/>
        <v>-2.194164369615623E-3</v>
      </c>
      <c r="Z182" s="32" t="str">
        <f t="shared" si="107"/>
        <v>0.999999878050514+0.000928671936231854i</v>
      </c>
      <c r="AA182" s="18">
        <f t="shared" si="118"/>
        <v>1.0000003092662564</v>
      </c>
      <c r="AB182" s="18">
        <f t="shared" si="119"/>
        <v>9.2867178251097643E-4</v>
      </c>
      <c r="AC182" s="68" t="str">
        <f t="shared" si="120"/>
        <v>7.24625845487568-30.2212855839904i</v>
      </c>
      <c r="AD182" s="66">
        <f t="shared" si="121"/>
        <v>29.849026533378222</v>
      </c>
      <c r="AE182" s="63">
        <f t="shared" si="122"/>
        <v>-76.51654695105573</v>
      </c>
      <c r="AF182" s="32" t="str">
        <f t="shared" si="108"/>
        <v>-0.434440565864413</v>
      </c>
      <c r="AG182" s="32" t="str">
        <f t="shared" si="109"/>
        <v>0.071584727436898i</v>
      </c>
      <c r="AH182" s="32">
        <f t="shared" si="123"/>
        <v>7.1584727436898005E-2</v>
      </c>
      <c r="AI182" s="32">
        <f t="shared" si="124"/>
        <v>1.5707963267948966</v>
      </c>
      <c r="AJ182" s="32" t="str">
        <f t="shared" si="110"/>
        <v>1+0.00070875967759305i</v>
      </c>
      <c r="AK182" s="32">
        <f t="shared" si="125"/>
        <v>1.0000002511701087</v>
      </c>
      <c r="AL182" s="32">
        <f t="shared" si="126"/>
        <v>7.0875955891357405E-4</v>
      </c>
      <c r="AM182" s="32" t="str">
        <f t="shared" si="111"/>
        <v>1+0.071584727436898i</v>
      </c>
      <c r="AN182" s="32">
        <f t="shared" si="127"/>
        <v>1.0025589125843004</v>
      </c>
      <c r="AO182" s="32">
        <f t="shared" si="128"/>
        <v>7.1462826398166798E-2</v>
      </c>
      <c r="AP182" s="60" t="str">
        <f t="shared" si="129"/>
        <v>-0.430138958047056+6.06920505405297i</v>
      </c>
      <c r="AQ182" s="51">
        <f t="shared" si="130"/>
        <v>15.684395761369172</v>
      </c>
      <c r="AR182" s="63">
        <f t="shared" si="131"/>
        <v>94.053909413275733</v>
      </c>
      <c r="AS182" s="60" t="str">
        <f t="shared" si="132"/>
        <v>180.302281144813+56.9783807292457i</v>
      </c>
      <c r="AT182" s="66">
        <f t="shared" si="133"/>
        <v>45.533422294747396</v>
      </c>
      <c r="AU182" s="63">
        <f t="shared" si="134"/>
        <v>17.537362462220006</v>
      </c>
      <c r="AX182" s="32">
        <f t="shared" si="135"/>
        <v>0</v>
      </c>
      <c r="AY182" s="32">
        <f t="shared" si="136"/>
        <v>0</v>
      </c>
    </row>
    <row r="183" spans="14:51" x14ac:dyDescent="0.3">
      <c r="N183" s="11">
        <v>65</v>
      </c>
      <c r="O183" s="52">
        <f t="shared" si="102"/>
        <v>446.68359215096331</v>
      </c>
      <c r="P183" s="50" t="str">
        <f t="shared" si="103"/>
        <v>131.578947368421</v>
      </c>
      <c r="Q183" s="18" t="str">
        <f t="shared" si="104"/>
        <v>1+4.20989367474169i</v>
      </c>
      <c r="R183" s="18">
        <f t="shared" si="112"/>
        <v>4.3270318640645682</v>
      </c>
      <c r="S183" s="18">
        <f t="shared" si="113"/>
        <v>1.3375827418106052</v>
      </c>
      <c r="T183" s="18" t="str">
        <f t="shared" si="105"/>
        <v>1+9.26176608443173E-06i</v>
      </c>
      <c r="U183" s="18">
        <f t="shared" si="114"/>
        <v>1.0000000000428901</v>
      </c>
      <c r="V183" s="18">
        <f t="shared" si="115"/>
        <v>9.261766084166903E-6</v>
      </c>
      <c r="W183" s="32" t="str">
        <f t="shared" si="106"/>
        <v>1-0.0022452766265289i</v>
      </c>
      <c r="X183" s="18">
        <f t="shared" si="116"/>
        <v>1.0000025206303882</v>
      </c>
      <c r="Y183" s="18">
        <f t="shared" si="117"/>
        <v>-2.2452728535272276E-3</v>
      </c>
      <c r="Z183" s="32" t="str">
        <f t="shared" si="107"/>
        <v>0.999999872303212+0.000950303484473856i</v>
      </c>
      <c r="AA183" s="18">
        <f t="shared" si="118"/>
        <v>1.0000003238415238</v>
      </c>
      <c r="AB183" s="18">
        <f t="shared" si="119"/>
        <v>9.503033197589706E-4</v>
      </c>
      <c r="AC183" s="68" t="str">
        <f t="shared" si="120"/>
        <v>6.93329819390072-29.6077003188933i</v>
      </c>
      <c r="AD183" s="66">
        <f t="shared" si="121"/>
        <v>29.659945369091524</v>
      </c>
      <c r="AE183" s="63">
        <f t="shared" si="122"/>
        <v>-76.82040822301893</v>
      </c>
      <c r="AF183" s="32" t="str">
        <f t="shared" si="108"/>
        <v>-0.434440565864413</v>
      </c>
      <c r="AG183" s="32" t="str">
        <f t="shared" si="109"/>
        <v>0.0732521499405056i</v>
      </c>
      <c r="AH183" s="32">
        <f t="shared" si="123"/>
        <v>7.3252149940505606E-2</v>
      </c>
      <c r="AI183" s="32">
        <f t="shared" si="124"/>
        <v>1.5707963267948966</v>
      </c>
      <c r="AJ183" s="32" t="str">
        <f t="shared" si="110"/>
        <v>1+0.000725268811292134i</v>
      </c>
      <c r="AK183" s="32">
        <f t="shared" si="125"/>
        <v>1.0000002630073896</v>
      </c>
      <c r="AL183" s="32">
        <f t="shared" si="126"/>
        <v>7.2526868412478617E-4</v>
      </c>
      <c r="AM183" s="32" t="str">
        <f t="shared" si="111"/>
        <v>1+0.0732521499405056i</v>
      </c>
      <c r="AN183" s="32">
        <f t="shared" si="127"/>
        <v>1.0026793492791732</v>
      </c>
      <c r="AO183" s="32">
        <f t="shared" si="128"/>
        <v>7.3121549468018396E-2</v>
      </c>
      <c r="AP183" s="60" t="str">
        <f t="shared" si="129"/>
        <v>-0.430138947863707+5.93106712122588i</v>
      </c>
      <c r="AQ183" s="51">
        <f t="shared" si="130"/>
        <v>15.485439025678039</v>
      </c>
      <c r="AR183" s="63">
        <f t="shared" si="131"/>
        <v>94.148001341361166</v>
      </c>
      <c r="AS183" s="60" t="str">
        <f t="shared" si="132"/>
        <v>172.622976306147+53.857282023332i</v>
      </c>
      <c r="AT183" s="66">
        <f t="shared" si="133"/>
        <v>45.14538439476955</v>
      </c>
      <c r="AU183" s="63">
        <f t="shared" si="134"/>
        <v>17.327593118342257</v>
      </c>
      <c r="AX183" s="32">
        <f t="shared" si="135"/>
        <v>0</v>
      </c>
      <c r="AY183" s="32">
        <f t="shared" si="136"/>
        <v>0</v>
      </c>
    </row>
    <row r="184" spans="14:51" x14ac:dyDescent="0.3">
      <c r="N184" s="11">
        <v>66</v>
      </c>
      <c r="O184" s="52">
        <f t="shared" ref="O184:O218" si="137">10^(2+(N184/100))</f>
        <v>457.0881896148756</v>
      </c>
      <c r="P184" s="50" t="str">
        <f t="shared" si="103"/>
        <v>131.578947368421</v>
      </c>
      <c r="Q184" s="18" t="str">
        <f t="shared" si="104"/>
        <v>1+4.30795469561025i</v>
      </c>
      <c r="R184" s="18">
        <f t="shared" si="112"/>
        <v>4.4224963153665149</v>
      </c>
      <c r="S184" s="18">
        <f t="shared" si="113"/>
        <v>1.342707114852431</v>
      </c>
      <c r="T184" s="18" t="str">
        <f t="shared" si="105"/>
        <v>1+9.47750033034255E-06i</v>
      </c>
      <c r="U184" s="18">
        <f t="shared" si="114"/>
        <v>1.0000000000449116</v>
      </c>
      <c r="V184" s="18">
        <f t="shared" si="115"/>
        <v>9.4775003300587837E-6</v>
      </c>
      <c r="W184" s="32" t="str">
        <f t="shared" si="106"/>
        <v>1-0.0022975758376588i</v>
      </c>
      <c r="X184" s="18">
        <f t="shared" si="116"/>
        <v>1.0000026394238817</v>
      </c>
      <c r="Y184" s="18">
        <f t="shared" si="117"/>
        <v>-2.2975717948152457E-3</v>
      </c>
      <c r="Z184" s="32" t="str">
        <f t="shared" si="107"/>
        <v>0.999999866285048+0.000972438896202079i</v>
      </c>
      <c r="AA184" s="18">
        <f t="shared" si="118"/>
        <v>1.0000003391037029</v>
      </c>
      <c r="AB184" s="18">
        <f t="shared" si="119"/>
        <v>9.724387197069022E-4</v>
      </c>
      <c r="AC184" s="68" t="str">
        <f t="shared" si="120"/>
        <v>6.63294917357043-29.0034622666365i</v>
      </c>
      <c r="AD184" s="66">
        <f t="shared" si="121"/>
        <v>29.470398540142682</v>
      </c>
      <c r="AE184" s="63">
        <f t="shared" si="122"/>
        <v>-77.118265583908055</v>
      </c>
      <c r="AF184" s="32" t="str">
        <f t="shared" si="108"/>
        <v>-0.434440565864413</v>
      </c>
      <c r="AG184" s="32" t="str">
        <f t="shared" si="109"/>
        <v>0.0749584117036184i</v>
      </c>
      <c r="AH184" s="32">
        <f t="shared" si="123"/>
        <v>7.4958411703618402E-2</v>
      </c>
      <c r="AI184" s="32">
        <f t="shared" si="124"/>
        <v>1.5707963267948966</v>
      </c>
      <c r="AJ184" s="32" t="str">
        <f t="shared" si="110"/>
        <v>1+0.000742162492115034i</v>
      </c>
      <c r="AK184" s="32">
        <f t="shared" si="125"/>
        <v>1.0000002754025445</v>
      </c>
      <c r="AL184" s="32">
        <f t="shared" si="126"/>
        <v>7.4216235585276781E-4</v>
      </c>
      <c r="AM184" s="32" t="str">
        <f t="shared" si="111"/>
        <v>1+0.0749584117036184i</v>
      </c>
      <c r="AN184" s="32">
        <f t="shared" si="127"/>
        <v>1.0028054464775953</v>
      </c>
      <c r="AO184" s="32">
        <f t="shared" si="128"/>
        <v>7.4818491911784454E-2</v>
      </c>
      <c r="AP184" s="60" t="str">
        <f t="shared" si="129"/>
        <v>-0.430138937200433+5.79607391869276i</v>
      </c>
      <c r="AQ184" s="51">
        <f t="shared" si="130"/>
        <v>15.286531188924336</v>
      </c>
      <c r="AR184" s="63">
        <f t="shared" si="131"/>
        <v>94.244261045375069</v>
      </c>
      <c r="AS184" s="60" t="str">
        <f t="shared" si="132"/>
        <v>165.253121487417+50.9205821434501i</v>
      </c>
      <c r="AT184" s="66">
        <f t="shared" si="133"/>
        <v>44.756929729066997</v>
      </c>
      <c r="AU184" s="63">
        <f t="shared" si="134"/>
        <v>17.125995461467046</v>
      </c>
      <c r="AX184" s="32">
        <f t="shared" si="135"/>
        <v>0</v>
      </c>
      <c r="AY184" s="32">
        <f t="shared" si="136"/>
        <v>0</v>
      </c>
    </row>
    <row r="185" spans="14:51" x14ac:dyDescent="0.3">
      <c r="N185" s="11">
        <v>67</v>
      </c>
      <c r="O185" s="52">
        <f t="shared" si="137"/>
        <v>467.7351412871983</v>
      </c>
      <c r="P185" s="50" t="str">
        <f t="shared" si="103"/>
        <v>131.578947368421</v>
      </c>
      <c r="Q185" s="18" t="str">
        <f t="shared" si="104"/>
        <v>1+4.40829985108093i</v>
      </c>
      <c r="R185" s="18">
        <f t="shared" si="112"/>
        <v>4.5202995008118814</v>
      </c>
      <c r="S185" s="18">
        <f t="shared" si="113"/>
        <v>1.3477266505066132</v>
      </c>
      <c r="T185" s="18" t="str">
        <f t="shared" si="105"/>
        <v>1+9.69825967237806E-06i</v>
      </c>
      <c r="U185" s="18">
        <f t="shared" si="114"/>
        <v>1.0000000000470282</v>
      </c>
      <c r="V185" s="18">
        <f t="shared" si="115"/>
        <v>9.6982596720739987E-6</v>
      </c>
      <c r="W185" s="32" t="str">
        <f t="shared" si="106"/>
        <v>1-0.00235109325390983i</v>
      </c>
      <c r="X185" s="18">
        <f t="shared" si="116"/>
        <v>1.000002763815925</v>
      </c>
      <c r="Y185" s="18">
        <f t="shared" si="117"/>
        <v>-2.3510889219255601E-3</v>
      </c>
      <c r="Z185" s="32" t="str">
        <f t="shared" si="107"/>
        <v>0.999999859983256+0.000995089907904819i</v>
      </c>
      <c r="AA185" s="18">
        <f t="shared" si="118"/>
        <v>1.0000003550851653</v>
      </c>
      <c r="AB185" s="18">
        <f t="shared" si="119"/>
        <v>9.9508971878683387E-4</v>
      </c>
      <c r="AC185" s="68" t="str">
        <f t="shared" si="120"/>
        <v>6.34476376723151-28.4086319896417i</v>
      </c>
      <c r="AD185" s="66">
        <f t="shared" si="121"/>
        <v>29.280404861737491</v>
      </c>
      <c r="AE185" s="63">
        <f t="shared" si="122"/>
        <v>-77.410215255593698</v>
      </c>
      <c r="AF185" s="32" t="str">
        <f t="shared" si="108"/>
        <v>-0.434440565864413</v>
      </c>
      <c r="AG185" s="32" t="str">
        <f t="shared" si="109"/>
        <v>0.0767044174088083i</v>
      </c>
      <c r="AH185" s="32">
        <f t="shared" si="123"/>
        <v>7.6704417408808304E-2</v>
      </c>
      <c r="AI185" s="32">
        <f t="shared" si="124"/>
        <v>1.5707963267948966</v>
      </c>
      <c r="AJ185" s="32" t="str">
        <f t="shared" si="110"/>
        <v>1+0.000759449677314934i</v>
      </c>
      <c r="AK185" s="32">
        <f t="shared" si="125"/>
        <v>1.0000002883818646</v>
      </c>
      <c r="AL185" s="32">
        <f t="shared" si="126"/>
        <v>7.5944953130728749E-4</v>
      </c>
      <c r="AM185" s="32" t="str">
        <f t="shared" si="111"/>
        <v>1+0.0767044174088083i</v>
      </c>
      <c r="AN185" s="32">
        <f t="shared" si="127"/>
        <v>1.0029374694615933</v>
      </c>
      <c r="AO185" s="32">
        <f t="shared" si="128"/>
        <v>7.655451435660604E-2</v>
      </c>
      <c r="AP185" s="60" t="str">
        <f t="shared" si="129"/>
        <v>-0.430138926034614+5.66415387127067i</v>
      </c>
      <c r="AQ185" s="51">
        <f t="shared" si="130"/>
        <v>15.087674529878559</v>
      </c>
      <c r="AR185" s="63">
        <f t="shared" si="131"/>
        <v>94.342737322410088</v>
      </c>
      <c r="AS185" s="60" t="str">
        <f t="shared" si="132"/>
        <v>158.181732988853+48.1573767085993i</v>
      </c>
      <c r="AT185" s="66">
        <f t="shared" si="133"/>
        <v>44.368079391616071</v>
      </c>
      <c r="AU185" s="63">
        <f t="shared" si="134"/>
        <v>16.932522066816361</v>
      </c>
      <c r="AX185" s="32">
        <f t="shared" si="135"/>
        <v>0</v>
      </c>
      <c r="AY185" s="32">
        <f t="shared" si="136"/>
        <v>0</v>
      </c>
    </row>
    <row r="186" spans="14:51" x14ac:dyDescent="0.3">
      <c r="N186" s="11">
        <v>68</v>
      </c>
      <c r="O186" s="52">
        <f t="shared" si="137"/>
        <v>478.63009232263886</v>
      </c>
      <c r="P186" s="50" t="str">
        <f t="shared" si="103"/>
        <v>131.578947368421</v>
      </c>
      <c r="Q186" s="18" t="str">
        <f t="shared" si="104"/>
        <v>1+4.51098234548341i</v>
      </c>
      <c r="R186" s="18">
        <f t="shared" si="112"/>
        <v>4.6204936664022176</v>
      </c>
      <c r="S186" s="18">
        <f t="shared" si="113"/>
        <v>1.3526429979764496</v>
      </c>
      <c r="T186" s="18" t="str">
        <f t="shared" si="105"/>
        <v>1+9.92416116006352E-06i</v>
      </c>
      <c r="U186" s="18">
        <f t="shared" si="114"/>
        <v>1.0000000000492446</v>
      </c>
      <c r="V186" s="18">
        <f t="shared" si="115"/>
        <v>9.9241611597377141E-6</v>
      </c>
      <c r="W186" s="32" t="str">
        <f t="shared" si="106"/>
        <v>1-0.00240585725092449i</v>
      </c>
      <c r="X186" s="18">
        <f t="shared" si="116"/>
        <v>1.000002894070368</v>
      </c>
      <c r="Y186" s="18">
        <f t="shared" si="117"/>
        <v>-2.4058526091204403E-3</v>
      </c>
      <c r="Z186" s="32" t="str">
        <f t="shared" si="107"/>
        <v>0.99999985338447+0.0010182685294483i</v>
      </c>
      <c r="AA186" s="18">
        <f t="shared" si="118"/>
        <v>1.0000003718198105</v>
      </c>
      <c r="AB186" s="18">
        <f t="shared" si="119"/>
        <v>1.0182683268047321E-3</v>
      </c>
      <c r="AC186" s="68" t="str">
        <f t="shared" si="120"/>
        <v>6.06830511598894-27.8232539232999i</v>
      </c>
      <c r="AD186" s="66">
        <f t="shared" si="121"/>
        <v>29.089982477441811</v>
      </c>
      <c r="AE186" s="63">
        <f t="shared" si="122"/>
        <v>-77.69635403759456</v>
      </c>
      <c r="AF186" s="32" t="str">
        <f t="shared" si="108"/>
        <v>-0.434440565864413</v>
      </c>
      <c r="AG186" s="32" t="str">
        <f t="shared" si="109"/>
        <v>0.0784910928114115i</v>
      </c>
      <c r="AH186" s="32">
        <f t="shared" si="123"/>
        <v>7.8491092811411506E-2</v>
      </c>
      <c r="AI186" s="32">
        <f t="shared" si="124"/>
        <v>1.5707963267948966</v>
      </c>
      <c r="AJ186" s="32" t="str">
        <f t="shared" si="110"/>
        <v>1+0.000777139532786252i</v>
      </c>
      <c r="AK186" s="32">
        <f t="shared" si="125"/>
        <v>1.0000003019728811</v>
      </c>
      <c r="AL186" s="32">
        <f t="shared" si="126"/>
        <v>7.7713937633624259E-4</v>
      </c>
      <c r="AM186" s="32" t="str">
        <f t="shared" si="111"/>
        <v>1+0.0784910928114115i</v>
      </c>
      <c r="AN186" s="32">
        <f t="shared" si="127"/>
        <v>1.0030756958728138</v>
      </c>
      <c r="AO186" s="32">
        <f t="shared" si="128"/>
        <v>7.8330495385314086E-2</v>
      </c>
      <c r="AP186" s="60" t="str">
        <f t="shared" si="129"/>
        <v>-0.430138914342568+5.53523703320425i</v>
      </c>
      <c r="AQ186" s="51">
        <f t="shared" si="130"/>
        <v>14.888871432242489</v>
      </c>
      <c r="AR186" s="63">
        <f t="shared" si="131"/>
        <v>94.443479986389988</v>
      </c>
      <c r="AS186" s="60" t="str">
        <f t="shared" si="132"/>
        <v>151.398091326004+45.5573714428506i</v>
      </c>
      <c r="AT186" s="66">
        <f t="shared" si="133"/>
        <v>43.978853909684297</v>
      </c>
      <c r="AU186" s="63">
        <f t="shared" si="134"/>
        <v>16.747125948795439</v>
      </c>
      <c r="AX186" s="32">
        <f t="shared" si="135"/>
        <v>0</v>
      </c>
      <c r="AY186" s="32">
        <f t="shared" si="136"/>
        <v>0</v>
      </c>
    </row>
    <row r="187" spans="14:51" x14ac:dyDescent="0.3">
      <c r="N187" s="11">
        <v>69</v>
      </c>
      <c r="O187" s="52">
        <f t="shared" si="137"/>
        <v>489.77881936844625</v>
      </c>
      <c r="P187" s="50" t="str">
        <f t="shared" si="103"/>
        <v>131.578947368421</v>
      </c>
      <c r="Q187" s="18" t="str">
        <f t="shared" si="104"/>
        <v>1+4.61605662243538i</v>
      </c>
      <c r="R187" s="18">
        <f t="shared" si="112"/>
        <v>4.7231323019294651</v>
      </c>
      <c r="S187" s="18">
        <f t="shared" si="113"/>
        <v>1.3574578128997488</v>
      </c>
      <c r="T187" s="18" t="str">
        <f t="shared" si="105"/>
        <v>1+0.0000101553245693578i</v>
      </c>
      <c r="U187" s="18">
        <f t="shared" si="114"/>
        <v>1.0000000000515654</v>
      </c>
      <c r="V187" s="18">
        <f t="shared" si="115"/>
        <v>1.0155324569008692E-5</v>
      </c>
      <c r="W187" s="32" t="str">
        <f t="shared" si="106"/>
        <v>1-0.00246189686529887i</v>
      </c>
      <c r="X187" s="18">
        <f t="shared" si="116"/>
        <v>1.0000030304634959</v>
      </c>
      <c r="Y187" s="18">
        <f t="shared" si="117"/>
        <v>-2.4618918915170341E-3</v>
      </c>
      <c r="Z187" s="32" t="str">
        <f t="shared" si="107"/>
        <v>0.999999846474693+0.00104198705044448i</v>
      </c>
      <c r="AA187" s="18">
        <f t="shared" si="118"/>
        <v>1.0000003893431355</v>
      </c>
      <c r="AB187" s="18">
        <f t="shared" si="119"/>
        <v>1.041986833307989E-3</v>
      </c>
      <c r="AC187" s="68" t="str">
        <f t="shared" si="120"/>
        <v>5.80314733011932-27.2473573905213i</v>
      </c>
      <c r="AD187" s="66">
        <f t="shared" si="121"/>
        <v>28.899148875700888</v>
      </c>
      <c r="AE187" s="63">
        <f t="shared" si="122"/>
        <v>-77.976779151835728</v>
      </c>
      <c r="AF187" s="32" t="str">
        <f t="shared" si="108"/>
        <v>-0.434440565864413</v>
      </c>
      <c r="AG187" s="32" t="str">
        <f t="shared" si="109"/>
        <v>0.0803193852303758i</v>
      </c>
      <c r="AH187" s="32">
        <f t="shared" si="123"/>
        <v>8.0319385230375795E-2</v>
      </c>
      <c r="AI187" s="32">
        <f t="shared" si="124"/>
        <v>1.5707963267948966</v>
      </c>
      <c r="AJ187" s="32" t="str">
        <f t="shared" si="110"/>
        <v>1+0.000795241437924513i</v>
      </c>
      <c r="AK187" s="32">
        <f t="shared" si="125"/>
        <v>1.0000003162044222</v>
      </c>
      <c r="AL187" s="32">
        <f t="shared" si="126"/>
        <v>7.9524127028531043E-4</v>
      </c>
      <c r="AM187" s="32" t="str">
        <f t="shared" si="111"/>
        <v>1+0.0803193852303758i</v>
      </c>
      <c r="AN187" s="32">
        <f t="shared" si="127"/>
        <v>1.00322041628138</v>
      </c>
      <c r="AO187" s="32">
        <f t="shared" si="128"/>
        <v>8.0147331808423428E-2</v>
      </c>
      <c r="AP187" s="60" t="str">
        <f t="shared" si="129"/>
        <v>-0.430138902099492+5.40925505107954i</v>
      </c>
      <c r="AQ187" s="51">
        <f t="shared" si="130"/>
        <v>14.69012438935991</v>
      </c>
      <c r="AR187" s="63">
        <f t="shared" si="131"/>
        <v>94.546539883375303</v>
      </c>
      <c r="AS187" s="60" t="str">
        <f t="shared" si="132"/>
        <v>144.891746171948+43.110852400678i</v>
      </c>
      <c r="AT187" s="66">
        <f t="shared" si="133"/>
        <v>43.589273265060811</v>
      </c>
      <c r="AU187" s="63">
        <f t="shared" si="134"/>
        <v>16.569760731539528</v>
      </c>
      <c r="AX187" s="32">
        <f t="shared" si="135"/>
        <v>0</v>
      </c>
      <c r="AY187" s="32">
        <f t="shared" si="136"/>
        <v>0</v>
      </c>
    </row>
    <row r="188" spans="14:51" x14ac:dyDescent="0.3">
      <c r="N188" s="11">
        <v>70</v>
      </c>
      <c r="O188" s="52">
        <f t="shared" si="137"/>
        <v>501.18723362727269</v>
      </c>
      <c r="P188" s="50" t="str">
        <f t="shared" si="103"/>
        <v>131.578947368421</v>
      </c>
      <c r="Q188" s="18" t="str">
        <f t="shared" si="104"/>
        <v>1+4.72357839370929i</v>
      </c>
      <c r="R188" s="18">
        <f t="shared" si="112"/>
        <v>4.8282701707254576</v>
      </c>
      <c r="S188" s="18">
        <f t="shared" si="113"/>
        <v>1.3621727547923284</v>
      </c>
      <c r="T188" s="18" t="str">
        <f t="shared" si="105"/>
        <v>1+0.0000103918724661604i</v>
      </c>
      <c r="U188" s="18">
        <f t="shared" si="114"/>
        <v>1.0000000000539955</v>
      </c>
      <c r="V188" s="18">
        <f t="shared" si="115"/>
        <v>1.0391872465786323E-5</v>
      </c>
      <c r="W188" s="32" t="str">
        <f t="shared" si="106"/>
        <v>1-0.00251924180997829i</v>
      </c>
      <c r="X188" s="18">
        <f t="shared" si="116"/>
        <v>1.0000031732846137</v>
      </c>
      <c r="Y188" s="18">
        <f t="shared" si="117"/>
        <v>-2.5192364804759457E-3</v>
      </c>
      <c r="Z188" s="32" t="str">
        <f t="shared" si="107"/>
        <v>0.999999839239268+0.00106625804676713i</v>
      </c>
      <c r="AA188" s="18">
        <f t="shared" si="118"/>
        <v>1.000000407692309</v>
      </c>
      <c r="AB188" s="18">
        <f t="shared" si="119"/>
        <v>1.0662578141011929E-3</v>
      </c>
      <c r="AC188" s="68" t="str">
        <f t="shared" si="120"/>
        <v>5.54887563701944-26.6809575807448i</v>
      </c>
      <c r="AD188" s="66">
        <f t="shared" si="121"/>
        <v>28.707920906622689</v>
      </c>
      <c r="AE188" s="63">
        <f t="shared" si="122"/>
        <v>-78.251588097423195</v>
      </c>
      <c r="AF188" s="32" t="str">
        <f t="shared" si="108"/>
        <v>-0.434440565864413</v>
      </c>
      <c r="AG188" s="32" t="str">
        <f t="shared" si="109"/>
        <v>0.0821902640505417i</v>
      </c>
      <c r="AH188" s="32">
        <f t="shared" si="123"/>
        <v>8.2190264050541695E-2</v>
      </c>
      <c r="AI188" s="32">
        <f t="shared" si="124"/>
        <v>1.5707963267948966</v>
      </c>
      <c r="AJ188" s="32" t="str">
        <f t="shared" si="110"/>
        <v>1+0.000813764990599423i</v>
      </c>
      <c r="AK188" s="32">
        <f t="shared" si="125"/>
        <v>1.0000003311066752</v>
      </c>
      <c r="AL188" s="32">
        <f t="shared" si="126"/>
        <v>8.1376481097078437E-4</v>
      </c>
      <c r="AM188" s="32" t="str">
        <f t="shared" si="111"/>
        <v>1+0.0821902640505417i</v>
      </c>
      <c r="AN188" s="32">
        <f t="shared" si="127"/>
        <v>1.0033719347802676</v>
      </c>
      <c r="AO188" s="32">
        <f t="shared" si="128"/>
        <v>8.2005938932399172E-2</v>
      </c>
      <c r="AP188" s="60" t="str">
        <f t="shared" si="129"/>
        <v>-0.430138889279419+5.28614112758194i</v>
      </c>
      <c r="AQ188" s="51">
        <f t="shared" si="130"/>
        <v>14.491436009126975</v>
      </c>
      <c r="AR188" s="63">
        <f t="shared" si="131"/>
        <v>94.651968906649131</v>
      </c>
      <c r="AS188" s="60" t="str">
        <f t="shared" si="132"/>
        <v>138.652519987587+40.8086571753788i</v>
      </c>
      <c r="AT188" s="66">
        <f t="shared" si="133"/>
        <v>43.199356915749661</v>
      </c>
      <c r="AU188" s="63">
        <f t="shared" si="134"/>
        <v>16.400380809225975</v>
      </c>
      <c r="AX188" s="32">
        <f t="shared" si="135"/>
        <v>0</v>
      </c>
      <c r="AY188" s="32">
        <f t="shared" si="136"/>
        <v>0</v>
      </c>
    </row>
    <row r="189" spans="14:51" x14ac:dyDescent="0.3">
      <c r="N189" s="11">
        <v>71</v>
      </c>
      <c r="O189" s="52">
        <f t="shared" si="137"/>
        <v>512.86138399136519</v>
      </c>
      <c r="P189" s="50" t="str">
        <f t="shared" si="103"/>
        <v>131.578947368421</v>
      </c>
      <c r="Q189" s="18" t="str">
        <f t="shared" si="104"/>
        <v>1+4.83360466877149i</v>
      </c>
      <c r="R189" s="18">
        <f t="shared" si="112"/>
        <v>4.935963340014748</v>
      </c>
      <c r="S189" s="18">
        <f t="shared" si="113"/>
        <v>1.3667894846595288</v>
      </c>
      <c r="T189" s="18" t="str">
        <f t="shared" si="105"/>
        <v>1+0.0000106339302712973i</v>
      </c>
      <c r="U189" s="18">
        <f t="shared" si="114"/>
        <v>1.0000000000565401</v>
      </c>
      <c r="V189" s="18">
        <f t="shared" si="115"/>
        <v>1.063393027089647E-5</v>
      </c>
      <c r="W189" s="32" t="str">
        <f t="shared" si="106"/>
        <v>1-0.00257792249001146i</v>
      </c>
      <c r="X189" s="18">
        <f t="shared" si="116"/>
        <v>1.0000033228366616</v>
      </c>
      <c r="Y189" s="18">
        <f t="shared" si="117"/>
        <v>-2.5779167793478358E-3</v>
      </c>
      <c r="Z189" s="32" t="str">
        <f t="shared" si="107"/>
        <v>0.999999831662849+0.00109109438721976i</v>
      </c>
      <c r="AA189" s="18">
        <f t="shared" si="118"/>
        <v>1.000000426906253</v>
      </c>
      <c r="AB189" s="18">
        <f t="shared" si="119"/>
        <v>1.0910941379137216E-3</v>
      </c>
      <c r="AC189" s="68" t="str">
        <f t="shared" si="120"/>
        <v>5.30508648025075-26.1240564924831i</v>
      </c>
      <c r="AD189" s="66">
        <f t="shared" si="121"/>
        <v>28.516314798949509</v>
      </c>
      <c r="AE189" s="63">
        <f t="shared" si="122"/>
        <v>-78.520878515074145</v>
      </c>
      <c r="AF189" s="32" t="str">
        <f t="shared" si="108"/>
        <v>-0.434440565864413</v>
      </c>
      <c r="AG189" s="32" t="str">
        <f t="shared" si="109"/>
        <v>0.0841047212366241i</v>
      </c>
      <c r="AH189" s="32">
        <f t="shared" si="123"/>
        <v>8.4104721236624103E-2</v>
      </c>
      <c r="AI189" s="32">
        <f t="shared" si="124"/>
        <v>1.5707963267948966</v>
      </c>
      <c r="AJ189" s="32" t="str">
        <f t="shared" si="110"/>
        <v>1+0.000832720012243803i</v>
      </c>
      <c r="AK189" s="32">
        <f t="shared" si="125"/>
        <v>1.0000003467112493</v>
      </c>
      <c r="AL189" s="32">
        <f t="shared" si="126"/>
        <v>8.3271981976825251E-4</v>
      </c>
      <c r="AM189" s="32" t="str">
        <f t="shared" si="111"/>
        <v>1+0.0841047212366241i</v>
      </c>
      <c r="AN189" s="32">
        <f t="shared" si="127"/>
        <v>1.0035305696062728</v>
      </c>
      <c r="AO189" s="32">
        <f t="shared" si="128"/>
        <v>8.3907250823436558E-2</v>
      </c>
      <c r="AP189" s="60" t="str">
        <f t="shared" si="129"/>
        <v>-0.430138875855156+5.16582998607954i</v>
      </c>
      <c r="AQ189" s="51">
        <f t="shared" si="130"/>
        <v>14.292809019110212</v>
      </c>
      <c r="AR189" s="63">
        <f t="shared" si="131"/>
        <v>94.759820011538892</v>
      </c>
      <c r="AS189" s="60" t="str">
        <f t="shared" si="132"/>
        <v>132.670510451976+38.6421471108778i</v>
      </c>
      <c r="AT189" s="66">
        <f t="shared" si="133"/>
        <v>42.809123818059746</v>
      </c>
      <c r="AU189" s="63">
        <f t="shared" si="134"/>
        <v>16.238941496464744</v>
      </c>
      <c r="AX189" s="32">
        <f t="shared" si="135"/>
        <v>0</v>
      </c>
      <c r="AY189" s="32">
        <f t="shared" si="136"/>
        <v>0</v>
      </c>
    </row>
    <row r="190" spans="14:51" x14ac:dyDescent="0.3">
      <c r="N190" s="11">
        <v>72</v>
      </c>
      <c r="O190" s="52">
        <f t="shared" si="137"/>
        <v>524.80746024977248</v>
      </c>
      <c r="P190" s="50" t="str">
        <f t="shared" si="103"/>
        <v>131.578947368421</v>
      </c>
      <c r="Q190" s="18" t="str">
        <f t="shared" si="104"/>
        <v>1+4.94619378500941i</v>
      </c>
      <c r="R190" s="18">
        <f t="shared" si="112"/>
        <v>5.0462692118896824</v>
      </c>
      <c r="S190" s="18">
        <f t="shared" si="113"/>
        <v>1.37130966276931</v>
      </c>
      <c r="T190" s="18" t="str">
        <f t="shared" si="105"/>
        <v>1+0.0000108816263270207i</v>
      </c>
      <c r="U190" s="18">
        <f t="shared" si="114"/>
        <v>1.0000000000592049</v>
      </c>
      <c r="V190" s="18">
        <f t="shared" si="115"/>
        <v>1.0881626326591204E-5</v>
      </c>
      <c r="W190" s="32" t="str">
        <f t="shared" si="106"/>
        <v>1-0.00263797001867169i</v>
      </c>
      <c r="X190" s="18">
        <f t="shared" si="116"/>
        <v>1.0000034794368564</v>
      </c>
      <c r="Y190" s="18">
        <f t="shared" si="117"/>
        <v>-2.6379638995865208E-3</v>
      </c>
      <c r="Z190" s="32" t="str">
        <f t="shared" si="107"/>
        <v>0.999999823729363+0.00111650924035885i</v>
      </c>
      <c r="AA190" s="18">
        <f t="shared" si="118"/>
        <v>1.0000004470257204</v>
      </c>
      <c r="AB190" s="18">
        <f t="shared" si="119"/>
        <v>1.1165089732226231E-3</v>
      </c>
      <c r="AC190" s="68" t="str">
        <f t="shared" si="120"/>
        <v>5.07138757402307-25.5766438387843i</v>
      </c>
      <c r="AD190" s="66">
        <f t="shared" si="121"/>
        <v>28.324346177144438</v>
      </c>
      <c r="AE190" s="63">
        <f t="shared" si="122"/>
        <v>-78.784748060835227</v>
      </c>
      <c r="AF190" s="32" t="str">
        <f t="shared" si="108"/>
        <v>-0.434440565864413</v>
      </c>
      <c r="AG190" s="32" t="str">
        <f t="shared" si="109"/>
        <v>0.0860637718591639i</v>
      </c>
      <c r="AH190" s="32">
        <f t="shared" si="123"/>
        <v>8.6063771859163904E-2</v>
      </c>
      <c r="AI190" s="32">
        <f t="shared" si="124"/>
        <v>1.5707963267948966</v>
      </c>
      <c r="AJ190" s="32" t="str">
        <f t="shared" si="110"/>
        <v>1+0.000852116553061029i</v>
      </c>
      <c r="AK190" s="32">
        <f t="shared" si="125"/>
        <v>1.0000003630512442</v>
      </c>
      <c r="AL190" s="32">
        <f t="shared" si="126"/>
        <v>8.5211634681976495E-4</v>
      </c>
      <c r="AM190" s="32" t="str">
        <f t="shared" si="111"/>
        <v>1+0.0860637718591639i</v>
      </c>
      <c r="AN190" s="32">
        <f t="shared" si="127"/>
        <v>1.0036966537886964</v>
      </c>
      <c r="AO190" s="32">
        <f t="shared" si="128"/>
        <v>8.5852220565931614E-2</v>
      </c>
      <c r="AP190" s="60" t="str">
        <f t="shared" si="129"/>
        <v>-0.430138861798227+5.04825783601252i</v>
      </c>
      <c r="AQ190" s="51">
        <f t="shared" si="130"/>
        <v>14.094246271878985</v>
      </c>
      <c r="AR190" s="63">
        <f t="shared" si="131"/>
        <v>94.870147229927255</v>
      </c>
      <c r="AS190" s="60" t="str">
        <f t="shared" si="132"/>
        <v>126.936091799216+36.6031805294518i</v>
      </c>
      <c r="AT190" s="66">
        <f t="shared" si="133"/>
        <v>42.418592449023407</v>
      </c>
      <c r="AU190" s="63">
        <f t="shared" si="134"/>
        <v>16.085399169092067</v>
      </c>
      <c r="AX190" s="32">
        <f t="shared" si="135"/>
        <v>0</v>
      </c>
      <c r="AY190" s="32">
        <f t="shared" si="136"/>
        <v>0</v>
      </c>
    </row>
    <row r="191" spans="14:51" x14ac:dyDescent="0.3">
      <c r="N191" s="11">
        <v>73</v>
      </c>
      <c r="O191" s="52">
        <f t="shared" si="137"/>
        <v>537.03179637025301</v>
      </c>
      <c r="P191" s="50" t="str">
        <f t="shared" si="103"/>
        <v>131.578947368421</v>
      </c>
      <c r="Q191" s="18" t="str">
        <f t="shared" si="104"/>
        <v>1+5.06140543866274i</v>
      </c>
      <c r="R191" s="18">
        <f t="shared" si="112"/>
        <v>5.1592465549268685</v>
      </c>
      <c r="S191" s="18">
        <f t="shared" si="113"/>
        <v>1.3757349465804083</v>
      </c>
      <c r="T191" s="18" t="str">
        <f t="shared" si="105"/>
        <v>1+0.000011135091965058i</v>
      </c>
      <c r="U191" s="18">
        <f t="shared" si="114"/>
        <v>1.0000000000619953</v>
      </c>
      <c r="V191" s="18">
        <f t="shared" si="115"/>
        <v>1.1135091964597785E-5</v>
      </c>
      <c r="W191" s="32" t="str">
        <f t="shared" si="106"/>
        <v>1-0.00269941623395346i</v>
      </c>
      <c r="X191" s="18">
        <f t="shared" si="116"/>
        <v>1.0000036434173649</v>
      </c>
      <c r="Y191" s="18">
        <f t="shared" si="117"/>
        <v>-2.699409677236861E-3</v>
      </c>
      <c r="Z191" s="32" t="str">
        <f t="shared" si="107"/>
        <v>0.999999815421984+0.00114251608147592i</v>
      </c>
      <c r="AA191" s="18">
        <f t="shared" si="118"/>
        <v>1.0000004680933896</v>
      </c>
      <c r="AB191" s="18">
        <f t="shared" si="119"/>
        <v>1.1425157952343029E-3</v>
      </c>
      <c r="AC191" s="68" t="str">
        <f t="shared" si="120"/>
        <v>4.84739791724398-25.0386979152893i</v>
      </c>
      <c r="AD191" s="66">
        <f t="shared" si="121"/>
        <v>28.13203007853129</v>
      </c>
      <c r="AE191" s="63">
        <f t="shared" si="122"/>
        <v>-79.043294288715501</v>
      </c>
      <c r="AF191" s="32" t="str">
        <f t="shared" si="108"/>
        <v>-0.434440565864413</v>
      </c>
      <c r="AG191" s="32" t="str">
        <f t="shared" si="109"/>
        <v>0.0880684546327318i</v>
      </c>
      <c r="AH191" s="32">
        <f t="shared" si="123"/>
        <v>8.8068454632731802E-2</v>
      </c>
      <c r="AI191" s="32">
        <f t="shared" si="124"/>
        <v>1.5707963267948966</v>
      </c>
      <c r="AJ191" s="32" t="str">
        <f t="shared" si="110"/>
        <v>1+0.000871964897353781i</v>
      </c>
      <c r="AK191" s="32">
        <f t="shared" si="125"/>
        <v>1.0000003801613189</v>
      </c>
      <c r="AL191" s="32">
        <f t="shared" si="126"/>
        <v>8.7196467636228966E-4</v>
      </c>
      <c r="AM191" s="32" t="str">
        <f t="shared" si="111"/>
        <v>1+0.0880684546327318i</v>
      </c>
      <c r="AN191" s="32">
        <f t="shared" si="127"/>
        <v>1.0038705358269051</v>
      </c>
      <c r="AO191" s="32">
        <f t="shared" si="128"/>
        <v>8.7841820514762636E-2</v>
      </c>
      <c r="AP191" s="60" t="str">
        <f t="shared" si="129"/>
        <v>-0.430138847078816+4.93336233907069i</v>
      </c>
      <c r="AQ191" s="51">
        <f t="shared" si="130"/>
        <v>13.895750750560563</v>
      </c>
      <c r="AR191" s="63">
        <f t="shared" si="131"/>
        <v>94.983005684401519</v>
      </c>
      <c r="AS191" s="60" t="str">
        <f t="shared" si="132"/>
        <v>121.4399151632+34.6840869810584i</v>
      </c>
      <c r="AT191" s="66">
        <f t="shared" si="133"/>
        <v>42.027780829091824</v>
      </c>
      <c r="AU191" s="63">
        <f t="shared" si="134"/>
        <v>15.939711395686048</v>
      </c>
      <c r="AX191" s="32">
        <f t="shared" si="135"/>
        <v>0</v>
      </c>
      <c r="AY191" s="32">
        <f t="shared" si="136"/>
        <v>0</v>
      </c>
    </row>
    <row r="192" spans="14:51" x14ac:dyDescent="0.3">
      <c r="N192" s="11">
        <v>74</v>
      </c>
      <c r="O192" s="52">
        <f t="shared" si="137"/>
        <v>549.54087385762534</v>
      </c>
      <c r="P192" s="50" t="str">
        <f t="shared" si="103"/>
        <v>131.578947368421</v>
      </c>
      <c r="Q192" s="18" t="str">
        <f t="shared" si="104"/>
        <v>1+5.17930071647529i</v>
      </c>
      <c r="R192" s="18">
        <f t="shared" si="112"/>
        <v>5.2749555364648772</v>
      </c>
      <c r="S192" s="18">
        <f t="shared" si="113"/>
        <v>1.3800669888190156</v>
      </c>
      <c r="T192" s="18" t="str">
        <f t="shared" si="105"/>
        <v>1+0.0000113944615762456i</v>
      </c>
      <c r="U192" s="18">
        <f t="shared" si="114"/>
        <v>1.000000000064917</v>
      </c>
      <c r="V192" s="18">
        <f t="shared" si="115"/>
        <v>1.1394461575752471E-5</v>
      </c>
      <c r="W192" s="32" t="str">
        <f t="shared" si="106"/>
        <v>1-0.00276229371545349i</v>
      </c>
      <c r="X192" s="18">
        <f t="shared" si="116"/>
        <v>1.0000038151260076</v>
      </c>
      <c r="Y192" s="18">
        <f t="shared" si="117"/>
        <v>-2.7622866898065232E-3</v>
      </c>
      <c r="Z192" s="32" t="str">
        <f t="shared" si="107"/>
        <v>0.99999980672309+0.00116912869974237i</v>
      </c>
      <c r="AA192" s="18">
        <f t="shared" si="118"/>
        <v>1.0000004901539468</v>
      </c>
      <c r="AB192" s="18">
        <f t="shared" si="119"/>
        <v>1.169128393028959E-3</v>
      </c>
      <c r="AC192" s="68" t="str">
        <f t="shared" si="120"/>
        <v>4.63274777103234-24.5101864307968i</v>
      </c>
      <c r="AD192" s="66">
        <f t="shared" si="121"/>
        <v>27.939380970426303</v>
      </c>
      <c r="AE192" s="63">
        <f t="shared" si="122"/>
        <v>-79.296614541860208</v>
      </c>
      <c r="AF192" s="32" t="str">
        <f t="shared" si="108"/>
        <v>-0.434440565864413</v>
      </c>
      <c r="AG192" s="32" t="str">
        <f t="shared" si="109"/>
        <v>0.0901198324666701i</v>
      </c>
      <c r="AH192" s="32">
        <f t="shared" si="123"/>
        <v>9.0119832466670102E-2</v>
      </c>
      <c r="AI192" s="32">
        <f t="shared" si="124"/>
        <v>1.5707963267948966</v>
      </c>
      <c r="AJ192" s="32" t="str">
        <f t="shared" si="110"/>
        <v>1+0.000892275568976932i</v>
      </c>
      <c r="AK192" s="32">
        <f t="shared" si="125"/>
        <v>1.0000003980777663</v>
      </c>
      <c r="AL192" s="32">
        <f t="shared" si="126"/>
        <v>8.9227533218028772E-4</v>
      </c>
      <c r="AM192" s="32" t="str">
        <f t="shared" si="111"/>
        <v>1+0.0901198324666701i</v>
      </c>
      <c r="AN192" s="32">
        <f t="shared" si="127"/>
        <v>1.0040525803979694</v>
      </c>
      <c r="AO192" s="32">
        <f t="shared" si="128"/>
        <v>8.987704254043144E-2</v>
      </c>
      <c r="AP192" s="60" t="str">
        <f t="shared" si="129"/>
        <v>-0.430138831665702+4.82108257614053i</v>
      </c>
      <c r="AQ192" s="51">
        <f t="shared" si="130"/>
        <v>13.697325574624557</v>
      </c>
      <c r="AR192" s="63">
        <f t="shared" si="131"/>
        <v>95.098451601986895</v>
      </c>
      <c r="AS192" s="60" t="str">
        <f t="shared" si="132"/>
        <v>116.172908025837+32.8776425138294i</v>
      </c>
      <c r="AT192" s="66">
        <f t="shared" si="133"/>
        <v>41.63670654505087</v>
      </c>
      <c r="AU192" s="63">
        <f t="shared" si="134"/>
        <v>15.801837060126678</v>
      </c>
      <c r="AX192" s="32">
        <f t="shared" si="135"/>
        <v>0</v>
      </c>
      <c r="AY192" s="32">
        <f t="shared" si="136"/>
        <v>0</v>
      </c>
    </row>
    <row r="193" spans="14:51" x14ac:dyDescent="0.3">
      <c r="N193" s="11">
        <v>75</v>
      </c>
      <c r="O193" s="52">
        <f t="shared" si="137"/>
        <v>562.34132519034927</v>
      </c>
      <c r="P193" s="50" t="str">
        <f t="shared" si="103"/>
        <v>131.578947368421</v>
      </c>
      <c r="Q193" s="18" t="str">
        <f t="shared" si="104"/>
        <v>1+5.29994212808385i</v>
      </c>
      <c r="R193" s="18">
        <f t="shared" si="112"/>
        <v>5.3934577555625633</v>
      </c>
      <c r="S193" s="18">
        <f t="shared" si="113"/>
        <v>1.3843074356974168</v>
      </c>
      <c r="T193" s="18" t="str">
        <f t="shared" si="105"/>
        <v>1+0.0000116598726817845i</v>
      </c>
      <c r="U193" s="18">
        <f t="shared" si="114"/>
        <v>1.0000000000679763</v>
      </c>
      <c r="V193" s="18">
        <f t="shared" si="115"/>
        <v>1.1659872681256104E-5</v>
      </c>
      <c r="W193" s="32" t="str">
        <f t="shared" si="106"/>
        <v>1-0.00282663580164472i</v>
      </c>
      <c r="X193" s="18">
        <f t="shared" si="116"/>
        <v>1.0000039949269979</v>
      </c>
      <c r="Y193" s="18">
        <f t="shared" si="117"/>
        <v>-2.8266282735299872E-3</v>
      </c>
      <c r="Z193" s="32" t="str">
        <f t="shared" si="107"/>
        <v>0.99999979761423+0.00119636120552068i</v>
      </c>
      <c r="AA193" s="18">
        <f t="shared" si="118"/>
        <v>1.0000005132541858</v>
      </c>
      <c r="AB193" s="18">
        <f t="shared" si="119"/>
        <v>1.1963608768713475E-3</v>
      </c>
      <c r="AC193" s="68" t="str">
        <f t="shared" si="120"/>
        <v>4.42707860337418-23.9910673004845i</v>
      </c>
      <c r="AD193" s="66">
        <f t="shared" si="121"/>
        <v>27.746412767211694</v>
      </c>
      <c r="AE193" s="63">
        <f t="shared" si="122"/>
        <v>-79.544805851890217</v>
      </c>
      <c r="AF193" s="32" t="str">
        <f t="shared" si="108"/>
        <v>-0.434440565864413</v>
      </c>
      <c r="AG193" s="32" t="str">
        <f t="shared" si="109"/>
        <v>0.0922189930286591i</v>
      </c>
      <c r="AH193" s="32">
        <f t="shared" si="123"/>
        <v>9.2218993028659102E-2</v>
      </c>
      <c r="AI193" s="32">
        <f t="shared" si="124"/>
        <v>1.5707963267948966</v>
      </c>
      <c r="AJ193" s="32" t="str">
        <f t="shared" si="110"/>
        <v>1+0.000913059336917417i</v>
      </c>
      <c r="AK193" s="32">
        <f t="shared" si="125"/>
        <v>1.0000004168385894</v>
      </c>
      <c r="AL193" s="32">
        <f t="shared" si="126"/>
        <v>9.1305908318524691E-4</v>
      </c>
      <c r="AM193" s="32" t="str">
        <f t="shared" si="111"/>
        <v>1+0.0922189930286591i</v>
      </c>
      <c r="AN193" s="32">
        <f t="shared" si="127"/>
        <v>1.0042431690956228</v>
      </c>
      <c r="AO193" s="32">
        <f t="shared" si="128"/>
        <v>9.1958898266035399E-2</v>
      </c>
      <c r="AP193" s="60" t="str">
        <f t="shared" si="129"/>
        <v>-0.430138815526192+4.71135901500553i</v>
      </c>
      <c r="AQ193" s="51">
        <f t="shared" si="130"/>
        <v>13.49897400590682</v>
      </c>
      <c r="AR193" s="63">
        <f t="shared" si="131"/>
        <v>95.216542327404127</v>
      </c>
      <c r="AS193" s="60" t="str">
        <f t="shared" si="132"/>
        <v>111.126272859045+31.1770459599846i</v>
      </c>
      <c r="AT193" s="66">
        <f t="shared" si="133"/>
        <v>41.245386773118497</v>
      </c>
      <c r="AU193" s="63">
        <f t="shared" si="134"/>
        <v>15.671736475513963</v>
      </c>
      <c r="AX193" s="32">
        <f t="shared" si="135"/>
        <v>0</v>
      </c>
      <c r="AY193" s="32">
        <f t="shared" si="136"/>
        <v>0</v>
      </c>
    </row>
    <row r="194" spans="14:51" x14ac:dyDescent="0.3">
      <c r="N194" s="11">
        <v>76</v>
      </c>
      <c r="O194" s="52">
        <f t="shared" si="137"/>
        <v>575.43993733715706</v>
      </c>
      <c r="P194" s="50" t="str">
        <f t="shared" si="103"/>
        <v>131.578947368421</v>
      </c>
      <c r="Q194" s="18" t="str">
        <f t="shared" si="104"/>
        <v>1+5.42339363916175i</v>
      </c>
      <c r="R194" s="18">
        <f t="shared" si="112"/>
        <v>5.5148162766587365</v>
      </c>
      <c r="S194" s="18">
        <f t="shared" si="113"/>
        <v>1.3884579252680993</v>
      </c>
      <c r="T194" s="18" t="str">
        <f t="shared" si="105"/>
        <v>1+0.0000119314660061559i</v>
      </c>
      <c r="U194" s="18">
        <f t="shared" si="114"/>
        <v>1.00000000007118</v>
      </c>
      <c r="V194" s="18">
        <f t="shared" si="115"/>
        <v>1.1931466005589712E-5</v>
      </c>
      <c r="W194" s="32" t="str">
        <f t="shared" si="106"/>
        <v>1-0.00289247660755294i</v>
      </c>
      <c r="X194" s="18">
        <f t="shared" si="116"/>
        <v>1.000004183201713</v>
      </c>
      <c r="Y194" s="18">
        <f t="shared" si="117"/>
        <v>-2.8924685410344942E-3</v>
      </c>
      <c r="Z194" s="32" t="str">
        <f t="shared" si="107"/>
        <v>0.999999788076082+0.00122422803784587i</v>
      </c>
      <c r="AA194" s="18">
        <f t="shared" si="118"/>
        <v>1.0000005374431045</v>
      </c>
      <c r="AB194" s="18">
        <f t="shared" si="119"/>
        <v>1.224227685691776E-3</v>
      </c>
      <c r="AC194" s="68" t="str">
        <f t="shared" si="120"/>
        <v>4.23004300437258-23.4812894021142i</v>
      </c>
      <c r="AD194" s="66">
        <f t="shared" si="121"/>
        <v>27.553138847302037</v>
      </c>
      <c r="AE194" s="63">
        <f t="shared" si="122"/>
        <v>-79.78796484603609</v>
      </c>
      <c r="AF194" s="32" t="str">
        <f t="shared" si="108"/>
        <v>-0.434440565864413</v>
      </c>
      <c r="AG194" s="32" t="str">
        <f t="shared" si="109"/>
        <v>0.0943670493214146i</v>
      </c>
      <c r="AH194" s="32">
        <f t="shared" si="123"/>
        <v>9.4367049321414598E-2</v>
      </c>
      <c r="AI194" s="32">
        <f t="shared" si="124"/>
        <v>1.5707963267948966</v>
      </c>
      <c r="AJ194" s="32" t="str">
        <f t="shared" si="110"/>
        <v>1+0.000934327221004105i</v>
      </c>
      <c r="AK194" s="32">
        <f t="shared" si="125"/>
        <v>1.0000004364835826</v>
      </c>
      <c r="AL194" s="32">
        <f t="shared" si="126"/>
        <v>9.343269491251928E-4</v>
      </c>
      <c r="AM194" s="32" t="str">
        <f t="shared" si="111"/>
        <v>1+0.0943670493214146i</v>
      </c>
      <c r="AN194" s="32">
        <f t="shared" si="127"/>
        <v>1.0044427012018309</v>
      </c>
      <c r="AO194" s="32">
        <f t="shared" si="128"/>
        <v>9.4088419294978062E-2</v>
      </c>
      <c r="AP194" s="60" t="str">
        <f t="shared" si="129"/>
        <v>-0.430138798626052+4.60413347878111i</v>
      </c>
      <c r="AQ194" s="51">
        <f t="shared" si="130"/>
        <v>13.300699454878078</v>
      </c>
      <c r="AR194" s="63">
        <f t="shared" si="131"/>
        <v>95.337336335789317</v>
      </c>
      <c r="AS194" s="60" t="str">
        <f t="shared" si="132"/>
        <v>106.291485045185+29.5758962267317i</v>
      </c>
      <c r="AT194" s="66">
        <f t="shared" si="133"/>
        <v>40.853838302180137</v>
      </c>
      <c r="AU194" s="63">
        <f t="shared" si="134"/>
        <v>15.549371489753195</v>
      </c>
      <c r="AX194" s="32">
        <f t="shared" si="135"/>
        <v>0</v>
      </c>
      <c r="AY194" s="32">
        <f t="shared" si="136"/>
        <v>0</v>
      </c>
    </row>
    <row r="195" spans="14:51" x14ac:dyDescent="0.3">
      <c r="N195" s="11">
        <v>77</v>
      </c>
      <c r="O195" s="52">
        <f t="shared" si="137"/>
        <v>588.84365535558959</v>
      </c>
      <c r="P195" s="50" t="str">
        <f t="shared" si="103"/>
        <v>131.578947368421</v>
      </c>
      <c r="Q195" s="18" t="str">
        <f t="shared" si="104"/>
        <v>1+5.54972070533424i</v>
      </c>
      <c r="R195" s="18">
        <f t="shared" si="112"/>
        <v>5.6390956639531815</v>
      </c>
      <c r="S195" s="18">
        <f t="shared" si="113"/>
        <v>1.3925200859068878</v>
      </c>
      <c r="T195" s="18" t="str">
        <f t="shared" si="105"/>
        <v>1+0.0000122093855517353i</v>
      </c>
      <c r="U195" s="18">
        <f t="shared" si="114"/>
        <v>1.0000000000745346</v>
      </c>
      <c r="V195" s="18">
        <f t="shared" si="115"/>
        <v>1.2209385551128619E-5</v>
      </c>
      <c r="W195" s="32" t="str">
        <f t="shared" si="106"/>
        <v>1-0.00295985104284493i</v>
      </c>
      <c r="X195" s="18">
        <f t="shared" si="116"/>
        <v>1.0000043803495042</v>
      </c>
      <c r="Y195" s="18">
        <f t="shared" si="117"/>
        <v>-2.9598423994167344E-3</v>
      </c>
      <c r="Z195" s="32" t="str">
        <f t="shared" si="107"/>
        <v>0.999999778088416+0.0012527439720813i</v>
      </c>
      <c r="AA195" s="18">
        <f t="shared" si="118"/>
        <v>1.0000005627720121</v>
      </c>
      <c r="AB195" s="18">
        <f t="shared" si="119"/>
        <v>1.2527435947414E-3</v>
      </c>
      <c r="AC195" s="68" t="str">
        <f t="shared" si="120"/>
        <v>4.04130457532547-22.9807932957216i</v>
      </c>
      <c r="AD195" s="66">
        <f t="shared" si="121"/>
        <v>27.359572069962063</v>
      </c>
      <c r="AE195" s="63">
        <f t="shared" si="122"/>
        <v>-80.026187661698174</v>
      </c>
      <c r="AF195" s="32" t="str">
        <f t="shared" si="108"/>
        <v>-0.434440565864413</v>
      </c>
      <c r="AG195" s="32" t="str">
        <f t="shared" si="109"/>
        <v>0.0965651402728158i</v>
      </c>
      <c r="AH195" s="32">
        <f t="shared" si="123"/>
        <v>9.6565140272815805E-2</v>
      </c>
      <c r="AI195" s="32">
        <f t="shared" si="124"/>
        <v>1.5707963267948966</v>
      </c>
      <c r="AJ195" s="32" t="str">
        <f t="shared" si="110"/>
        <v>1+0.000956090497750652i</v>
      </c>
      <c r="AK195" s="32">
        <f t="shared" si="125"/>
        <v>1.0000004570544154</v>
      </c>
      <c r="AL195" s="32">
        <f t="shared" si="126"/>
        <v>9.5609020642715623E-4</v>
      </c>
      <c r="AM195" s="32" t="str">
        <f t="shared" si="111"/>
        <v>1+0.0965651402728158i</v>
      </c>
      <c r="AN195" s="32">
        <f t="shared" si="127"/>
        <v>1.004651594492294</v>
      </c>
      <c r="AO195" s="32">
        <f t="shared" si="128"/>
        <v>9.6266657428230956E-2</v>
      </c>
      <c r="AP195" s="60" t="str">
        <f t="shared" si="129"/>
        <v>-0.430138780929433+4.49934911506855i</v>
      </c>
      <c r="AQ195" s="51">
        <f t="shared" si="130"/>
        <v>13.102505487167477</v>
      </c>
      <c r="AR195" s="63">
        <f t="shared" si="131"/>
        <v>95.460893244807309</v>
      </c>
      <c r="AS195" s="60" t="str">
        <f t="shared" si="132"/>
        <v>101.660290155283+28.0681705777261i</v>
      </c>
      <c r="AT195" s="66">
        <f t="shared" si="133"/>
        <v>40.462077557129525</v>
      </c>
      <c r="AU195" s="63">
        <f t="shared" si="134"/>
        <v>15.434705583109157</v>
      </c>
      <c r="AX195" s="32">
        <f t="shared" si="135"/>
        <v>0</v>
      </c>
      <c r="AY195" s="32">
        <f t="shared" si="136"/>
        <v>0</v>
      </c>
    </row>
    <row r="196" spans="14:51" x14ac:dyDescent="0.3">
      <c r="N196" s="11">
        <v>78</v>
      </c>
      <c r="O196" s="52">
        <f t="shared" si="137"/>
        <v>602.55958607435832</v>
      </c>
      <c r="P196" s="50" t="str">
        <f t="shared" si="103"/>
        <v>131.578947368421</v>
      </c>
      <c r="Q196" s="18" t="str">
        <f t="shared" si="104"/>
        <v>1+5.67899030688393i</v>
      </c>
      <c r="R196" s="18">
        <f t="shared" si="112"/>
        <v>5.7663620165301479</v>
      </c>
      <c r="S196" s="18">
        <f t="shared" si="113"/>
        <v>1.3964955349187846</v>
      </c>
      <c r="T196" s="18" t="str">
        <f t="shared" si="105"/>
        <v>1+0.0000124937786751446i</v>
      </c>
      <c r="U196" s="18">
        <f t="shared" si="114"/>
        <v>1.0000000000780473</v>
      </c>
      <c r="V196" s="18">
        <f t="shared" si="115"/>
        <v>1.249377867449453E-5</v>
      </c>
      <c r="W196" s="32" t="str">
        <f t="shared" si="106"/>
        <v>1-0.0030287948303381i</v>
      </c>
      <c r="X196" s="18">
        <f t="shared" si="116"/>
        <v>1.0000045867885428</v>
      </c>
      <c r="Y196" s="18">
        <f t="shared" si="117"/>
        <v>-3.028785568740219E-3</v>
      </c>
      <c r="Z196" s="32" t="str">
        <f t="shared" si="107"/>
        <v>0.999999767630045+0.00128192412775275i</v>
      </c>
      <c r="AA196" s="18">
        <f t="shared" si="118"/>
        <v>1.0000005892946329</v>
      </c>
      <c r="AB196" s="18">
        <f t="shared" si="119"/>
        <v>1.2819237234257751E-3</v>
      </c>
      <c r="AC196" s="68" t="str">
        <f t="shared" si="120"/>
        <v>3.86053779464869-22.4895119074309i</v>
      </c>
      <c r="AD196" s="66">
        <f t="shared" si="121"/>
        <v>27.165724791938427</v>
      </c>
      <c r="AE196" s="63">
        <f t="shared" si="122"/>
        <v>-80.259569868071367</v>
      </c>
      <c r="AF196" s="32" t="str">
        <f t="shared" si="108"/>
        <v>-0.434440565864413</v>
      </c>
      <c r="AG196" s="32" t="str">
        <f t="shared" si="109"/>
        <v>0.0988144313397804i</v>
      </c>
      <c r="AH196" s="32">
        <f t="shared" si="123"/>
        <v>9.8814431339780406E-2</v>
      </c>
      <c r="AI196" s="32">
        <f t="shared" si="124"/>
        <v>1.5707963267948966</v>
      </c>
      <c r="AJ196" s="32" t="str">
        <f t="shared" si="110"/>
        <v>1+0.00097836070633446i</v>
      </c>
      <c r="AK196" s="32">
        <f t="shared" si="125"/>
        <v>1.0000004785947214</v>
      </c>
      <c r="AL196" s="32">
        <f t="shared" si="126"/>
        <v>9.7836039417571827E-4</v>
      </c>
      <c r="AM196" s="32" t="str">
        <f t="shared" si="111"/>
        <v>1+0.0988144313397804i</v>
      </c>
      <c r="AN196" s="32">
        <f t="shared" si="127"/>
        <v>1.0048702860772649</v>
      </c>
      <c r="AO196" s="32">
        <f t="shared" si="128"/>
        <v>9.8494684869883511E-2</v>
      </c>
      <c r="AP196" s="60" t="str">
        <f t="shared" si="129"/>
        <v>-0.4301387623988+4.39695036581118i</v>
      </c>
      <c r="AQ196" s="51">
        <f t="shared" si="130"/>
        <v>12.904395830348482</v>
      </c>
      <c r="AR196" s="63">
        <f t="shared" si="131"/>
        <v>95.587273826086317</v>
      </c>
      <c r="AS196" s="60" t="str">
        <f t="shared" si="132"/>
        <v>97.2247006591092+26.6482038872238i</v>
      </c>
      <c r="AT196" s="66">
        <f t="shared" si="133"/>
        <v>40.070120622286908</v>
      </c>
      <c r="AU196" s="63">
        <f t="shared" si="134"/>
        <v>15.327703958014942</v>
      </c>
      <c r="AX196" s="32">
        <f t="shared" si="135"/>
        <v>0</v>
      </c>
      <c r="AY196" s="32">
        <f t="shared" si="136"/>
        <v>0</v>
      </c>
    </row>
    <row r="197" spans="14:51" x14ac:dyDescent="0.3">
      <c r="N197" s="11">
        <v>79</v>
      </c>
      <c r="O197" s="52">
        <f t="shared" si="137"/>
        <v>616.59500186148273</v>
      </c>
      <c r="P197" s="50" t="str">
        <f t="shared" si="103"/>
        <v>131.578947368421</v>
      </c>
      <c r="Q197" s="18" t="str">
        <f t="shared" si="104"/>
        <v>1+5.81127098426466i</v>
      </c>
      <c r="R197" s="18">
        <f t="shared" si="112"/>
        <v>5.8966830042453831</v>
      </c>
      <c r="S197" s="18">
        <f t="shared" si="113"/>
        <v>1.4003858772603013</v>
      </c>
      <c r="T197" s="18" t="str">
        <f t="shared" si="105"/>
        <v>1+0.0000127847961653823i</v>
      </c>
      <c r="U197" s="18">
        <f t="shared" si="114"/>
        <v>1.0000000000817255</v>
      </c>
      <c r="V197" s="18">
        <f t="shared" si="115"/>
        <v>1.2784796164685737E-5</v>
      </c>
      <c r="W197" s="32" t="str">
        <f t="shared" si="106"/>
        <v>1-0.00309934452494115i</v>
      </c>
      <c r="X197" s="18">
        <f t="shared" si="116"/>
        <v>1.0000048029567079</v>
      </c>
      <c r="Y197" s="18">
        <f t="shared" si="117"/>
        <v>-3.0993346009627974E-3</v>
      </c>
      <c r="Z197" s="32" t="str">
        <f t="shared" si="107"/>
        <v>0.999999756678786+0.001311783976565i</v>
      </c>
      <c r="AA197" s="18">
        <f t="shared" si="118"/>
        <v>1.000000617067226</v>
      </c>
      <c r="AB197" s="18">
        <f t="shared" si="119"/>
        <v>1.3117835433208551E-3</v>
      </c>
      <c r="AC197" s="68" t="str">
        <f t="shared" si="120"/>
        <v>3.68742786345235-22.0073711781539i</v>
      </c>
      <c r="AD197" s="66">
        <f t="shared" si="121"/>
        <v>26.97160888387215</v>
      </c>
      <c r="AE197" s="63">
        <f t="shared" si="122"/>
        <v>-80.48820639447942</v>
      </c>
      <c r="AF197" s="32" t="str">
        <f t="shared" si="108"/>
        <v>-0.434440565864413</v>
      </c>
      <c r="AG197" s="32" t="str">
        <f t="shared" si="109"/>
        <v>0.101116115126205i</v>
      </c>
      <c r="AH197" s="32">
        <f t="shared" si="123"/>
        <v>0.101116115126205</v>
      </c>
      <c r="AI197" s="32">
        <f t="shared" si="124"/>
        <v>1.5707963267948966</v>
      </c>
      <c r="AJ197" s="32" t="str">
        <f t="shared" si="110"/>
        <v>1+0.0010011496547149i</v>
      </c>
      <c r="AK197" s="32">
        <f t="shared" si="125"/>
        <v>1.00000050115019</v>
      </c>
      <c r="AL197" s="32">
        <f t="shared" si="126"/>
        <v>1.0011493202307909E-3</v>
      </c>
      <c r="AM197" s="32" t="str">
        <f t="shared" si="111"/>
        <v>1+0.101116115126205i</v>
      </c>
      <c r="AN197" s="32">
        <f t="shared" si="127"/>
        <v>1.0050992332790907</v>
      </c>
      <c r="AO197" s="32">
        <f t="shared" si="128"/>
        <v>0.10077359441962198</v>
      </c>
      <c r="AP197" s="60" t="str">
        <f t="shared" si="129"/>
        <v>-0.430138742994848+4.29688293783653i</v>
      </c>
      <c r="AQ197" s="51">
        <f t="shared" si="130"/>
        <v>12.706374380994788</v>
      </c>
      <c r="AR197" s="63">
        <f t="shared" si="131"/>
        <v>95.716540015895831</v>
      </c>
      <c r="AS197" s="60" t="str">
        <f t="shared" si="132"/>
        <v>92.9769921359753+25.3106688461636i</v>
      </c>
      <c r="AT197" s="66">
        <f t="shared" si="133"/>
        <v>39.677983264866938</v>
      </c>
      <c r="AU197" s="63">
        <f t="shared" si="134"/>
        <v>15.228333621416427</v>
      </c>
      <c r="AX197" s="32">
        <f t="shared" si="135"/>
        <v>0</v>
      </c>
      <c r="AY197" s="32">
        <f t="shared" si="136"/>
        <v>0</v>
      </c>
    </row>
    <row r="198" spans="14:51" x14ac:dyDescent="0.3">
      <c r="N198" s="11">
        <v>80</v>
      </c>
      <c r="O198" s="52">
        <f t="shared" si="137"/>
        <v>630.95734448019323</v>
      </c>
      <c r="P198" s="50" t="str">
        <f t="shared" si="103"/>
        <v>131.578947368421</v>
      </c>
      <c r="Q198" s="18" t="str">
        <f t="shared" si="104"/>
        <v>1+5.9466328744425i</v>
      </c>
      <c r="R198" s="18">
        <f t="shared" si="112"/>
        <v>6.0301279043980704</v>
      </c>
      <c r="S198" s="18">
        <f t="shared" si="113"/>
        <v>1.4041927043722147</v>
      </c>
      <c r="T198" s="18" t="str">
        <f t="shared" si="105"/>
        <v>1+0.0000130825923237735i</v>
      </c>
      <c r="U198" s="18">
        <f t="shared" si="114"/>
        <v>1.0000000000855771</v>
      </c>
      <c r="V198" s="18">
        <f t="shared" si="115"/>
        <v>1.308259232302712E-5</v>
      </c>
      <c r="W198" s="32" t="str">
        <f t="shared" si="106"/>
        <v>1-0.003171537533036i</v>
      </c>
      <c r="X198" s="18">
        <f t="shared" si="116"/>
        <v>1.0000050293125149</v>
      </c>
      <c r="Y198" s="18">
        <f t="shared" si="117"/>
        <v>-3.1715268993044994E-3</v>
      </c>
      <c r="Z198" s="32" t="str">
        <f t="shared" si="107"/>
        <v>0.999999745211411+0.00134233935060515i</v>
      </c>
      <c r="AA198" s="18">
        <f t="shared" si="118"/>
        <v>1.0000006461487008</v>
      </c>
      <c r="AB198" s="18">
        <f t="shared" si="119"/>
        <v>1.3423388863756996E-3</v>
      </c>
      <c r="AC198" s="68" t="str">
        <f t="shared" si="120"/>
        <v>3.52167053337622-21.5342906780354i</v>
      </c>
      <c r="AD198" s="66">
        <f t="shared" si="121"/>
        <v>26.777235746463475</v>
      </c>
      <c r="AE198" s="63">
        <f t="shared" si="122"/>
        <v>-80.712191465071996</v>
      </c>
      <c r="AF198" s="32" t="str">
        <f t="shared" si="108"/>
        <v>-0.434440565864413</v>
      </c>
      <c r="AG198" s="32" t="str">
        <f t="shared" si="109"/>
        <v>0.1034714120153i</v>
      </c>
      <c r="AH198" s="32">
        <f t="shared" si="123"/>
        <v>0.1034714120153</v>
      </c>
      <c r="AI198" s="32">
        <f t="shared" si="124"/>
        <v>1.5707963267948966</v>
      </c>
      <c r="AJ198" s="32" t="str">
        <f t="shared" si="110"/>
        <v>1+0.00102446942589406i</v>
      </c>
      <c r="AK198" s="32">
        <f t="shared" si="125"/>
        <v>1.0000005247686645</v>
      </c>
      <c r="AL198" s="32">
        <f t="shared" si="126"/>
        <v>1.0244690674878899E-3</v>
      </c>
      <c r="AM198" s="32" t="str">
        <f t="shared" si="111"/>
        <v>1+0.1034714120153i</v>
      </c>
      <c r="AN198" s="32">
        <f t="shared" si="127"/>
        <v>1.0053389145479448</v>
      </c>
      <c r="AO198" s="32">
        <f t="shared" si="128"/>
        <v>0.10310449965068565</v>
      </c>
      <c r="AP198" s="60" t="str">
        <f t="shared" si="129"/>
        <v>-0.430138722676417+4.19909377406965i</v>
      </c>
      <c r="AQ198" s="51">
        <f t="shared" si="130"/>
        <v>12.508445212015992</v>
      </c>
      <c r="AR198" s="63">
        <f t="shared" si="131"/>
        <v>95.848754924983595</v>
      </c>
      <c r="AS198" s="60" t="str">
        <f t="shared" si="132"/>
        <v>88.9096990502309+24.0505570970174i</v>
      </c>
      <c r="AT198" s="66">
        <f t="shared" si="133"/>
        <v>39.28568095847946</v>
      </c>
      <c r="AU198" s="63">
        <f t="shared" si="134"/>
        <v>15.136563459911592</v>
      </c>
      <c r="AX198" s="32">
        <f t="shared" si="135"/>
        <v>0</v>
      </c>
      <c r="AY198" s="32">
        <f t="shared" si="136"/>
        <v>0</v>
      </c>
    </row>
    <row r="199" spans="14:51" x14ac:dyDescent="0.3">
      <c r="N199" s="11">
        <v>81</v>
      </c>
      <c r="O199" s="52">
        <f t="shared" si="137"/>
        <v>645.65422903465594</v>
      </c>
      <c r="P199" s="50" t="str">
        <f t="shared" si="103"/>
        <v>131.578947368421</v>
      </c>
      <c r="Q199" s="18" t="str">
        <f t="shared" si="104"/>
        <v>1+6.08514774808336i</v>
      </c>
      <c r="R199" s="18">
        <f t="shared" si="112"/>
        <v>6.1667676392097013</v>
      </c>
      <c r="S199" s="18">
        <f t="shared" si="113"/>
        <v>1.4079175931168448</v>
      </c>
      <c r="T199" s="18" t="str">
        <f t="shared" si="105"/>
        <v>1+0.0000133873250457834i</v>
      </c>
      <c r="U199" s="18">
        <f t="shared" si="114"/>
        <v>1.0000000000896101</v>
      </c>
      <c r="V199" s="18">
        <f t="shared" si="115"/>
        <v>1.3387325044983638E-5</v>
      </c>
      <c r="W199" s="32" t="str">
        <f t="shared" si="106"/>
        <v>1-0.00324541213231113i</v>
      </c>
      <c r="X199" s="18">
        <f t="shared" si="116"/>
        <v>1.000005266336087</v>
      </c>
      <c r="Y199" s="18">
        <f t="shared" si="117"/>
        <v>-3.2454007380657806E-3</v>
      </c>
      <c r="Z199" s="32" t="str">
        <f t="shared" si="107"/>
        <v>0.999999733203595+0.00137360645073695i</v>
      </c>
      <c r="AA199" s="18">
        <f t="shared" si="118"/>
        <v>1.0000006766007423</v>
      </c>
      <c r="AB199" s="18">
        <f t="shared" si="119"/>
        <v>1.3736059533061488E-3</v>
      </c>
      <c r="AC199" s="68" t="str">
        <f t="shared" si="120"/>
        <v>3.36297191909375-21.0701841875843i</v>
      </c>
      <c r="AD199" s="66">
        <f t="shared" si="121"/>
        <v>26.58261632636275</v>
      </c>
      <c r="AE199" s="63">
        <f t="shared" si="122"/>
        <v>-80.931618539546548</v>
      </c>
      <c r="AF199" s="32" t="str">
        <f t="shared" si="108"/>
        <v>-0.434440565864413</v>
      </c>
      <c r="AG199" s="32" t="str">
        <f t="shared" si="109"/>
        <v>0.105881570816651i</v>
      </c>
      <c r="AH199" s="32">
        <f t="shared" si="123"/>
        <v>0.10588157081665101</v>
      </c>
      <c r="AI199" s="32">
        <f t="shared" si="124"/>
        <v>1.5707963267948966</v>
      </c>
      <c r="AJ199" s="32" t="str">
        <f t="shared" si="110"/>
        <v>1+0.00104833238432327i</v>
      </c>
      <c r="AK199" s="32">
        <f t="shared" si="125"/>
        <v>1.0000005495002431</v>
      </c>
      <c r="AL199" s="32">
        <f t="shared" si="126"/>
        <v>1.0483320002841511E-3</v>
      </c>
      <c r="AM199" s="32" t="str">
        <f t="shared" si="111"/>
        <v>1+0.105881570816651i</v>
      </c>
      <c r="AN199" s="32">
        <f t="shared" si="127"/>
        <v>1.0055898304172539</v>
      </c>
      <c r="AO199" s="32">
        <f t="shared" si="128"/>
        <v>0.10548853507174281</v>
      </c>
      <c r="AP199" s="60" t="str">
        <f t="shared" si="129"/>
        <v>-0.430138701400409+4.10353102540142i</v>
      </c>
      <c r="AQ199" s="51">
        <f t="shared" si="130"/>
        <v>12.310612580279599</v>
      </c>
      <c r="AR199" s="63">
        <f t="shared" si="131"/>
        <v>95.98398284748383</v>
      </c>
      <c r="AS199" s="60" t="str">
        <f t="shared" si="132"/>
        <v>85.0156101505496+22.8631612722699i</v>
      </c>
      <c r="AT199" s="66">
        <f t="shared" si="133"/>
        <v>38.893228906642349</v>
      </c>
      <c r="AU199" s="63">
        <f t="shared" si="134"/>
        <v>15.052364307937269</v>
      </c>
      <c r="AX199" s="32">
        <f t="shared" si="135"/>
        <v>0</v>
      </c>
      <c r="AY199" s="32">
        <f t="shared" si="136"/>
        <v>0</v>
      </c>
    </row>
    <row r="200" spans="14:51" x14ac:dyDescent="0.3">
      <c r="N200" s="11">
        <v>82</v>
      </c>
      <c r="O200" s="52">
        <f t="shared" si="137"/>
        <v>660.69344800759643</v>
      </c>
      <c r="P200" s="50" t="str">
        <f t="shared" si="103"/>
        <v>131.578947368421</v>
      </c>
      <c r="Q200" s="18" t="str">
        <f t="shared" si="104"/>
        <v>1+6.22688904760672i</v>
      </c>
      <c r="R200" s="18">
        <f t="shared" si="112"/>
        <v>6.3066748141318119</v>
      </c>
      <c r="S200" s="18">
        <f t="shared" si="113"/>
        <v>1.4115621048141092</v>
      </c>
      <c r="T200" s="18" t="str">
        <f t="shared" si="105"/>
        <v>1+0.0000136991559047348i</v>
      </c>
      <c r="U200" s="18">
        <f t="shared" si="114"/>
        <v>1.0000000000938334</v>
      </c>
      <c r="V200" s="18">
        <f t="shared" si="115"/>
        <v>1.3699155903877841E-5</v>
      </c>
      <c r="W200" s="32" t="str">
        <f t="shared" si="106"/>
        <v>1-0.00332100749205692i</v>
      </c>
      <c r="X200" s="18">
        <f t="shared" si="116"/>
        <v>1.0000055145301761</v>
      </c>
      <c r="Y200" s="18">
        <f t="shared" si="117"/>
        <v>-3.3209952829066961E-3</v>
      </c>
      <c r="Z200" s="32" t="str">
        <f t="shared" si="107"/>
        <v>0.999999720629867+0.00140560185519076i</v>
      </c>
      <c r="AA200" s="18">
        <f t="shared" si="118"/>
        <v>1.0000007084879428</v>
      </c>
      <c r="AB200" s="18">
        <f t="shared" si="119"/>
        <v>1.4056013221840739E-3</v>
      </c>
      <c r="AC200" s="68" t="str">
        <f t="shared" si="120"/>
        <v>3.21104829770862-20.6149602465033i</v>
      </c>
      <c r="AD200" s="66">
        <f t="shared" si="121"/>
        <v>26.387761131767803</v>
      </c>
      <c r="AE200" s="63">
        <f t="shared" si="122"/>
        <v>-81.146580259567997</v>
      </c>
      <c r="AF200" s="32" t="str">
        <f t="shared" si="108"/>
        <v>-0.434440565864413</v>
      </c>
      <c r="AG200" s="32" t="str">
        <f t="shared" si="109"/>
        <v>0.108347869428357i</v>
      </c>
      <c r="AH200" s="32">
        <f t="shared" si="123"/>
        <v>0.108347869428357</v>
      </c>
      <c r="AI200" s="32">
        <f t="shared" si="124"/>
        <v>1.5707963267948966</v>
      </c>
      <c r="AJ200" s="32" t="str">
        <f t="shared" si="110"/>
        <v>1+0.00107275118245898i</v>
      </c>
      <c r="AK200" s="32">
        <f t="shared" si="125"/>
        <v>1.0000005753973842</v>
      </c>
      <c r="AL200" s="32">
        <f t="shared" si="126"/>
        <v>1.072750770953663E-3</v>
      </c>
      <c r="AM200" s="32" t="str">
        <f t="shared" si="111"/>
        <v>1+0.108347869428357i</v>
      </c>
      <c r="AN200" s="32">
        <f t="shared" si="127"/>
        <v>1.0058525045003688</v>
      </c>
      <c r="AO200" s="32">
        <f t="shared" si="128"/>
        <v>0.10792685627103342</v>
      </c>
      <c r="AP200" s="60" t="str">
        <f t="shared" si="129"/>
        <v>-0.430138679121697+4.01014402319741i</v>
      </c>
      <c r="AQ200" s="51">
        <f t="shared" si="130"/>
        <v>12.112880934528285</v>
      </c>
      <c r="AR200" s="63">
        <f t="shared" si="131"/>
        <v>96.122289268800202</v>
      </c>
      <c r="AS200" s="60" t="str">
        <f t="shared" si="132"/>
        <v>81.287763547595+21.7440579098317i</v>
      </c>
      <c r="AT200" s="66">
        <f t="shared" si="133"/>
        <v>38.500642066296088</v>
      </c>
      <c r="AU200" s="63">
        <f t="shared" si="134"/>
        <v>14.975709009232252</v>
      </c>
      <c r="AX200" s="32">
        <f t="shared" si="135"/>
        <v>0</v>
      </c>
      <c r="AY200" s="32">
        <f t="shared" si="136"/>
        <v>0</v>
      </c>
    </row>
    <row r="201" spans="14:51" x14ac:dyDescent="0.3">
      <c r="N201" s="11">
        <v>83</v>
      </c>
      <c r="O201" s="52">
        <f t="shared" si="137"/>
        <v>676.08297539198213</v>
      </c>
      <c r="P201" s="50" t="str">
        <f t="shared" si="103"/>
        <v>131.578947368421</v>
      </c>
      <c r="Q201" s="18" t="str">
        <f t="shared" si="104"/>
        <v>1+6.37193192612574i</v>
      </c>
      <c r="R201" s="18">
        <f t="shared" si="112"/>
        <v>6.449923757005231</v>
      </c>
      <c r="S201" s="18">
        <f t="shared" si="113"/>
        <v>1.4151277843707992</v>
      </c>
      <c r="T201" s="18" t="str">
        <f t="shared" si="105"/>
        <v>1+0.0000140182502374766i</v>
      </c>
      <c r="U201" s="18">
        <f t="shared" si="114"/>
        <v>1.0000000000982556</v>
      </c>
      <c r="V201" s="18">
        <f t="shared" si="115"/>
        <v>1.4018250236558353E-5</v>
      </c>
      <c r="W201" s="32" t="str">
        <f t="shared" si="106"/>
        <v>1-0.00339836369393373i</v>
      </c>
      <c r="X201" s="18">
        <f t="shared" si="116"/>
        <v>1.0000057744212263</v>
      </c>
      <c r="Y201" s="18">
        <f t="shared" si="117"/>
        <v>-3.3983506115976446E-3</v>
      </c>
      <c r="Z201" s="32" t="str">
        <f t="shared" si="107"/>
        <v>0.999999707463559+0.00143834252835353i</v>
      </c>
      <c r="AA201" s="18">
        <f t="shared" si="118"/>
        <v>1.0000007418779411</v>
      </c>
      <c r="AB201" s="18">
        <f t="shared" si="119"/>
        <v>1.4383419572265967E-3</v>
      </c>
      <c r="AC201" s="68" t="str">
        <f t="shared" si="120"/>
        <v>3.06562589708795-20.1685226712711i</v>
      </c>
      <c r="AD201" s="66">
        <f t="shared" si="121"/>
        <v>26.192680247707294</v>
      </c>
      <c r="AE201" s="63">
        <f t="shared" si="122"/>
        <v>-81.357168400567232</v>
      </c>
      <c r="AF201" s="32" t="str">
        <f t="shared" si="108"/>
        <v>-0.434440565864413</v>
      </c>
      <c r="AG201" s="32" t="str">
        <f t="shared" si="109"/>
        <v>0.110871615514588i</v>
      </c>
      <c r="AH201" s="32">
        <f t="shared" si="123"/>
        <v>0.110871615514588</v>
      </c>
      <c r="AI201" s="32">
        <f t="shared" si="124"/>
        <v>1.5707963267948966</v>
      </c>
      <c r="AJ201" s="32" t="str">
        <f t="shared" si="110"/>
        <v>1+0.00109773876747117i</v>
      </c>
      <c r="AK201" s="32">
        <f t="shared" si="125"/>
        <v>1.0000006025150194</v>
      </c>
      <c r="AL201" s="32">
        <f t="shared" si="126"/>
        <v>1.0977383265352927E-3</v>
      </c>
      <c r="AM201" s="32" t="str">
        <f t="shared" si="111"/>
        <v>1+0.110871615514588i</v>
      </c>
      <c r="AN201" s="32">
        <f t="shared" si="127"/>
        <v>1.0061274845300743</v>
      </c>
      <c r="AO201" s="32">
        <f t="shared" si="128"/>
        <v>0.11042064004099686</v>
      </c>
      <c r="AP201" s="60" t="str">
        <f t="shared" si="129"/>
        <v>-0.430138655793024+3.91888325243277i</v>
      </c>
      <c r="AQ201" s="51">
        <f t="shared" si="130"/>
        <v>11.915254923600793</v>
      </c>
      <c r="AR201" s="63">
        <f t="shared" si="131"/>
        <v>96.263740872362149</v>
      </c>
      <c r="AS201" s="60" t="str">
        <f t="shared" si="132"/>
        <v>77.7194415202172+20.6890912174738i</v>
      </c>
      <c r="AT201" s="66">
        <f t="shared" si="133"/>
        <v>38.107935171308078</v>
      </c>
      <c r="AU201" s="63">
        <f t="shared" si="134"/>
        <v>14.906572471794906</v>
      </c>
      <c r="AX201" s="32">
        <f t="shared" si="135"/>
        <v>0</v>
      </c>
      <c r="AY201" s="32">
        <f t="shared" si="136"/>
        <v>0</v>
      </c>
    </row>
    <row r="202" spans="14:51" x14ac:dyDescent="0.3">
      <c r="N202" s="11">
        <v>84</v>
      </c>
      <c r="O202" s="52">
        <f t="shared" si="137"/>
        <v>691.83097091893671</v>
      </c>
      <c r="P202" s="50" t="str">
        <f t="shared" si="103"/>
        <v>131.578947368421</v>
      </c>
      <c r="Q202" s="18" t="str">
        <f t="shared" si="104"/>
        <v>1+6.52035328729447i</v>
      </c>
      <c r="R202" s="18">
        <f t="shared" si="112"/>
        <v>6.5965905580937649</v>
      </c>
      <c r="S202" s="18">
        <f t="shared" si="113"/>
        <v>1.4186161594977154</v>
      </c>
      <c r="T202" s="18" t="str">
        <f t="shared" si="105"/>
        <v>1+0.0000143447772320478i</v>
      </c>
      <c r="U202" s="18">
        <f t="shared" si="114"/>
        <v>1.0000000001028864</v>
      </c>
      <c r="V202" s="18">
        <f t="shared" si="115"/>
        <v>1.434477723106388E-5</v>
      </c>
      <c r="W202" s="32" t="str">
        <f t="shared" si="106"/>
        <v>1-0.00347752175322372i</v>
      </c>
      <c r="X202" s="18">
        <f t="shared" si="116"/>
        <v>1.0000060465604916</v>
      </c>
      <c r="Y202" s="18">
        <f t="shared" si="117"/>
        <v>-3.4775077352526243E-3</v>
      </c>
      <c r="Z202" s="32" t="str">
        <f t="shared" si="107"/>
        <v>0.999999693676741+0.00147184582976355i</v>
      </c>
      <c r="AA202" s="18">
        <f t="shared" si="118"/>
        <v>1.0000007768415595</v>
      </c>
      <c r="AB202" s="18">
        <f t="shared" si="119"/>
        <v>1.4718452177900402E-3</v>
      </c>
      <c r="AC202" s="68" t="str">
        <f t="shared" si="120"/>
        <v>2.92644067500775-19.7307710425793i</v>
      </c>
      <c r="AD202" s="66">
        <f t="shared" si="121"/>
        <v>25.997383350996603</v>
      </c>
      <c r="AE202" s="63">
        <f t="shared" si="122"/>
        <v>-81.563473828613269</v>
      </c>
      <c r="AF202" s="32" t="str">
        <f t="shared" si="108"/>
        <v>-0.434440565864413</v>
      </c>
      <c r="AG202" s="32" t="str">
        <f t="shared" si="109"/>
        <v>0.113454147198924i</v>
      </c>
      <c r="AH202" s="32">
        <f t="shared" si="123"/>
        <v>0.11345414719892399</v>
      </c>
      <c r="AI202" s="32">
        <f t="shared" si="124"/>
        <v>1.5707963267948966</v>
      </c>
      <c r="AJ202" s="32" t="str">
        <f t="shared" si="110"/>
        <v>1+0.00112330838810816i</v>
      </c>
      <c r="AK202" s="32">
        <f t="shared" si="125"/>
        <v>1.0000006309106684</v>
      </c>
      <c r="AL202" s="32">
        <f t="shared" si="126"/>
        <v>1.1233079156368713E-3</v>
      </c>
      <c r="AM202" s="32" t="str">
        <f t="shared" si="111"/>
        <v>1+0.113454147198924i</v>
      </c>
      <c r="AN202" s="32">
        <f t="shared" si="127"/>
        <v>1.0064153434425744</v>
      </c>
      <c r="AO202" s="32">
        <f t="shared" si="128"/>
        <v>0.11297108448149734</v>
      </c>
      <c r="AP202" s="60" t="str">
        <f t="shared" si="129"/>
        <v>-0.430138631364907+3.82970032543871i</v>
      </c>
      <c r="AQ202" s="51">
        <f t="shared" si="130"/>
        <v>11.717739404963881</v>
      </c>
      <c r="AR202" s="63">
        <f t="shared" si="131"/>
        <v>96.408405545146024</v>
      </c>
      <c r="AS202" s="60" t="str">
        <f t="shared" si="132"/>
        <v>74.3041650962042+19.6943576574837i</v>
      </c>
      <c r="AT202" s="66">
        <f t="shared" si="133"/>
        <v>37.715122755960486</v>
      </c>
      <c r="AU202" s="63">
        <f t="shared" si="134"/>
        <v>14.844931716532797</v>
      </c>
      <c r="AX202" s="32">
        <f t="shared" si="135"/>
        <v>0</v>
      </c>
      <c r="AY202" s="32">
        <f t="shared" si="136"/>
        <v>0</v>
      </c>
    </row>
    <row r="203" spans="14:51" x14ac:dyDescent="0.3">
      <c r="N203" s="11">
        <v>85</v>
      </c>
      <c r="O203" s="52">
        <f t="shared" si="137"/>
        <v>707.94578438413873</v>
      </c>
      <c r="P203" s="50" t="str">
        <f t="shared" si="103"/>
        <v>131.578947368421</v>
      </c>
      <c r="Q203" s="18" t="str">
        <f t="shared" si="104"/>
        <v>1+6.67223182608322i</v>
      </c>
      <c r="R203" s="18">
        <f t="shared" si="112"/>
        <v>6.7467531110155363</v>
      </c>
      <c r="S203" s="18">
        <f t="shared" si="113"/>
        <v>1.4220287400094811</v>
      </c>
      <c r="T203" s="18" t="str">
        <f t="shared" si="105"/>
        <v>1+0.0000146789100173831i</v>
      </c>
      <c r="U203" s="18">
        <f t="shared" si="114"/>
        <v>1.0000000001077352</v>
      </c>
      <c r="V203" s="18">
        <f t="shared" si="115"/>
        <v>1.467891001632881E-5</v>
      </c>
      <c r="W203" s="32" t="str">
        <f t="shared" si="106"/>
        <v>1-0.00355852364057772i</v>
      </c>
      <c r="X203" s="18">
        <f t="shared" si="116"/>
        <v>1.0000063315252061</v>
      </c>
      <c r="Y203" s="18">
        <f t="shared" si="117"/>
        <v>-3.5585086200562071E-3</v>
      </c>
      <c r="Z203" s="32" t="str">
        <f t="shared" si="107"/>
        <v>0.999999679240171+0.00150612952331469i</v>
      </c>
      <c r="AA203" s="18">
        <f t="shared" si="118"/>
        <v>1.0000008134529621</v>
      </c>
      <c r="AB203" s="18">
        <f t="shared" si="119"/>
        <v>1.5061288675732867E-3</v>
      </c>
      <c r="AC203" s="68" t="str">
        <f t="shared" si="120"/>
        <v>2.79323809082459-19.301601163744i</v>
      </c>
      <c r="AD203" s="66">
        <f t="shared" si="121"/>
        <v>25.801879724852093</v>
      </c>
      <c r="AE203" s="63">
        <f t="shared" si="122"/>
        <v>-81.765586462062601</v>
      </c>
      <c r="AF203" s="32" t="str">
        <f t="shared" si="108"/>
        <v>-0.434440565864413</v>
      </c>
      <c r="AG203" s="32" t="str">
        <f t="shared" si="109"/>
        <v>0.116096833773848i</v>
      </c>
      <c r="AH203" s="32">
        <f t="shared" si="123"/>
        <v>0.116096833773848</v>
      </c>
      <c r="AI203" s="32">
        <f t="shared" si="124"/>
        <v>1.5707963267948966</v>
      </c>
      <c r="AJ203" s="32" t="str">
        <f t="shared" si="110"/>
        <v>1+0.00114947360172127i</v>
      </c>
      <c r="AK203" s="32">
        <f t="shared" si="125"/>
        <v>1.0000006606445624</v>
      </c>
      <c r="AL203" s="32">
        <f t="shared" si="126"/>
        <v>1.1494730954591812E-3</v>
      </c>
      <c r="AM203" s="32" t="str">
        <f t="shared" si="111"/>
        <v>1+0.116096833773848i</v>
      </c>
      <c r="AN203" s="32">
        <f t="shared" si="127"/>
        <v>1.0067166805076353</v>
      </c>
      <c r="AO203" s="32">
        <f t="shared" si="128"/>
        <v>0.11557940907963726</v>
      </c>
      <c r="AP203" s="60" t="str">
        <f t="shared" si="129"/>
        <v>-0.430138605785531+3.74254795624668i</v>
      </c>
      <c r="AQ203" s="51">
        <f t="shared" si="130"/>
        <v>11.520339453563233</v>
      </c>
      <c r="AR203" s="63">
        <f t="shared" si="131"/>
        <v>96.556352381845585</v>
      </c>
      <c r="AS203" s="60" t="str">
        <f t="shared" si="132"/>
        <v>71.0356884496443+18.7561913221272i</v>
      </c>
      <c r="AT203" s="66">
        <f t="shared" si="133"/>
        <v>37.322219178415324</v>
      </c>
      <c r="AU203" s="63">
        <f t="shared" si="134"/>
        <v>14.790765919783011</v>
      </c>
      <c r="AX203" s="32">
        <f t="shared" si="135"/>
        <v>0</v>
      </c>
      <c r="AY203" s="32">
        <f t="shared" si="136"/>
        <v>0</v>
      </c>
    </row>
    <row r="204" spans="14:51" x14ac:dyDescent="0.3">
      <c r="N204" s="11">
        <v>86</v>
      </c>
      <c r="O204" s="52">
        <f t="shared" si="137"/>
        <v>724.43596007499025</v>
      </c>
      <c r="P204" s="50" t="str">
        <f t="shared" si="103"/>
        <v>131.578947368421</v>
      </c>
      <c r="Q204" s="18" t="str">
        <f t="shared" si="104"/>
        <v>1+6.82764807050358i</v>
      </c>
      <c r="R204" s="18">
        <f t="shared" si="112"/>
        <v>6.900491154595537</v>
      </c>
      <c r="S204" s="18">
        <f t="shared" si="113"/>
        <v>1.4253670172020612</v>
      </c>
      <c r="T204" s="18" t="str">
        <f t="shared" si="105"/>
        <v>1+0.0000150208257551079i</v>
      </c>
      <c r="U204" s="18">
        <f t="shared" si="114"/>
        <v>1.0000000001128126</v>
      </c>
      <c r="V204" s="18">
        <f t="shared" si="115"/>
        <v>1.5020825753978208E-5</v>
      </c>
      <c r="W204" s="32" t="str">
        <f t="shared" si="106"/>
        <v>1-0.00364141230426858i</v>
      </c>
      <c r="X204" s="18">
        <f t="shared" si="116"/>
        <v>1.0000066299198069</v>
      </c>
      <c r="Y204" s="18">
        <f t="shared" si="117"/>
        <v>-3.6413962094955675E-3</v>
      </c>
      <c r="Z204" s="32" t="str">
        <f t="shared" si="107"/>
        <v>0.999999664123225+0.00154121178667508i</v>
      </c>
      <c r="AA204" s="18">
        <f t="shared" si="118"/>
        <v>1.0000008517898045</v>
      </c>
      <c r="AB204" s="18">
        <f t="shared" si="119"/>
        <v>1.5412110840355392E-3</v>
      </c>
      <c r="AC204" s="68" t="str">
        <f t="shared" si="120"/>
        <v>2.66577287123689-18.8809054912352i</v>
      </c>
      <c r="AD204" s="66">
        <f t="shared" si="121"/>
        <v>25.606178273154704</v>
      </c>
      <c r="AE204" s="63">
        <f t="shared" si="122"/>
        <v>-81.963595237701668</v>
      </c>
      <c r="AF204" s="32" t="str">
        <f t="shared" si="108"/>
        <v>-0.434440565864413</v>
      </c>
      <c r="AG204" s="32" t="str">
        <f t="shared" si="109"/>
        <v>0.118801076426762i</v>
      </c>
      <c r="AH204" s="32">
        <f t="shared" si="123"/>
        <v>0.11880107642676201</v>
      </c>
      <c r="AI204" s="32">
        <f t="shared" si="124"/>
        <v>1.5707963267948966</v>
      </c>
      <c r="AJ204" s="32" t="str">
        <f t="shared" si="110"/>
        <v>1+0.00117624828145309i</v>
      </c>
      <c r="AK204" s="32">
        <f t="shared" si="125"/>
        <v>1.0000006917797706</v>
      </c>
      <c r="AL204" s="32">
        <f t="shared" si="126"/>
        <v>1.1762477389835086E-3</v>
      </c>
      <c r="AM204" s="32" t="str">
        <f t="shared" si="111"/>
        <v>1+0.118801076426762i</v>
      </c>
      <c r="AN204" s="32">
        <f t="shared" si="127"/>
        <v>1.0070321225066048</v>
      </c>
      <c r="AO204" s="32">
        <f t="shared" si="128"/>
        <v>0.11824685476400745</v>
      </c>
      <c r="AP204" s="60" t="str">
        <f t="shared" si="129"/>
        <v>-0.43013857900064+3.65737993551677i</v>
      </c>
      <c r="AQ204" s="51">
        <f t="shared" si="130"/>
        <v>11.323060371001091</v>
      </c>
      <c r="AR204" s="63">
        <f t="shared" si="131"/>
        <v>96.707651687568472</v>
      </c>
      <c r="AS204" s="60" t="str">
        <f t="shared" si="132"/>
        <v>67.9079931532597+17.871150070152i</v>
      </c>
      <c r="AT204" s="66">
        <f t="shared" si="133"/>
        <v>36.929238644155788</v>
      </c>
      <c r="AU204" s="63">
        <f t="shared" si="134"/>
        <v>14.744056449866807</v>
      </c>
      <c r="AX204" s="32">
        <f t="shared" si="135"/>
        <v>0</v>
      </c>
      <c r="AY204" s="32">
        <f t="shared" si="136"/>
        <v>0</v>
      </c>
    </row>
    <row r="205" spans="14:51" x14ac:dyDescent="0.3">
      <c r="N205" s="11">
        <v>87</v>
      </c>
      <c r="O205" s="52">
        <f t="shared" si="137"/>
        <v>741.31024130091828</v>
      </c>
      <c r="P205" s="50" t="str">
        <f t="shared" si="103"/>
        <v>131.578947368421</v>
      </c>
      <c r="Q205" s="18" t="str">
        <f t="shared" si="104"/>
        <v>1+6.98668442430552i</v>
      </c>
      <c r="R205" s="18">
        <f t="shared" si="112"/>
        <v>7.0578863156637306</v>
      </c>
      <c r="S205" s="18">
        <f t="shared" si="113"/>
        <v>1.428632463303211</v>
      </c>
      <c r="T205" s="18" t="str">
        <f t="shared" si="105"/>
        <v>1+0.0000153707057334721i</v>
      </c>
      <c r="U205" s="18">
        <f t="shared" si="114"/>
        <v>1.0000000001181293</v>
      </c>
      <c r="V205" s="18">
        <f t="shared" si="115"/>
        <v>1.5370705732261611E-5</v>
      </c>
      <c r="W205" s="32" t="str">
        <f t="shared" si="106"/>
        <v>1-0.00372623169296294i</v>
      </c>
      <c r="X205" s="18">
        <f t="shared" si="116"/>
        <v>1.0000069423772164</v>
      </c>
      <c r="Y205" s="18">
        <f t="shared" si="117"/>
        <v>-3.7262144471094101E-3</v>
      </c>
      <c r="Z205" s="32" t="str">
        <f t="shared" si="107"/>
        <v>0.999999648293841+0.0015771112209251i</v>
      </c>
      <c r="AA205" s="18">
        <f t="shared" si="118"/>
        <v>1.0000008919334067</v>
      </c>
      <c r="AB205" s="18">
        <f t="shared" si="119"/>
        <v>1.5771104680333008E-3</v>
      </c>
      <c r="AC205" s="68" t="str">
        <f t="shared" si="120"/>
        <v>2.54380877155544-18.4685735384707i</v>
      </c>
      <c r="AD205" s="66">
        <f t="shared" si="121"/>
        <v>25.410287534354651</v>
      </c>
      <c r="AE205" s="63">
        <f t="shared" si="122"/>
        <v>-82.15758808111012</v>
      </c>
      <c r="AF205" s="32" t="str">
        <f t="shared" si="108"/>
        <v>-0.434440565864413</v>
      </c>
      <c r="AG205" s="32" t="str">
        <f t="shared" si="109"/>
        <v>0.121568308982916i</v>
      </c>
      <c r="AH205" s="32">
        <f t="shared" si="123"/>
        <v>0.121568308982916</v>
      </c>
      <c r="AI205" s="32">
        <f t="shared" si="124"/>
        <v>1.5707963267948966</v>
      </c>
      <c r="AJ205" s="32" t="str">
        <f t="shared" si="110"/>
        <v>1+0.00120364662359323i</v>
      </c>
      <c r="AK205" s="32">
        <f t="shared" si="125"/>
        <v>1.0000007243823348</v>
      </c>
      <c r="AL205" s="32">
        <f t="shared" si="126"/>
        <v>1.2036460423266238E-3</v>
      </c>
      <c r="AM205" s="32" t="str">
        <f t="shared" si="111"/>
        <v>1+0.121568308982916i</v>
      </c>
      <c r="AN205" s="32">
        <f t="shared" si="127"/>
        <v>1.0073623249600741</v>
      </c>
      <c r="AO205" s="32">
        <f t="shared" si="128"/>
        <v>0.12097468393109924</v>
      </c>
      <c r="AP205" s="60" t="str">
        <f t="shared" si="129"/>
        <v>-0.43013855095342+3.57415110603684i</v>
      </c>
      <c r="AQ205" s="51">
        <f t="shared" si="130"/>
        <v>11.125907695047431</v>
      </c>
      <c r="AR205" s="63">
        <f t="shared" si="131"/>
        <v>96.862374978928145</v>
      </c>
      <c r="AS205" s="60" t="str">
        <f t="shared" si="132"/>
        <v>64.9152823205483+17.0360023944156i</v>
      </c>
      <c r="AT205" s="66">
        <f t="shared" si="133"/>
        <v>36.536195229402082</v>
      </c>
      <c r="AU205" s="63">
        <f t="shared" si="134"/>
        <v>14.704786897818071</v>
      </c>
      <c r="AX205" s="32">
        <f t="shared" si="135"/>
        <v>0</v>
      </c>
      <c r="AY205" s="32">
        <f t="shared" si="136"/>
        <v>0</v>
      </c>
    </row>
    <row r="206" spans="14:51" x14ac:dyDescent="0.3">
      <c r="N206" s="11">
        <v>88</v>
      </c>
      <c r="O206" s="52">
        <f t="shared" si="137"/>
        <v>758.57757502918378</v>
      </c>
      <c r="P206" s="50" t="str">
        <f t="shared" si="103"/>
        <v>131.578947368421</v>
      </c>
      <c r="Q206" s="18" t="str">
        <f t="shared" si="104"/>
        <v>1+7.14942521066893i</v>
      </c>
      <c r="R206" s="18">
        <f t="shared" si="112"/>
        <v>7.219022152822947</v>
      </c>
      <c r="S206" s="18">
        <f t="shared" si="113"/>
        <v>1.4318265309912839</v>
      </c>
      <c r="T206" s="18" t="str">
        <f t="shared" si="105"/>
        <v>1+0.0000157287354634717i</v>
      </c>
      <c r="U206" s="18">
        <f t="shared" si="114"/>
        <v>1.0000000001236966</v>
      </c>
      <c r="V206" s="18">
        <f t="shared" si="115"/>
        <v>1.5728735462174637E-5</v>
      </c>
      <c r="W206" s="32" t="str">
        <f t="shared" si="106"/>
        <v>1-0.00381302677902343i</v>
      </c>
      <c r="X206" s="18">
        <f t="shared" si="116"/>
        <v>1.0000072695601856</v>
      </c>
      <c r="Y206" s="18">
        <f t="shared" si="117"/>
        <v>-3.8130082997656924E-3</v>
      </c>
      <c r="Z206" s="32" t="str">
        <f t="shared" si="107"/>
        <v>0.99999963171844+0.00161384686042i</v>
      </c>
      <c r="AA206" s="18">
        <f t="shared" si="118"/>
        <v>1.0000009339689162</v>
      </c>
      <c r="AB206" s="18">
        <f t="shared" si="119"/>
        <v>1.6138460536819419E-3</v>
      </c>
      <c r="AC206" s="68" t="str">
        <f t="shared" si="120"/>
        <v>2.42711833376948-18.0644922540215i</v>
      </c>
      <c r="AD206" s="66">
        <f t="shared" si="121"/>
        <v>25.214215695011223</v>
      </c>
      <c r="AE206" s="63">
        <f t="shared" si="122"/>
        <v>-82.347651880983818</v>
      </c>
      <c r="AF206" s="32" t="str">
        <f t="shared" si="108"/>
        <v>-0.434440565864413</v>
      </c>
      <c r="AG206" s="32" t="str">
        <f t="shared" si="109"/>
        <v>0.12439999866564i</v>
      </c>
      <c r="AH206" s="32">
        <f t="shared" si="123"/>
        <v>0.12439999866564</v>
      </c>
      <c r="AI206" s="32">
        <f t="shared" si="124"/>
        <v>1.5707963267948966</v>
      </c>
      <c r="AJ206" s="32" t="str">
        <f t="shared" si="110"/>
        <v>1+0.00123168315510534i</v>
      </c>
      <c r="AK206" s="32">
        <f t="shared" si="125"/>
        <v>1.0000007585214095</v>
      </c>
      <c r="AL206" s="32">
        <f t="shared" si="126"/>
        <v>1.2316825322669753E-3</v>
      </c>
      <c r="AM206" s="32" t="str">
        <f t="shared" si="111"/>
        <v>1+0.12439999866564i</v>
      </c>
      <c r="AN206" s="32">
        <f t="shared" si="127"/>
        <v>1.0077079734069843</v>
      </c>
      <c r="AO206" s="32">
        <f t="shared" si="128"/>
        <v>0.12376418044145286</v>
      </c>
      <c r="AP206" s="60" t="str">
        <f t="shared" si="129"/>
        <v>-0.430138521584378+3.49281733877961i</v>
      </c>
      <c r="AQ206" s="51">
        <f t="shared" si="130"/>
        <v>10.928887209492025</v>
      </c>
      <c r="AR206" s="63">
        <f t="shared" si="131"/>
        <v>97.020594983391931</v>
      </c>
      <c r="AS206" s="60" t="str">
        <f t="shared" si="132"/>
        <v>62.0519746692983+16.2477149907772i</v>
      </c>
      <c r="AT206" s="66">
        <f t="shared" si="133"/>
        <v>36.143102904503252</v>
      </c>
      <c r="AU206" s="63">
        <f t="shared" si="134"/>
        <v>14.672943102408141</v>
      </c>
      <c r="AX206" s="32">
        <f t="shared" si="135"/>
        <v>0</v>
      </c>
      <c r="AY206" s="32">
        <f t="shared" si="136"/>
        <v>0</v>
      </c>
    </row>
    <row r="207" spans="14:51" x14ac:dyDescent="0.3">
      <c r="N207" s="11">
        <v>89</v>
      </c>
      <c r="O207" s="52">
        <f t="shared" si="137"/>
        <v>776.24711662869231</v>
      </c>
      <c r="P207" s="50" t="str">
        <f t="shared" si="103"/>
        <v>131.578947368421</v>
      </c>
      <c r="Q207" s="18" t="str">
        <f t="shared" si="104"/>
        <v>1+7.31595671691288i</v>
      </c>
      <c r="R207" s="18">
        <f t="shared" si="112"/>
        <v>7.3839842012116108</v>
      </c>
      <c r="S207" s="18">
        <f t="shared" si="113"/>
        <v>1.4349506529780134</v>
      </c>
      <c r="T207" s="18" t="str">
        <f t="shared" si="105"/>
        <v>1+0.0000160951047772083i</v>
      </c>
      <c r="U207" s="18">
        <f t="shared" si="114"/>
        <v>1.0000000001295262</v>
      </c>
      <c r="V207" s="18">
        <f t="shared" si="115"/>
        <v>1.6095104775818475E-5</v>
      </c>
      <c r="W207" s="32" t="str">
        <f t="shared" si="106"/>
        <v>1-0.00390184358235354i</v>
      </c>
      <c r="X207" s="18">
        <f t="shared" si="116"/>
        <v>1.000007612162698</v>
      </c>
      <c r="Y207" s="18">
        <f t="shared" si="117"/>
        <v>-3.9018237814802681E-3</v>
      </c>
      <c r="Z207" s="32" t="str">
        <f t="shared" si="107"/>
        <v>0.999999614361865+0.00165143818288209i</v>
      </c>
      <c r="AA207" s="18">
        <f t="shared" si="118"/>
        <v>1.000000977985497</v>
      </c>
      <c r="AB207" s="18">
        <f t="shared" si="119"/>
        <v>1.6514373184467297E-3</v>
      </c>
      <c r="AC207" s="68" t="str">
        <f t="shared" si="120"/>
        <v>2.31548264256937-17.6685463753688i</v>
      </c>
      <c r="AD207" s="66">
        <f t="shared" si="121"/>
        <v>25.017970602963736</v>
      </c>
      <c r="AE207" s="63">
        <f t="shared" si="122"/>
        <v>-82.533872467167242</v>
      </c>
      <c r="AF207" s="32" t="str">
        <f t="shared" si="108"/>
        <v>-0.434440565864413</v>
      </c>
      <c r="AG207" s="32" t="str">
        <f t="shared" si="109"/>
        <v>0.127297646874284i</v>
      </c>
      <c r="AH207" s="32">
        <f t="shared" si="123"/>
        <v>0.12729764687428399</v>
      </c>
      <c r="AI207" s="32">
        <f t="shared" si="124"/>
        <v>1.5707963267948966</v>
      </c>
      <c r="AJ207" s="32" t="str">
        <f t="shared" si="110"/>
        <v>1+0.00126037274132955i</v>
      </c>
      <c r="AK207" s="32">
        <f t="shared" si="125"/>
        <v>1.000000794269408</v>
      </c>
      <c r="AL207" s="32">
        <f t="shared" si="126"/>
        <v>1.260372073946247E-3</v>
      </c>
      <c r="AM207" s="32" t="str">
        <f t="shared" si="111"/>
        <v>1+0.127297646874284i</v>
      </c>
      <c r="AN207" s="32">
        <f t="shared" si="127"/>
        <v>1.0080697847370141</v>
      </c>
      <c r="AO207" s="32">
        <f t="shared" si="128"/>
        <v>0.12661664958297333</v>
      </c>
      <c r="AP207" s="60" t="str">
        <f t="shared" si="129"/>
        <v>-0.430138490831221+3.41333550950493i</v>
      </c>
      <c r="AQ207" s="51">
        <f t="shared" si="130"/>
        <v>10.732004954343692</v>
      </c>
      <c r="AR207" s="63">
        <f t="shared" si="131"/>
        <v>97.182385636737976</v>
      </c>
      <c r="AS207" s="60" t="str">
        <f t="shared" si="132"/>
        <v>59.3126985349603+15.5034409986069i</v>
      </c>
      <c r="AT207" s="66">
        <f t="shared" si="133"/>
        <v>35.749975557307422</v>
      </c>
      <c r="AU207" s="63">
        <f t="shared" si="134"/>
        <v>14.648513169570712</v>
      </c>
      <c r="AX207" s="32">
        <f t="shared" si="135"/>
        <v>0</v>
      </c>
      <c r="AY207" s="32">
        <f t="shared" si="136"/>
        <v>0</v>
      </c>
    </row>
    <row r="208" spans="14:51" x14ac:dyDescent="0.3">
      <c r="N208" s="11">
        <v>90</v>
      </c>
      <c r="O208" s="52">
        <f t="shared" si="137"/>
        <v>794.32823472428208</v>
      </c>
      <c r="P208" s="50" t="str">
        <f t="shared" si="103"/>
        <v>131.578947368421</v>
      </c>
      <c r="Q208" s="18" t="str">
        <f t="shared" si="104"/>
        <v>1+7.48636724024626i</v>
      </c>
      <c r="R208" s="18">
        <f t="shared" si="112"/>
        <v>7.5528600182866095</v>
      </c>
      <c r="S208" s="18">
        <f t="shared" si="113"/>
        <v>1.4380062416511041</v>
      </c>
      <c r="T208" s="18" t="str">
        <f t="shared" si="105"/>
        <v>1+0.0000164700079285418i</v>
      </c>
      <c r="U208" s="18">
        <f t="shared" si="114"/>
        <v>1.0000000001356306</v>
      </c>
      <c r="V208" s="18">
        <f t="shared" si="115"/>
        <v>1.6470007927052576E-5</v>
      </c>
      <c r="W208" s="32" t="str">
        <f t="shared" si="106"/>
        <v>1-0.00399272919479801i</v>
      </c>
      <c r="X208" s="18">
        <f t="shared" si="116"/>
        <v>1.0000079709114438</v>
      </c>
      <c r="Y208" s="18">
        <f t="shared" si="117"/>
        <v>-3.9927079777891724E-3</v>
      </c>
      <c r="Z208" s="32" t="str">
        <f t="shared" si="107"/>
        <v>0.999999596187299+0.0016899051197281i</v>
      </c>
      <c r="AA208" s="18">
        <f t="shared" si="118"/>
        <v>1.0000010240765129</v>
      </c>
      <c r="AB208" s="18">
        <f t="shared" si="119"/>
        <v>1.6899041934689731E-3</v>
      </c>
      <c r="AC208" s="68" t="str">
        <f t="shared" si="120"/>
        <v>2.20869108037009-17.2806187593425i</v>
      </c>
      <c r="AD208" s="66">
        <f t="shared" si="121"/>
        <v>24.821559780132532</v>
      </c>
      <c r="AE208" s="63">
        <f t="shared" si="122"/>
        <v>-82.716334592157835</v>
      </c>
      <c r="AF208" s="32" t="str">
        <f t="shared" si="108"/>
        <v>-0.434440565864413</v>
      </c>
      <c r="AG208" s="32" t="str">
        <f t="shared" si="109"/>
        <v>0.130262789980285i</v>
      </c>
      <c r="AH208" s="32">
        <f t="shared" si="123"/>
        <v>0.13026278998028501</v>
      </c>
      <c r="AI208" s="32">
        <f t="shared" si="124"/>
        <v>1.5707963267948966</v>
      </c>
      <c r="AJ208" s="32" t="str">
        <f t="shared" si="110"/>
        <v>1+0.00128973059386421i</v>
      </c>
      <c r="AK208" s="32">
        <f t="shared" si="125"/>
        <v>1.0000008317021565</v>
      </c>
      <c r="AL208" s="32">
        <f t="shared" si="126"/>
        <v>1.2897298787501489E-3</v>
      </c>
      <c r="AM208" s="32" t="str">
        <f t="shared" si="111"/>
        <v>1+0.130262789980285i</v>
      </c>
      <c r="AN208" s="32">
        <f t="shared" si="127"/>
        <v>1.0084485085781265</v>
      </c>
      <c r="AO208" s="32">
        <f t="shared" si="128"/>
        <v>0.12953341799869658</v>
      </c>
      <c r="AP208" s="60" t="str">
        <f t="shared" si="129"/>
        <v>-0.430138458628716+3.33566347589455i</v>
      </c>
      <c r="AQ208" s="51">
        <f t="shared" si="130"/>
        <v>10.535267236381962</v>
      </c>
      <c r="AR208" s="63">
        <f t="shared" si="131"/>
        <v>97.347822078464944</v>
      </c>
      <c r="AS208" s="60" t="str">
        <f t="shared" si="132"/>
        <v>56.6922858594996+14.8005088836186i</v>
      </c>
      <c r="AT208" s="66">
        <f t="shared" si="133"/>
        <v>35.356827016514487</v>
      </c>
      <c r="AU208" s="63">
        <f t="shared" si="134"/>
        <v>14.631487486307073</v>
      </c>
      <c r="AX208" s="32">
        <f t="shared" si="135"/>
        <v>0</v>
      </c>
      <c r="AY208" s="32">
        <f t="shared" si="136"/>
        <v>0</v>
      </c>
    </row>
    <row r="209" spans="14:51" x14ac:dyDescent="0.3">
      <c r="N209" s="11">
        <v>91</v>
      </c>
      <c r="O209" s="52">
        <f t="shared" si="137"/>
        <v>812.83051616409978</v>
      </c>
      <c r="P209" s="50" t="str">
        <f t="shared" si="103"/>
        <v>131.578947368421</v>
      </c>
      <c r="Q209" s="18" t="str">
        <f t="shared" si="104"/>
        <v>1+7.6607471345842i</v>
      </c>
      <c r="R209" s="18">
        <f t="shared" si="112"/>
        <v>7.7257392306523034</v>
      </c>
      <c r="S209" s="18">
        <f t="shared" si="113"/>
        <v>1.4409946887726461</v>
      </c>
      <c r="T209" s="18" t="str">
        <f t="shared" si="105"/>
        <v>1+0.0000168536436960853i</v>
      </c>
      <c r="U209" s="18">
        <f t="shared" si="114"/>
        <v>1.0000000001420226</v>
      </c>
      <c r="V209" s="18">
        <f t="shared" si="115"/>
        <v>1.6853643694489569E-5</v>
      </c>
      <c r="W209" s="32" t="str">
        <f t="shared" si="106"/>
        <v>1-0.00408573180511158i</v>
      </c>
      <c r="X209" s="18">
        <f t="shared" si="116"/>
        <v>1.000008346567359</v>
      </c>
      <c r="Y209" s="18">
        <f t="shared" si="117"/>
        <v>-4.0857090706872597E-3</v>
      </c>
      <c r="Z209" s="32" t="str">
        <f t="shared" si="107"/>
        <v>0.999999577156193+0.00172926806663714i</v>
      </c>
      <c r="AA209" s="18">
        <f t="shared" si="118"/>
        <v>1.0000010723397306</v>
      </c>
      <c r="AB209" s="18">
        <f t="shared" si="119"/>
        <v>1.729267074132658E-3</v>
      </c>
      <c r="AC209" s="68" t="str">
        <f t="shared" si="120"/>
        <v>2.1065410822702-16.9005906903442i</v>
      </c>
      <c r="AD209" s="66">
        <f t="shared" si="121"/>
        <v>24.624990434946355</v>
      </c>
      <c r="AE209" s="63">
        <f t="shared" si="122"/>
        <v>-82.895121915854531</v>
      </c>
      <c r="AF209" s="32" t="str">
        <f t="shared" si="108"/>
        <v>-0.434440565864413</v>
      </c>
      <c r="AG209" s="32" t="str">
        <f t="shared" si="109"/>
        <v>0.133297000141765i</v>
      </c>
      <c r="AH209" s="32">
        <f t="shared" si="123"/>
        <v>0.13329700014176499</v>
      </c>
      <c r="AI209" s="32">
        <f t="shared" si="124"/>
        <v>1.5707963267948966</v>
      </c>
      <c r="AJ209" s="32" t="str">
        <f t="shared" si="110"/>
        <v>1+0.00131977227863134i</v>
      </c>
      <c r="AK209" s="32">
        <f t="shared" si="125"/>
        <v>1.0000008708990544</v>
      </c>
      <c r="AL209" s="32">
        <f t="shared" si="126"/>
        <v>1.3197715123728542E-3</v>
      </c>
      <c r="AM209" s="32" t="str">
        <f t="shared" si="111"/>
        <v>1+0.133297000141765i</v>
      </c>
      <c r="AN209" s="32">
        <f t="shared" si="127"/>
        <v>1.0088449287411785</v>
      </c>
      <c r="AO209" s="32">
        <f t="shared" si="128"/>
        <v>0.13251583357610258</v>
      </c>
      <c r="AP209" s="60" t="str">
        <f t="shared" si="129"/>
        <v>-0.43013842490856+3.25976005520791i</v>
      </c>
      <c r="AQ209" s="51">
        <f t="shared" si="130"/>
        <v>10.338680640068025</v>
      </c>
      <c r="AR209" s="63">
        <f t="shared" si="131"/>
        <v>97.516980644988138</v>
      </c>
      <c r="AS209" s="60" t="str">
        <f t="shared" si="132"/>
        <v>54.1857661786698+14.1364119342078i</v>
      </c>
      <c r="AT209" s="66">
        <f t="shared" si="133"/>
        <v>34.963671075014375</v>
      </c>
      <c r="AU209" s="63">
        <f t="shared" si="134"/>
        <v>14.621858729133649</v>
      </c>
      <c r="AX209" s="32">
        <f t="shared" si="135"/>
        <v>0</v>
      </c>
      <c r="AY209" s="32">
        <f t="shared" si="136"/>
        <v>0</v>
      </c>
    </row>
    <row r="210" spans="14:51" x14ac:dyDescent="0.3">
      <c r="N210" s="11">
        <v>92</v>
      </c>
      <c r="O210" s="52">
        <f t="shared" si="137"/>
        <v>831.7637711026714</v>
      </c>
      <c r="P210" s="50" t="str">
        <f t="shared" si="103"/>
        <v>131.578947368421</v>
      </c>
      <c r="Q210" s="18" t="str">
        <f t="shared" si="104"/>
        <v>1+7.83918885845488i</v>
      </c>
      <c r="R210" s="18">
        <f t="shared" si="112"/>
        <v>7.9027135819617769</v>
      </c>
      <c r="S210" s="18">
        <f t="shared" si="113"/>
        <v>1.4439173652295629</v>
      </c>
      <c r="T210" s="18" t="str">
        <f t="shared" si="105"/>
        <v>1+0.0000172462154886007i</v>
      </c>
      <c r="U210" s="18">
        <f t="shared" si="114"/>
        <v>1.0000000001487159</v>
      </c>
      <c r="V210" s="18">
        <f t="shared" si="115"/>
        <v>1.724621548689084E-5</v>
      </c>
      <c r="W210" s="32" t="str">
        <f t="shared" si="106"/>
        <v>1-0.00418090072450927i</v>
      </c>
      <c r="X210" s="18">
        <f t="shared" si="116"/>
        <v>1.0000087399272408</v>
      </c>
      <c r="Y210" s="18">
        <f t="shared" si="117"/>
        <v>-4.1808763641462158E-3</v>
      </c>
      <c r="Z210" s="32" t="str">
        <f t="shared" si="107"/>
        <v>0.999999557228179+0.00176954789436467i</v>
      </c>
      <c r="AA210" s="18">
        <f t="shared" si="118"/>
        <v>1.0000011228775219</v>
      </c>
      <c r="AB210" s="18">
        <f t="shared" si="119"/>
        <v>1.7695468308770172E-3</v>
      </c>
      <c r="AC210" s="68" t="str">
        <f t="shared" si="120"/>
        <v>2.00883789178158-16.5283421674509i</v>
      </c>
      <c r="AD210" s="66">
        <f t="shared" si="121"/>
        <v>24.428269474400786</v>
      </c>
      <c r="AE210" s="63">
        <f t="shared" si="122"/>
        <v>-83.070316993335396</v>
      </c>
      <c r="AF210" s="32" t="str">
        <f t="shared" si="108"/>
        <v>-0.434440565864413</v>
      </c>
      <c r="AG210" s="32" t="str">
        <f t="shared" si="109"/>
        <v>0.136401886137115i</v>
      </c>
      <c r="AH210" s="32">
        <f t="shared" si="123"/>
        <v>0.13640188613711501</v>
      </c>
      <c r="AI210" s="32">
        <f t="shared" si="124"/>
        <v>1.5707963267948966</v>
      </c>
      <c r="AJ210" s="32" t="str">
        <f t="shared" si="110"/>
        <v>1+0.00135051372412985i</v>
      </c>
      <c r="AK210" s="32">
        <f t="shared" si="125"/>
        <v>1.0000009119432436</v>
      </c>
      <c r="AL210" s="32">
        <f t="shared" si="126"/>
        <v>1.35051290306913E-3</v>
      </c>
      <c r="AM210" s="32" t="str">
        <f t="shared" si="111"/>
        <v>1+0.136401886137115i</v>
      </c>
      <c r="AN210" s="32">
        <f t="shared" si="127"/>
        <v>1.0092598647235322</v>
      </c>
      <c r="AO210" s="32">
        <f t="shared" si="128"/>
        <v>0.13556526529494747</v>
      </c>
      <c r="AP210" s="60" t="str">
        <f t="shared" si="129"/>
        <v>-0.430138389599227+3.18558500244636i</v>
      </c>
      <c r="AQ210" s="51">
        <f t="shared" si="130"/>
        <v>10.142252038817805</v>
      </c>
      <c r="AR210" s="63">
        <f t="shared" si="131"/>
        <v>97.689938860448009</v>
      </c>
      <c r="AS210" s="60" t="str">
        <f t="shared" si="132"/>
        <v>51.7883606281965+13.5087983430577i</v>
      </c>
      <c r="AT210" s="66">
        <f t="shared" si="133"/>
        <v>34.570521513218594</v>
      </c>
      <c r="AU210" s="63">
        <f t="shared" si="134"/>
        <v>14.619621867112631</v>
      </c>
      <c r="AX210" s="32">
        <f t="shared" si="135"/>
        <v>0</v>
      </c>
      <c r="AY210" s="32">
        <f t="shared" si="136"/>
        <v>0</v>
      </c>
    </row>
    <row r="211" spans="14:51" x14ac:dyDescent="0.3">
      <c r="N211" s="11">
        <v>93</v>
      </c>
      <c r="O211" s="52">
        <f t="shared" si="137"/>
        <v>851.13803820237763</v>
      </c>
      <c r="P211" s="50" t="str">
        <f t="shared" ref="P211:P274" si="138">COMPLEX(Adc,0)</f>
        <v>131.578947368421</v>
      </c>
      <c r="Q211" s="18" t="str">
        <f t="shared" ref="Q211:Q274" si="139">IMSUM(COMPLEX(1,0),IMDIV(COMPLEX(0,2*PI()*O211),COMPLEX(wp_lf,0)))</f>
        <v>1+8.02178702402226i</v>
      </c>
      <c r="R211" s="18">
        <f t="shared" si="112"/>
        <v>8.0838769819172711</v>
      </c>
      <c r="S211" s="18">
        <f t="shared" si="113"/>
        <v>1.4467756208324944</v>
      </c>
      <c r="T211" s="18" t="str">
        <f t="shared" ref="T211:T274" si="140">IMSUM(COMPLEX(1,0),IMDIV(COMPLEX(0,2*PI()*O211),COMPLEX(wz_esr,0)))</f>
        <v>1+0.000017647931452849i</v>
      </c>
      <c r="U211" s="18">
        <f t="shared" si="114"/>
        <v>1.0000000001557248</v>
      </c>
      <c r="V211" s="18">
        <f t="shared" si="115"/>
        <v>1.7647931451016854E-5</v>
      </c>
      <c r="W211" s="32" t="str">
        <f t="shared" ref="W211:W274" si="141">IMSUB(COMPLEX(1,0),IMDIV(COMPLEX(0,2*PI()*O211),COMPLEX(wz_rhp,0)))</f>
        <v>1-0.00427828641281187i</v>
      </c>
      <c r="X211" s="18">
        <f t="shared" si="116"/>
        <v>1.000009151825437</v>
      </c>
      <c r="Y211" s="18">
        <f t="shared" si="117"/>
        <v>-4.2782603102254771E-3</v>
      </c>
      <c r="Z211" s="32" t="str">
        <f t="shared" ref="Z211:Z274" si="142">IMSUM(COMPLEX(1,0),IMDIV(COMPLEX(0,2*PI()*O211),COMPLEX(Q*(wsl/2),0)),IMDIV(IMPOWER(COMPLEX(0,2*PI()*O211),2),IMPOWER(COMPLEX(wsl/2,0),2)))</f>
        <v>0.999999536360986+0.00181076595980853i</v>
      </c>
      <c r="AA211" s="18">
        <f t="shared" si="118"/>
        <v>1.0000011757970828</v>
      </c>
      <c r="AB211" s="18">
        <f t="shared" si="119"/>
        <v>1.8107648202610478E-3</v>
      </c>
      <c r="AC211" s="68" t="str">
        <f t="shared" si="120"/>
        <v>1.91539431807004-16.1637521714536i</v>
      </c>
      <c r="AD211" s="66">
        <f t="shared" si="121"/>
        <v>24.231403515745825</v>
      </c>
      <c r="AE211" s="63">
        <f t="shared" si="122"/>
        <v>-83.2420012654581</v>
      </c>
      <c r="AF211" s="32" t="str">
        <f t="shared" ref="AF211:AF274" si="143">COMPLEX(Adc_ea,0)</f>
        <v>-0.434440565864413</v>
      </c>
      <c r="AG211" s="32" t="str">
        <f t="shared" ref="AG211:AG274" si="144">IMDIV(COMPLEX(0,2*PI()*O211),COMPLEX(wp0_ea,0))</f>
        <v>0.139579094217987i</v>
      </c>
      <c r="AH211" s="32">
        <f t="shared" si="123"/>
        <v>0.139579094217987</v>
      </c>
      <c r="AI211" s="32">
        <f t="shared" si="124"/>
        <v>1.5707963267948966</v>
      </c>
      <c r="AJ211" s="32" t="str">
        <f t="shared" ref="AJ211:AJ274" si="145">IMSUM(COMPLEX(1,0),IMDIV(COMPLEX(0,2*PI()*O211),COMPLEX(wp1_ea,0)))</f>
        <v>1+0.00138197122988106i</v>
      </c>
      <c r="AK211" s="32">
        <f t="shared" si="125"/>
        <v>1.0000009549217841</v>
      </c>
      <c r="AL211" s="32">
        <f t="shared" si="126"/>
        <v>1.381970350098693E-3</v>
      </c>
      <c r="AM211" s="32" t="str">
        <f t="shared" ref="AM211:AM274" si="146">IMSUM(COMPLEX(1,0),IMDIV(COMPLEX(0,2*PI()*O211),COMPLEX(wz_ea,0)))</f>
        <v>1+0.139579094217987i</v>
      </c>
      <c r="AN211" s="32">
        <f t="shared" si="127"/>
        <v>1.0096941732736273</v>
      </c>
      <c r="AO211" s="32">
        <f t="shared" si="128"/>
        <v>0.13868310303037129</v>
      </c>
      <c r="AP211" s="60" t="str">
        <f t="shared" si="129"/>
        <v>-0.430138352625823+3.11309898901483i</v>
      </c>
      <c r="AQ211" s="51">
        <f t="shared" si="130"/>
        <v>9.945988606642409</v>
      </c>
      <c r="AR211" s="63">
        <f t="shared" si="131"/>
        <v>97.866775424945359</v>
      </c>
      <c r="AS211" s="60" t="str">
        <f t="shared" si="132"/>
        <v>49.495475987035+12.9154618464297i</v>
      </c>
      <c r="AT211" s="66">
        <f t="shared" si="133"/>
        <v>34.177392122388241</v>
      </c>
      <c r="AU211" s="63">
        <f t="shared" si="134"/>
        <v>14.624774159487238</v>
      </c>
      <c r="AX211" s="32">
        <f t="shared" si="135"/>
        <v>0</v>
      </c>
      <c r="AY211" s="32">
        <f t="shared" si="136"/>
        <v>0</v>
      </c>
    </row>
    <row r="212" spans="14:51" x14ac:dyDescent="0.3">
      <c r="N212" s="11">
        <v>94</v>
      </c>
      <c r="O212" s="52">
        <f t="shared" si="137"/>
        <v>870.96358995608091</v>
      </c>
      <c r="P212" s="50" t="str">
        <f t="shared" si="138"/>
        <v>131.578947368421</v>
      </c>
      <c r="Q212" s="18" t="str">
        <f t="shared" si="139"/>
        <v>1+8.20863844725064i</v>
      </c>
      <c r="R212" s="18">
        <f t="shared" ref="R212:R275" si="147">IMABS(Q212)</f>
        <v>8.2693255563970514</v>
      </c>
      <c r="S212" s="18">
        <f t="shared" ref="S212:S275" si="148">IMARGUMENT(Q212)</f>
        <v>1.4495707841596972</v>
      </c>
      <c r="T212" s="18" t="str">
        <f t="shared" si="140"/>
        <v>1+0.0000180590045839514i</v>
      </c>
      <c r="U212" s="18">
        <f t="shared" ref="U212:U275" si="149">IMABS(T212)</f>
        <v>1.0000000001630638</v>
      </c>
      <c r="V212" s="18">
        <f t="shared" ref="V212:V275" si="150">IMARGUMENT(T212)</f>
        <v>1.8059004581988219E-5</v>
      </c>
      <c r="W212" s="32" t="str">
        <f t="shared" si="141"/>
        <v>1-0.00437794050520034i</v>
      </c>
      <c r="X212" s="18">
        <f t="shared" ref="X212:X275" si="151">IMABS(W212)</f>
        <v>1.0000095831356153</v>
      </c>
      <c r="Y212" s="18">
        <f t="shared" ref="Y212:Y275" si="152">IMARGUMENT(W212)</f>
        <v>-4.3779125357895797E-3</v>
      </c>
      <c r="Z212" s="32" t="str">
        <f t="shared" si="142"/>
        <v>0.999999514510352+0.0018529441173326i</v>
      </c>
      <c r="AA212" s="18">
        <f t="shared" ref="AA212:AA275" si="153">IMABS(Z212)</f>
        <v>1.000001231210663</v>
      </c>
      <c r="AB212" s="18">
        <f t="shared" ref="AB212:AB275" si="154">IMARGUMENT(Z212)</f>
        <v>1.8529428962855519E-3</v>
      </c>
      <c r="AC212" s="68" t="str">
        <f t="shared" ref="AC212:AC275" si="155">(IMDIV(IMPRODUCT(P212,T212,W212),IMPRODUCT(Q212,Z212)))</f>
        <v>1.82603049536164-15.806698912868i</v>
      </c>
      <c r="AD212" s="66">
        <f t="shared" ref="AD212:AD275" si="156">20*LOG(IMABS(AC212))</f>
        <v>24.034398897807151</v>
      </c>
      <c r="AE212" s="63">
        <f t="shared" ref="AE212:AE275" si="157">(180/PI())*IMARGUMENT(AC212)</f>
        <v>-83.410255052089155</v>
      </c>
      <c r="AF212" s="32" t="str">
        <f t="shared" si="143"/>
        <v>-0.434440565864413</v>
      </c>
      <c r="AG212" s="32" t="str">
        <f t="shared" si="144"/>
        <v>0.142830308982161i</v>
      </c>
      <c r="AH212" s="32">
        <f t="shared" ref="AH212:AH275" si="158">IMABS(AG212)</f>
        <v>0.14283030898216101</v>
      </c>
      <c r="AI212" s="32">
        <f t="shared" ref="AI212:AI275" si="159">IMARGUMENT(AG212)</f>
        <v>1.5707963267948966</v>
      </c>
      <c r="AJ212" s="32" t="str">
        <f t="shared" si="145"/>
        <v>1+0.0014141614750709i</v>
      </c>
      <c r="AK212" s="32">
        <f t="shared" ref="AK212:AK275" si="160">IMABS(AJ212)</f>
        <v>1.000000999925839</v>
      </c>
      <c r="AL212" s="32">
        <f t="shared" ref="AL212:AL275" si="161">IMARGUMENT(AJ212)</f>
        <v>1.4141605323671604E-3</v>
      </c>
      <c r="AM212" s="32" t="str">
        <f t="shared" si="146"/>
        <v>1+0.142830308982161i</v>
      </c>
      <c r="AN212" s="32">
        <f t="shared" ref="AN212:AN275" si="162">IMABS(AM212)</f>
        <v>1.0101487500185007</v>
      </c>
      <c r="AO212" s="32">
        <f t="shared" ref="AO212:AO275" si="163">IMARGUMENT(AM212)</f>
        <v>0.14187075730789561</v>
      </c>
      <c r="AP212" s="60" t="str">
        <f t="shared" ref="AP212:AP275" si="164">IMPRODUCT(AF212,IMDIV(AM212,IMPRODUCT(AG212,AJ212)))</f>
        <v>-0.430138313909922+3.04226358186919i</v>
      </c>
      <c r="AQ212" s="51">
        <f t="shared" ref="AQ212:AQ275" si="165">20*LOG(IMABS(AP212))</f>
        <v>9.7498978301577495</v>
      </c>
      <c r="AR212" s="63">
        <f t="shared" ref="AR212:AR275" si="166">(180/PI())*IMARGUMENT(AP212)</f>
        <v>98.047570200008565</v>
      </c>
      <c r="AS212" s="60" t="str">
        <f t="shared" ref="AS212:AS275" si="167">IMPRODUCT(AC212,AP212)</f>
        <v>47.3026987737667+12.3543328942841i</v>
      </c>
      <c r="AT212" s="66">
        <f t="shared" ref="AT212:AT275" si="168">20*LOG(IMABS(AS212))</f>
        <v>33.7842967279649</v>
      </c>
      <c r="AU212" s="63">
        <f t="shared" ref="AU212:AU275" si="169">(180/PI())*IMARGUMENT(AS212)</f>
        <v>14.637315147919399</v>
      </c>
      <c r="AX212" s="32">
        <f t="shared" ref="AX212:AX275" si="170">SUM((AT213&lt;0)*(AT212&gt;0))*O212</f>
        <v>0</v>
      </c>
      <c r="AY212" s="32">
        <f t="shared" ref="AY212:AY275" si="171">IF(AX212&gt;0,AU212,0)</f>
        <v>0</v>
      </c>
    </row>
    <row r="213" spans="14:51" x14ac:dyDescent="0.3">
      <c r="N213" s="11">
        <v>95</v>
      </c>
      <c r="O213" s="52">
        <f t="shared" si="137"/>
        <v>891.25093813374656</v>
      </c>
      <c r="P213" s="50" t="str">
        <f t="shared" si="138"/>
        <v>131.578947368421</v>
      </c>
      <c r="Q213" s="18" t="str">
        <f t="shared" si="139"/>
        <v>1+8.39984219923797i</v>
      </c>
      <c r="R213" s="18">
        <f t="shared" si="147"/>
        <v>8.4591576987368526</v>
      </c>
      <c r="S213" s="18">
        <f t="shared" si="148"/>
        <v>1.4523041624427249</v>
      </c>
      <c r="T213" s="18" t="str">
        <f t="shared" si="140"/>
        <v>1+0.0000184796528383235i</v>
      </c>
      <c r="U213" s="18">
        <f t="shared" si="149"/>
        <v>1.0000000001707487</v>
      </c>
      <c r="V213" s="18">
        <f t="shared" si="150"/>
        <v>1.8479652836219915E-5</v>
      </c>
      <c r="W213" s="32" t="str">
        <f t="shared" si="141"/>
        <v>1-0.00447991583959358i</v>
      </c>
      <c r="X213" s="18">
        <f t="shared" si="151"/>
        <v>1.0000100347726166</v>
      </c>
      <c r="Y213" s="18">
        <f t="shared" si="152"/>
        <v>-4.4798858698462361E-3</v>
      </c>
      <c r="Z213" s="32" t="str">
        <f t="shared" si="142"/>
        <v>0.99999949162993+0.0018961047303543i</v>
      </c>
      <c r="AA213" s="18">
        <f t="shared" si="153"/>
        <v>1.0000012892358023</v>
      </c>
      <c r="AB213" s="18">
        <f t="shared" si="154"/>
        <v>1.8961034219789018E-3</v>
      </c>
      <c r="AC213" s="68" t="str">
        <f t="shared" si="155"/>
        <v>1.7405736450896-15.457060061921i</v>
      </c>
      <c r="AD213" s="66">
        <f t="shared" si="156"/>
        <v>23.83726169194501</v>
      </c>
      <c r="AE213" s="63">
        <f t="shared" si="157"/>
        <v>-83.575157547777877</v>
      </c>
      <c r="AF213" s="32" t="str">
        <f t="shared" si="143"/>
        <v>-0.434440565864413</v>
      </c>
      <c r="AG213" s="32" t="str">
        <f t="shared" si="144"/>
        <v>0.146157254266741i</v>
      </c>
      <c r="AH213" s="32">
        <f t="shared" si="158"/>
        <v>0.146157254266741</v>
      </c>
      <c r="AI213" s="32">
        <f t="shared" si="159"/>
        <v>1.5707963267948966</v>
      </c>
      <c r="AJ213" s="32" t="str">
        <f t="shared" si="145"/>
        <v>1+0.00144710152739347i</v>
      </c>
      <c r="AK213" s="32">
        <f t="shared" si="160"/>
        <v>1.0000010470508671</v>
      </c>
      <c r="AL213" s="32">
        <f t="shared" si="161"/>
        <v>1.447100517268271E-3</v>
      </c>
      <c r="AM213" s="32" t="str">
        <f t="shared" si="146"/>
        <v>1+0.146157254266741i</v>
      </c>
      <c r="AN213" s="32">
        <f t="shared" si="162"/>
        <v>1.0106245311562514</v>
      </c>
      <c r="AO213" s="32">
        <f t="shared" si="163"/>
        <v>0.14512965900671768</v>
      </c>
      <c r="AP213" s="60" t="str">
        <f t="shared" si="164"/>
        <v>-0.430138273369405+2.97304122313859i</v>
      </c>
      <c r="AQ213" s="51">
        <f t="shared" si="165"/>
        <v>9.5539875209660359</v>
      </c>
      <c r="AR213" s="63">
        <f t="shared" si="166"/>
        <v>98.232404191087042</v>
      </c>
      <c r="AS213" s="60" t="str">
        <f t="shared" si="167"/>
        <v>45.2057894102491+11.8234703251619i</v>
      </c>
      <c r="AT213" s="66">
        <f t="shared" si="168"/>
        <v>33.391249212911035</v>
      </c>
      <c r="AU213" s="63">
        <f t="shared" si="169"/>
        <v>14.657246643309207</v>
      </c>
      <c r="AX213" s="32">
        <f t="shared" si="170"/>
        <v>0</v>
      </c>
      <c r="AY213" s="32">
        <f t="shared" si="171"/>
        <v>0</v>
      </c>
    </row>
    <row r="214" spans="14:51" x14ac:dyDescent="0.3">
      <c r="N214" s="11">
        <v>96</v>
      </c>
      <c r="O214" s="52">
        <f t="shared" si="137"/>
        <v>912.01083935590987</v>
      </c>
      <c r="P214" s="50" t="str">
        <f t="shared" si="138"/>
        <v>131.578947368421</v>
      </c>
      <c r="Q214" s="18" t="str">
        <f t="shared" si="139"/>
        <v>1+8.59549965874435i</v>
      </c>
      <c r="R214" s="18">
        <f t="shared" si="147"/>
        <v>8.6534741221935967</v>
      </c>
      <c r="S214" s="18">
        <f t="shared" si="148"/>
        <v>1.454977041490815</v>
      </c>
      <c r="T214" s="18" t="str">
        <f t="shared" si="140"/>
        <v>1+0.0000189100992492376i</v>
      </c>
      <c r="U214" s="18">
        <f t="shared" si="149"/>
        <v>1.0000000001787961</v>
      </c>
      <c r="V214" s="18">
        <f t="shared" si="150"/>
        <v>1.8910099246983567E-5</v>
      </c>
      <c r="W214" s="32" t="str">
        <f t="shared" si="141"/>
        <v>1-0.00458426648466366i</v>
      </c>
      <c r="X214" s="18">
        <f t="shared" si="151"/>
        <v>1.0000105076943955</v>
      </c>
      <c r="Y214" s="18">
        <f t="shared" si="152"/>
        <v>-4.584234371519033E-3</v>
      </c>
      <c r="Z214" s="32" t="str">
        <f t="shared" si="142"/>
        <v>0.999999467671187+0.00194027068320194i</v>
      </c>
      <c r="AA214" s="18">
        <f t="shared" si="153"/>
        <v>1.0000013499955793</v>
      </c>
      <c r="AB214" s="18">
        <f t="shared" si="154"/>
        <v>1.9402692812525387E-3</v>
      </c>
      <c r="AC214" s="68" t="str">
        <f t="shared" si="155"/>
        <v>1.65885784128382-15.1147129614831i</v>
      </c>
      <c r="AD214" s="66">
        <f t="shared" si="156"/>
        <v>23.639997712655017</v>
      </c>
      <c r="AE214" s="63">
        <f t="shared" si="157"/>
        <v>-83.736786819699049</v>
      </c>
      <c r="AF214" s="32" t="str">
        <f t="shared" si="143"/>
        <v>-0.434440565864413</v>
      </c>
      <c r="AG214" s="32" t="str">
        <f t="shared" si="144"/>
        <v>0.149561694062152i</v>
      </c>
      <c r="AH214" s="32">
        <f t="shared" si="158"/>
        <v>0.149561694062152</v>
      </c>
      <c r="AI214" s="32">
        <f t="shared" si="159"/>
        <v>1.5707963267948966</v>
      </c>
      <c r="AJ214" s="32" t="str">
        <f t="shared" si="145"/>
        <v>1+0.00148080885210051i</v>
      </c>
      <c r="AK214" s="32">
        <f t="shared" si="160"/>
        <v>1.0000010963968271</v>
      </c>
      <c r="AL214" s="32">
        <f t="shared" si="161"/>
        <v>1.4808077697319227E-3</v>
      </c>
      <c r="AM214" s="32" t="str">
        <f t="shared" si="146"/>
        <v>1+0.149561694062152i</v>
      </c>
      <c r="AN214" s="32">
        <f t="shared" si="162"/>
        <v>1.0111224952154614</v>
      </c>
      <c r="AO214" s="32">
        <f t="shared" si="163"/>
        <v>0.14846125900752929</v>
      </c>
      <c r="AP214" s="60" t="str">
        <f t="shared" si="164"/>
        <v>-0.430138230918281+2.90539521021184i</v>
      </c>
      <c r="AQ214" s="51">
        <f t="shared" si="165"/>
        <v>9.3582658284094951</v>
      </c>
      <c r="AR214" s="63">
        <f t="shared" si="166"/>
        <v>98.421359526854204</v>
      </c>
      <c r="AS214" s="60" t="str">
        <f t="shared" si="167"/>
        <v>43.2006764648251+11.3210535205783i</v>
      </c>
      <c r="AT214" s="66">
        <f t="shared" si="168"/>
        <v>32.998263541064517</v>
      </c>
      <c r="AU214" s="63">
        <f t="shared" si="169"/>
        <v>14.684572707155125</v>
      </c>
      <c r="AX214" s="32">
        <f t="shared" si="170"/>
        <v>0</v>
      </c>
      <c r="AY214" s="32">
        <f t="shared" si="171"/>
        <v>0</v>
      </c>
    </row>
    <row r="215" spans="14:51" x14ac:dyDescent="0.3">
      <c r="N215" s="11">
        <v>97</v>
      </c>
      <c r="O215" s="52">
        <f t="shared" si="137"/>
        <v>933.25430079699106</v>
      </c>
      <c r="P215" s="50" t="str">
        <f t="shared" si="138"/>
        <v>131.578947368421</v>
      </c>
      <c r="Q215" s="18" t="str">
        <f t="shared" si="139"/>
        <v>1+8.79571456594471i</v>
      </c>
      <c r="R215" s="18">
        <f t="shared" si="147"/>
        <v>8.8523779136213978</v>
      </c>
      <c r="S215" s="18">
        <f t="shared" si="148"/>
        <v>1.4575906856510945</v>
      </c>
      <c r="T215" s="18" t="str">
        <f t="shared" si="140"/>
        <v>1+0.0000193505720450784i</v>
      </c>
      <c r="U215" s="18">
        <f t="shared" si="149"/>
        <v>1.0000000001872222</v>
      </c>
      <c r="V215" s="18">
        <f t="shared" si="150"/>
        <v>1.935057204266316E-5</v>
      </c>
      <c r="W215" s="32" t="str">
        <f t="shared" si="141"/>
        <v>1-0.00469104776850385i</v>
      </c>
      <c r="X215" s="18">
        <f t="shared" si="151"/>
        <v>1.0000110029040512</v>
      </c>
      <c r="Y215" s="18">
        <f t="shared" si="152"/>
        <v>-4.6910133586698785E-3</v>
      </c>
      <c r="Z215" s="32" t="str">
        <f t="shared" si="142"/>
        <v>0.999999442583302+0.00198546539324834i</v>
      </c>
      <c r="AA215" s="18">
        <f t="shared" si="153"/>
        <v>1.000001413618872</v>
      </c>
      <c r="AB215" s="18">
        <f t="shared" si="154"/>
        <v>1.9854638910326025E-3</v>
      </c>
      <c r="AC215" s="68" t="str">
        <f t="shared" si="155"/>
        <v>1.58072377963692-14.7795348238824i</v>
      </c>
      <c r="AD215" s="66">
        <f t="shared" si="156"/>
        <v>23.442612527815008</v>
      </c>
      <c r="AE215" s="63">
        <f t="shared" si="157"/>
        <v>-83.895219807701451</v>
      </c>
      <c r="AF215" s="32" t="str">
        <f t="shared" si="143"/>
        <v>-0.434440565864413</v>
      </c>
      <c r="AG215" s="32" t="str">
        <f t="shared" si="144"/>
        <v>0.153045433447438i</v>
      </c>
      <c r="AH215" s="32">
        <f t="shared" si="158"/>
        <v>0.15304543344743801</v>
      </c>
      <c r="AI215" s="32">
        <f t="shared" si="159"/>
        <v>1.5707963267948966</v>
      </c>
      <c r="AJ215" s="32" t="str">
        <f t="shared" si="145"/>
        <v>1+0.00151530132126176i</v>
      </c>
      <c r="AK215" s="32">
        <f t="shared" si="160"/>
        <v>1.0000011480683881</v>
      </c>
      <c r="AL215" s="32">
        <f t="shared" si="161"/>
        <v>1.5153001614829952E-3</v>
      </c>
      <c r="AM215" s="32" t="str">
        <f t="shared" si="146"/>
        <v>1+0.153045433447438i</v>
      </c>
      <c r="AN215" s="32">
        <f t="shared" si="162"/>
        <v>1.0116436648835962</v>
      </c>
      <c r="AO215" s="32">
        <f t="shared" si="163"/>
        <v>0.15186702778091168</v>
      </c>
      <c r="AP215" s="60" t="str">
        <f t="shared" si="164"/>
        <v>-0.430138186466505+2.83928967627708i</v>
      </c>
      <c r="AQ215" s="51">
        <f t="shared" si="165"/>
        <v>9.1627412526950884</v>
      </c>
      <c r="AR215" s="63">
        <f t="shared" si="166"/>
        <v>98.614519435093769</v>
      </c>
      <c r="AS215" s="60" t="str">
        <f t="shared" si="167"/>
        <v>41.2834509857494+10.8453750145321i</v>
      </c>
      <c r="AT215" s="66">
        <f t="shared" si="168"/>
        <v>32.605353780510093</v>
      </c>
      <c r="AU215" s="63">
        <f t="shared" si="169"/>
        <v>14.719299627392287</v>
      </c>
      <c r="AX215" s="32">
        <f t="shared" si="170"/>
        <v>0</v>
      </c>
      <c r="AY215" s="32">
        <f t="shared" si="171"/>
        <v>0</v>
      </c>
    </row>
    <row r="216" spans="14:51" x14ac:dyDescent="0.3">
      <c r="N216" s="11">
        <v>98</v>
      </c>
      <c r="O216" s="52">
        <f t="shared" si="137"/>
        <v>954.99258602143675</v>
      </c>
      <c r="P216" s="50" t="str">
        <f t="shared" si="138"/>
        <v>131.578947368421</v>
      </c>
      <c r="Q216" s="18" t="str">
        <f t="shared" si="139"/>
        <v>1+9.00059307743299i</v>
      </c>
      <c r="R216" s="18">
        <f t="shared" si="147"/>
        <v>9.0559745883883025</v>
      </c>
      <c r="S216" s="18">
        <f t="shared" si="148"/>
        <v>1.460146337801852</v>
      </c>
      <c r="T216" s="18" t="str">
        <f t="shared" si="140"/>
        <v>1+0.0000198013047703526i</v>
      </c>
      <c r="U216" s="18">
        <f t="shared" si="149"/>
        <v>1.0000000001960458</v>
      </c>
      <c r="V216" s="18">
        <f t="shared" si="150"/>
        <v>1.9801304767764623E-5</v>
      </c>
      <c r="W216" s="32" t="str">
        <f t="shared" si="141"/>
        <v>1-0.00480031630796426i</v>
      </c>
      <c r="X216" s="18">
        <f t="shared" si="151"/>
        <v>1.0000115214519563</v>
      </c>
      <c r="Y216" s="18">
        <f t="shared" si="152"/>
        <v>-4.8002794371858112E-3</v>
      </c>
      <c r="Z216" s="32" t="str">
        <f t="shared" si="142"/>
        <v>0.999999416313063+0.00203171282332698i</v>
      </c>
      <c r="AA216" s="18">
        <f t="shared" si="153"/>
        <v>1.0000014802406361</v>
      </c>
      <c r="AB216" s="18">
        <f t="shared" si="154"/>
        <v>2.0317112136739378E-3</v>
      </c>
      <c r="AC216" s="68" t="str">
        <f t="shared" si="155"/>
        <v>1.50601855062105-14.4514029125075i</v>
      </c>
      <c r="AD216" s="66">
        <f t="shared" si="156"/>
        <v>23.245111468586192</v>
      </c>
      <c r="AE216" s="63">
        <f t="shared" si="157"/>
        <v>-84.050532326304577</v>
      </c>
      <c r="AF216" s="32" t="str">
        <f t="shared" si="143"/>
        <v>-0.434440565864413</v>
      </c>
      <c r="AG216" s="32" t="str">
        <f t="shared" si="144"/>
        <v>0.156610319547334i</v>
      </c>
      <c r="AH216" s="32">
        <f t="shared" si="158"/>
        <v>0.15661031954733401</v>
      </c>
      <c r="AI216" s="32">
        <f t="shared" si="159"/>
        <v>1.5707963267948966</v>
      </c>
      <c r="AJ216" s="32" t="str">
        <f t="shared" si="145"/>
        <v>1+0.00155059722324093i</v>
      </c>
      <c r="AK216" s="32">
        <f t="shared" si="160"/>
        <v>1.0000012021751519</v>
      </c>
      <c r="AL216" s="32">
        <f t="shared" si="161"/>
        <v>1.5505959805156744E-3</v>
      </c>
      <c r="AM216" s="32" t="str">
        <f t="shared" si="146"/>
        <v>1+0.156610319547334i</v>
      </c>
      <c r="AN216" s="32">
        <f t="shared" si="162"/>
        <v>1.012189108906393</v>
      </c>
      <c r="AO216" s="32">
        <f t="shared" si="163"/>
        <v>0.15534845491212562</v>
      </c>
      <c r="AP216" s="60" t="str">
        <f t="shared" si="164"/>
        <v>-0.430138139919792+2.77468957130475i</v>
      </c>
      <c r="AQ216" s="51">
        <f t="shared" si="165"/>
        <v>8.9674226583889478</v>
      </c>
      <c r="AR216" s="63">
        <f t="shared" si="166"/>
        <v>98.811968214929664</v>
      </c>
      <c r="AS216" s="60" t="str">
        <f t="shared" si="167"/>
        <v>39.4503609340088+10.3948335346172i</v>
      </c>
      <c r="AT216" s="66">
        <f t="shared" si="168"/>
        <v>32.212534126975136</v>
      </c>
      <c r="AU216" s="63">
        <f t="shared" si="169"/>
        <v>14.76143588862516</v>
      </c>
      <c r="AX216" s="32">
        <f t="shared" si="170"/>
        <v>0</v>
      </c>
      <c r="AY216" s="32">
        <f t="shared" si="171"/>
        <v>0</v>
      </c>
    </row>
    <row r="217" spans="14:51" x14ac:dyDescent="0.3">
      <c r="N217" s="11">
        <v>99</v>
      </c>
      <c r="O217" s="52">
        <f t="shared" si="137"/>
        <v>977.23722095581138</v>
      </c>
      <c r="P217" s="50" t="str">
        <f t="shared" si="138"/>
        <v>131.578947368421</v>
      </c>
      <c r="Q217" s="18" t="str">
        <f t="shared" si="139"/>
        <v>1+9.21024382250785i</v>
      </c>
      <c r="R217" s="18">
        <f t="shared" si="147"/>
        <v>9.2643721465647104</v>
      </c>
      <c r="S217" s="18">
        <f t="shared" si="148"/>
        <v>1.4626452193763033</v>
      </c>
      <c r="T217" s="18" t="str">
        <f t="shared" si="140"/>
        <v>1+0.0000202625364095173i</v>
      </c>
      <c r="U217" s="18">
        <f t="shared" si="149"/>
        <v>1.0000000002052851</v>
      </c>
      <c r="V217" s="18">
        <f t="shared" si="150"/>
        <v>2.0262536406744232E-5</v>
      </c>
      <c r="W217" s="32" t="str">
        <f t="shared" si="141"/>
        <v>1-0.00491213003867086i</v>
      </c>
      <c r="X217" s="18">
        <f t="shared" si="151"/>
        <v>1.0000120644379831</v>
      </c>
      <c r="Y217" s="18">
        <f t="shared" si="152"/>
        <v>-4.9120905309456954E-3</v>
      </c>
      <c r="Z217" s="32" t="str">
        <f t="shared" si="142"/>
        <v>0.999999388804745+0.00207903749443744i</v>
      </c>
      <c r="AA217" s="18">
        <f t="shared" si="153"/>
        <v>1.0000015500021822</v>
      </c>
      <c r="AB217" s="18">
        <f t="shared" si="154"/>
        <v>2.0790357696632684E-3</v>
      </c>
      <c r="AC217" s="68" t="str">
        <f t="shared" si="155"/>
        <v>1.43459541697184-14.1301947090639i</v>
      </c>
      <c r="AD217" s="66">
        <f t="shared" si="156"/>
        <v>23.0474996389732</v>
      </c>
      <c r="AE217" s="63">
        <f t="shared" si="157"/>
        <v>-84.202799068498081</v>
      </c>
      <c r="AF217" s="32" t="str">
        <f t="shared" si="143"/>
        <v>-0.434440565864413</v>
      </c>
      <c r="AG217" s="32" t="str">
        <f t="shared" si="144"/>
        <v>0.160258242511637i</v>
      </c>
      <c r="AH217" s="32">
        <f t="shared" si="158"/>
        <v>0.16025824251163701</v>
      </c>
      <c r="AI217" s="32">
        <f t="shared" si="159"/>
        <v>1.5707963267948966</v>
      </c>
      <c r="AJ217" s="32" t="str">
        <f t="shared" si="145"/>
        <v>1+0.00158671527239244i</v>
      </c>
      <c r="AK217" s="32">
        <f t="shared" si="160"/>
        <v>1.0000012588318856</v>
      </c>
      <c r="AL217" s="32">
        <f t="shared" si="161"/>
        <v>1.5867139407884281E-3</v>
      </c>
      <c r="AM217" s="32" t="str">
        <f t="shared" si="146"/>
        <v>1+0.160258242511637i</v>
      </c>
      <c r="AN217" s="32">
        <f t="shared" si="162"/>
        <v>1.0127599440602491</v>
      </c>
      <c r="AO217" s="32">
        <f t="shared" si="163"/>
        <v>0.15890704855795815</v>
      </c>
      <c r="AP217" s="60" t="str">
        <f t="shared" si="164"/>
        <v>-0.430138091179411+2.71156064346369i</v>
      </c>
      <c r="AQ217" s="51">
        <f t="shared" si="165"/>
        <v>8.772319288276579</v>
      </c>
      <c r="AR217" s="63">
        <f t="shared" si="166"/>
        <v>99.013791205149673</v>
      </c>
      <c r="AS217" s="60" t="str">
        <f t="shared" si="167"/>
        <v>37.6978057233055+9.96792745210438i</v>
      </c>
      <c r="AT217" s="66">
        <f t="shared" si="168"/>
        <v>31.819818927249766</v>
      </c>
      <c r="AU217" s="63">
        <f t="shared" si="169"/>
        <v>14.810992136651603</v>
      </c>
      <c r="AX217" s="32">
        <f t="shared" si="170"/>
        <v>0</v>
      </c>
      <c r="AY217" s="32">
        <f t="shared" si="171"/>
        <v>0</v>
      </c>
    </row>
    <row r="218" spans="14:51" x14ac:dyDescent="0.3">
      <c r="N218" s="11">
        <v>100</v>
      </c>
      <c r="O218" s="52">
        <f t="shared" si="137"/>
        <v>1000</v>
      </c>
      <c r="P218" s="50" t="str">
        <f t="shared" si="138"/>
        <v>131.578947368421</v>
      </c>
      <c r="Q218" s="18" t="str">
        <f t="shared" si="139"/>
        <v>1+9.42477796076938i</v>
      </c>
      <c r="R218" s="18">
        <f t="shared" si="147"/>
        <v>9.477681130413929</v>
      </c>
      <c r="S218" s="18">
        <f t="shared" si="148"/>
        <v>1.465088530414409</v>
      </c>
      <c r="T218" s="18" t="str">
        <f t="shared" si="140"/>
        <v>1+0.0000207345115136927i</v>
      </c>
      <c r="U218" s="18">
        <f t="shared" si="149"/>
        <v>1.00000000021496</v>
      </c>
      <c r="V218" s="18">
        <f t="shared" si="150"/>
        <v>2.0734511510721304E-5</v>
      </c>
      <c r="W218" s="32" t="str">
        <f t="shared" si="141"/>
        <v>1-0.00502654824574367i</v>
      </c>
      <c r="X218" s="18">
        <f t="shared" si="151"/>
        <v>1.0000126330138368</v>
      </c>
      <c r="Y218" s="18">
        <f t="shared" si="152"/>
        <v>-5.0265059124823342E-3</v>
      </c>
      <c r="Z218" s="32" t="str">
        <f t="shared" si="142"/>
        <v>0.99999936+0.00212746449874677i</v>
      </c>
      <c r="AA218" s="18">
        <f t="shared" si="153"/>
        <v>1.0000016230514845</v>
      </c>
      <c r="AB218" s="18">
        <f t="shared" si="154"/>
        <v>2.127462650618102E-3</v>
      </c>
      <c r="AC218" s="68" t="str">
        <f t="shared" si="155"/>
        <v>1.36631359580595-13.8157880673169i</v>
      </c>
      <c r="AD218" s="66">
        <f t="shared" si="156"/>
        <v>22.849781925049825</v>
      </c>
      <c r="AE218" s="63">
        <f t="shared" si="157"/>
        <v>-84.352093611204879</v>
      </c>
      <c r="AF218" s="32" t="str">
        <f t="shared" si="143"/>
        <v>-0.434440565864413</v>
      </c>
      <c r="AG218" s="32" t="str">
        <f t="shared" si="144"/>
        <v>0.163991136517387i</v>
      </c>
      <c r="AH218" s="32">
        <f t="shared" si="158"/>
        <v>0.163991136517387</v>
      </c>
      <c r="AI218" s="32">
        <f t="shared" si="159"/>
        <v>1.5707963267948966</v>
      </c>
      <c r="AJ218" s="32" t="str">
        <f t="shared" si="145"/>
        <v>1+0.00162367461898403i</v>
      </c>
      <c r="AK218" s="32">
        <f t="shared" si="160"/>
        <v>1.0000013181587653</v>
      </c>
      <c r="AL218" s="32">
        <f t="shared" si="161"/>
        <v>1.6236731921447257E-3</v>
      </c>
      <c r="AM218" s="32" t="str">
        <f t="shared" si="146"/>
        <v>1+0.163991136517387i</v>
      </c>
      <c r="AN218" s="32">
        <f t="shared" si="162"/>
        <v>1.0133573371996003</v>
      </c>
      <c r="AO218" s="32">
        <f t="shared" si="163"/>
        <v>0.16254433483106037</v>
      </c>
      <c r="AP218" s="60" t="str">
        <f t="shared" si="164"/>
        <v>-0.430138040141978+2.64986942096026i</v>
      </c>
      <c r="AQ218" s="51">
        <f t="shared" si="165"/>
        <v>8.577440777582316</v>
      </c>
      <c r="AR218" s="63">
        <f t="shared" si="166"/>
        <v>99.220074748362634</v>
      </c>
      <c r="AS218" s="60" t="str">
        <f t="shared" si="167"/>
        <v>36.0223308737314+9.56324861926106i</v>
      </c>
      <c r="AT218" s="66">
        <f t="shared" si="168"/>
        <v>31.427222702632136</v>
      </c>
      <c r="AU218" s="63">
        <f t="shared" si="169"/>
        <v>14.867981137157761</v>
      </c>
      <c r="AX218" s="32">
        <f t="shared" si="170"/>
        <v>0</v>
      </c>
      <c r="AY218" s="32">
        <f t="shared" si="171"/>
        <v>0</v>
      </c>
    </row>
    <row r="219" spans="14:51" x14ac:dyDescent="0.3">
      <c r="N219" s="11">
        <v>1</v>
      </c>
      <c r="O219" s="52">
        <f>10^(3+(N219/100))</f>
        <v>1023.2929922807547</v>
      </c>
      <c r="P219" s="50" t="str">
        <f t="shared" si="138"/>
        <v>131.578947368421</v>
      </c>
      <c r="Q219" s="18" t="str">
        <f t="shared" si="139"/>
        <v>1+9.6443092410574i</v>
      </c>
      <c r="R219" s="18">
        <f t="shared" si="147"/>
        <v>9.6960146832162533</v>
      </c>
      <c r="S219" s="18">
        <f t="shared" si="148"/>
        <v>1.4674774496404543</v>
      </c>
      <c r="T219" s="18" t="str">
        <f t="shared" si="140"/>
        <v>1+0.0000212174803303263i</v>
      </c>
      <c r="U219" s="18">
        <f t="shared" si="149"/>
        <v>1.0000000002250906</v>
      </c>
      <c r="V219" s="18">
        <f t="shared" si="150"/>
        <v>2.1217480327142393E-5</v>
      </c>
      <c r="W219" s="32" t="str">
        <f t="shared" si="141"/>
        <v>1-0.00514363159523062i</v>
      </c>
      <c r="X219" s="18">
        <f t="shared" si="151"/>
        <v>1.0000132283854986</v>
      </c>
      <c r="Y219" s="18">
        <f t="shared" si="152"/>
        <v>-5.1435862343562526E-3</v>
      </c>
      <c r="Z219" s="32" t="str">
        <f t="shared" si="142"/>
        <v>0.999999329837729+0.00217701951289366i</v>
      </c>
      <c r="AA219" s="18">
        <f t="shared" si="153"/>
        <v>1.0000016995434891</v>
      </c>
      <c r="AB219" s="18">
        <f t="shared" si="154"/>
        <v>2.1770175325882875E-3</v>
      </c>
      <c r="AC219" s="68" t="str">
        <f t="shared" si="155"/>
        <v>1.30103804559191-13.5080613541217i</v>
      </c>
      <c r="AD219" s="66">
        <f t="shared" si="156"/>
        <v>22.651963003859539</v>
      </c>
      <c r="AE219" s="63">
        <f t="shared" si="157"/>
        <v>-84.498488422278683</v>
      </c>
      <c r="AF219" s="32" t="str">
        <f t="shared" si="143"/>
        <v>-0.434440565864413</v>
      </c>
      <c r="AG219" s="32" t="str">
        <f t="shared" si="144"/>
        <v>0.167810980794399i</v>
      </c>
      <c r="AH219" s="32">
        <f t="shared" si="158"/>
        <v>0.16781098079439899</v>
      </c>
      <c r="AI219" s="32">
        <f t="shared" si="159"/>
        <v>1.5707963267948966</v>
      </c>
      <c r="AJ219" s="32" t="str">
        <f t="shared" si="145"/>
        <v>1+0.00166149485935049i</v>
      </c>
      <c r="AK219" s="32">
        <f t="shared" si="160"/>
        <v>1.0000013802816312</v>
      </c>
      <c r="AL219" s="32">
        <f t="shared" si="161"/>
        <v>1.6614933304647441E-3</v>
      </c>
      <c r="AM219" s="32" t="str">
        <f t="shared" si="146"/>
        <v>1+0.167810980794399i</v>
      </c>
      <c r="AN219" s="32">
        <f t="shared" si="162"/>
        <v>1.0139825073812556</v>
      </c>
      <c r="AO219" s="32">
        <f t="shared" si="163"/>
        <v>0.16626185710702918</v>
      </c>
      <c r="AP219" s="60" t="str">
        <f t="shared" si="164"/>
        <v>-0.430137986699238+2.58958319429116i</v>
      </c>
      <c r="AQ219" s="51">
        <f t="shared" si="165"/>
        <v>8.3827971685413019</v>
      </c>
      <c r="AR219" s="63">
        <f t="shared" si="166"/>
        <v>99.430906150715188</v>
      </c>
      <c r="AS219" s="60" t="str">
        <f t="shared" si="167"/>
        <v>34.4206227845374+9.17947657306992i</v>
      </c>
      <c r="AT219" s="66">
        <f t="shared" si="168"/>
        <v>31.034760172400837</v>
      </c>
      <c r="AU219" s="63">
        <f t="shared" si="169"/>
        <v>14.932417728436535</v>
      </c>
      <c r="AX219" s="32">
        <f t="shared" si="170"/>
        <v>0</v>
      </c>
      <c r="AY219" s="32">
        <f t="shared" si="171"/>
        <v>0</v>
      </c>
    </row>
    <row r="220" spans="14:51" x14ac:dyDescent="0.3">
      <c r="N220" s="11">
        <v>2</v>
      </c>
      <c r="O220" s="52">
        <f t="shared" ref="O220:O283" si="172">10^(3+(N220/100))</f>
        <v>1047.1285480509</v>
      </c>
      <c r="P220" s="50" t="str">
        <f t="shared" si="138"/>
        <v>131.578947368421</v>
      </c>
      <c r="Q220" s="18" t="str">
        <f t="shared" si="139"/>
        <v>1+9.86895406176256i</v>
      </c>
      <c r="R220" s="18">
        <f t="shared" si="147"/>
        <v>9.9194886094586412</v>
      </c>
      <c r="S220" s="18">
        <f t="shared" si="148"/>
        <v>1.4698131345642349</v>
      </c>
      <c r="T220" s="18" t="str">
        <f t="shared" si="140"/>
        <v>1+0.0000217116989358776i</v>
      </c>
      <c r="U220" s="18">
        <f t="shared" si="149"/>
        <v>1.000000000235699</v>
      </c>
      <c r="V220" s="18">
        <f t="shared" si="150"/>
        <v>2.1711698932465987E-5</v>
      </c>
      <c r="W220" s="32" t="str">
        <f t="shared" si="141"/>
        <v>1-0.00526344216627337i</v>
      </c>
      <c r="X220" s="18">
        <f t="shared" si="151"/>
        <v>1.0000138518157824</v>
      </c>
      <c r="Y220" s="18">
        <f t="shared" si="152"/>
        <v>-5.2633935612571448E-3</v>
      </c>
      <c r="Z220" s="32" t="str">
        <f t="shared" si="142"/>
        <v>0.999999298253955+0.00222772881160254i</v>
      </c>
      <c r="AA220" s="18">
        <f t="shared" si="153"/>
        <v>1.0000017796404468</v>
      </c>
      <c r="AB220" s="18">
        <f t="shared" si="154"/>
        <v>2.2277266896672952E-3</v>
      </c>
      <c r="AC220" s="68" t="str">
        <f t="shared" si="155"/>
        <v>1.23863925815196-13.2068935784995i</v>
      </c>
      <c r="AD220" s="66">
        <f t="shared" si="156"/>
        <v>22.454047351996159</v>
      </c>
      <c r="AE220" s="63">
        <f t="shared" si="157"/>
        <v>-84.642054868912837</v>
      </c>
      <c r="AF220" s="32" t="str">
        <f t="shared" si="143"/>
        <v>-0.434440565864413</v>
      </c>
      <c r="AG220" s="32" t="str">
        <f t="shared" si="144"/>
        <v>0.171719800674669i</v>
      </c>
      <c r="AH220" s="32">
        <f t="shared" si="158"/>
        <v>0.17171980067466899</v>
      </c>
      <c r="AI220" s="32">
        <f t="shared" si="159"/>
        <v>1.5707963267948966</v>
      </c>
      <c r="AJ220" s="32" t="str">
        <f t="shared" si="145"/>
        <v>1+0.00170019604628385i</v>
      </c>
      <c r="AK220" s="32">
        <f t="shared" si="160"/>
        <v>1.0000014453322534</v>
      </c>
      <c r="AL220" s="32">
        <f t="shared" si="161"/>
        <v>1.7001944080533855E-3</v>
      </c>
      <c r="AM220" s="32" t="str">
        <f t="shared" si="146"/>
        <v>1+0.171719800674669i</v>
      </c>
      <c r="AN220" s="32">
        <f t="shared" si="162"/>
        <v>1.0146367280676114</v>
      </c>
      <c r="AO220" s="32">
        <f t="shared" si="163"/>
        <v>0.17006117524925476</v>
      </c>
      <c r="AP220" s="60" t="str">
        <f t="shared" si="164"/>
        <v>-0.430137930737833+2.53066999890049i</v>
      </c>
      <c r="AQ220" s="51">
        <f t="shared" si="165"/>
        <v>8.1883989253139298</v>
      </c>
      <c r="AR220" s="63">
        <f t="shared" si="166"/>
        <v>99.646373636883766</v>
      </c>
      <c r="AS220" s="60" t="str">
        <f t="shared" si="167"/>
        <v>32.8895036303481+8.81537308539607i</v>
      </c>
      <c r="AT220" s="66">
        <f t="shared" si="168"/>
        <v>30.642446277310089</v>
      </c>
      <c r="AU220" s="63">
        <f t="shared" si="169"/>
        <v>15.004318767970918</v>
      </c>
      <c r="AX220" s="32">
        <f t="shared" si="170"/>
        <v>0</v>
      </c>
      <c r="AY220" s="32">
        <f t="shared" si="171"/>
        <v>0</v>
      </c>
    </row>
    <row r="221" spans="14:51" x14ac:dyDescent="0.3">
      <c r="N221" s="11">
        <v>3</v>
      </c>
      <c r="O221" s="52">
        <f t="shared" si="172"/>
        <v>1071.5193052376069</v>
      </c>
      <c r="P221" s="50" t="str">
        <f t="shared" si="138"/>
        <v>131.578947368421</v>
      </c>
      <c r="Q221" s="18" t="str">
        <f t="shared" si="139"/>
        <v>1+10.0988315325423i</v>
      </c>
      <c r="R221" s="18">
        <f t="shared" si="147"/>
        <v>10.148221436422773</v>
      </c>
      <c r="S221" s="18">
        <f t="shared" si="148"/>
        <v>1.4720967216038194</v>
      </c>
      <c r="T221" s="18" t="str">
        <f t="shared" si="140"/>
        <v>1+0.0000222174293715931i</v>
      </c>
      <c r="U221" s="18">
        <f t="shared" si="149"/>
        <v>1.000000000246807</v>
      </c>
      <c r="V221" s="18">
        <f t="shared" si="150"/>
        <v>2.221742936793749E-5</v>
      </c>
      <c r="W221" s="32" t="str">
        <f t="shared" si="141"/>
        <v>1-0.00538604348402257i</v>
      </c>
      <c r="X221" s="18">
        <f t="shared" si="151"/>
        <v>1.0000145046270137</v>
      </c>
      <c r="Y221" s="18">
        <f t="shared" si="152"/>
        <v>-5.3859914028501522E-3</v>
      </c>
      <c r="Z221" s="32" t="str">
        <f t="shared" si="142"/>
        <v>0.999999265181682+0.00227961928161481i</v>
      </c>
      <c r="AA221" s="18">
        <f t="shared" si="153"/>
        <v>1.0000018635122501</v>
      </c>
      <c r="AB221" s="18">
        <f t="shared" si="154"/>
        <v>2.2796170079204506E-3</v>
      </c>
      <c r="AC221" s="68" t="str">
        <f t="shared" si="155"/>
        <v>1.17899305583462-12.9121645094902i</v>
      </c>
      <c r="AD221" s="66">
        <f t="shared" si="156"/>
        <v>22.256039253873979</v>
      </c>
      <c r="AE221" s="63">
        <f t="shared" si="157"/>
        <v>-84.782863227346468</v>
      </c>
      <c r="AF221" s="32" t="str">
        <f t="shared" si="143"/>
        <v>-0.434440565864413</v>
      </c>
      <c r="AG221" s="32" t="str">
        <f t="shared" si="144"/>
        <v>0.175719668666236i</v>
      </c>
      <c r="AH221" s="32">
        <f t="shared" si="158"/>
        <v>0.17571966866623601</v>
      </c>
      <c r="AI221" s="32">
        <f t="shared" si="159"/>
        <v>1.5707963267948966</v>
      </c>
      <c r="AJ221" s="32" t="str">
        <f t="shared" si="145"/>
        <v>1+0.00173979869966571i</v>
      </c>
      <c r="AK221" s="32">
        <f t="shared" si="160"/>
        <v>1.0000015134486124</v>
      </c>
      <c r="AL221" s="32">
        <f t="shared" si="161"/>
        <v>1.7397969442702844E-3</v>
      </c>
      <c r="AM221" s="32" t="str">
        <f t="shared" si="146"/>
        <v>1+0.175719668666236i</v>
      </c>
      <c r="AN221" s="32">
        <f t="shared" si="162"/>
        <v>1.0153213294106314</v>
      </c>
      <c r="AO221" s="32">
        <f t="shared" si="163"/>
        <v>0.17394386474640333</v>
      </c>
      <c r="AP221" s="60" t="str">
        <f t="shared" si="164"/>
        <v>-0.430137872139064+2.47309859823167i</v>
      </c>
      <c r="AQ221" s="51">
        <f t="shared" si="165"/>
        <v>7.9942569492297411</v>
      </c>
      <c r="AR221" s="63">
        <f t="shared" si="166"/>
        <v>99.86656630004687</v>
      </c>
      <c r="AS221" s="60" t="str">
        <f t="shared" si="167"/>
        <v>31.4259263842535+8.46977704053113i</v>
      </c>
      <c r="AT221" s="66">
        <f t="shared" si="168"/>
        <v>30.250296203103719</v>
      </c>
      <c r="AU221" s="63">
        <f t="shared" si="169"/>
        <v>15.083703072700409</v>
      </c>
      <c r="AX221" s="32">
        <f t="shared" si="170"/>
        <v>0</v>
      </c>
      <c r="AY221" s="32">
        <f t="shared" si="171"/>
        <v>0</v>
      </c>
    </row>
    <row r="222" spans="14:51" x14ac:dyDescent="0.3">
      <c r="N222" s="11">
        <v>4</v>
      </c>
      <c r="O222" s="52">
        <f t="shared" si="172"/>
        <v>1096.4781961431863</v>
      </c>
      <c r="P222" s="50" t="str">
        <f t="shared" si="138"/>
        <v>131.578947368421</v>
      </c>
      <c r="Q222" s="18" t="str">
        <f t="shared" si="139"/>
        <v>1+10.3340635374745i</v>
      </c>
      <c r="R222" s="18">
        <f t="shared" si="147"/>
        <v>10.382334477205015</v>
      </c>
      <c r="S222" s="18">
        <f t="shared" si="148"/>
        <v>1.4743293262279933</v>
      </c>
      <c r="T222" s="18" t="str">
        <f t="shared" si="140"/>
        <v>1+0.0000227349397824438i</v>
      </c>
      <c r="U222" s="18">
        <f t="shared" si="149"/>
        <v>1.0000000002584386</v>
      </c>
      <c r="V222" s="18">
        <f t="shared" si="150"/>
        <v>2.273493977852674E-5</v>
      </c>
      <c r="W222" s="32" t="str">
        <f t="shared" si="141"/>
        <v>1-0.00551150055331971i</v>
      </c>
      <c r="X222" s="18">
        <f t="shared" si="151"/>
        <v>1.0000151882038337</v>
      </c>
      <c r="Y222" s="18">
        <f t="shared" si="152"/>
        <v>-5.5114447473838014E-3</v>
      </c>
      <c r="Z222" s="32" t="str">
        <f t="shared" si="142"/>
        <v>0.999999230550762+0.00233271843594453i</v>
      </c>
      <c r="AA222" s="18">
        <f t="shared" si="153"/>
        <v>1.0000019513368048</v>
      </c>
      <c r="AB222" s="18">
        <f t="shared" si="154"/>
        <v>2.3327159996373733E-3</v>
      </c>
      <c r="AC222" s="68" t="str">
        <f t="shared" si="155"/>
        <v>1.1219803939634-12.6237547834735i</v>
      </c>
      <c r="AD222" s="66">
        <f t="shared" si="156"/>
        <v>22.057942809694158</v>
      </c>
      <c r="AE222" s="63">
        <f t="shared" si="157"/>
        <v>-84.92098269376001</v>
      </c>
      <c r="AF222" s="32" t="str">
        <f t="shared" si="143"/>
        <v>-0.434440565864413</v>
      </c>
      <c r="AG222" s="32" t="str">
        <f t="shared" si="144"/>
        <v>0.179812705552056i</v>
      </c>
      <c r="AH222" s="32">
        <f t="shared" si="158"/>
        <v>0.179812705552056</v>
      </c>
      <c r="AI222" s="32">
        <f t="shared" si="159"/>
        <v>1.5707963267948966</v>
      </c>
      <c r="AJ222" s="32" t="str">
        <f t="shared" si="145"/>
        <v>1+0.00178032381734709i</v>
      </c>
      <c r="AK222" s="32">
        <f t="shared" si="160"/>
        <v>1.0000015847751915</v>
      </c>
      <c r="AL222" s="32">
        <f t="shared" si="161"/>
        <v>1.7803219364071643E-3</v>
      </c>
      <c r="AM222" s="32" t="str">
        <f t="shared" si="146"/>
        <v>1+0.179812705552056i</v>
      </c>
      <c r="AN222" s="32">
        <f t="shared" si="162"/>
        <v>1.0160377006184123</v>
      </c>
      <c r="AO222" s="32">
        <f t="shared" si="163"/>
        <v>0.1779115157571709</v>
      </c>
      <c r="AP222" s="60" t="str">
        <f t="shared" si="164"/>
        <v>-0.430137810778638+2.41683846716532i</v>
      </c>
      <c r="AQ222" s="51">
        <f t="shared" si="165"/>
        <v>7.8003825943459244</v>
      </c>
      <c r="AR222" s="63">
        <f t="shared" si="166"/>
        <v>100.09157404653044</v>
      </c>
      <c r="AS222" s="60" t="str">
        <f t="shared" si="167"/>
        <v>30.026969970365+8.1415996219057i</v>
      </c>
      <c r="AT222" s="66">
        <f t="shared" si="168"/>
        <v>29.85832540404008</v>
      </c>
      <c r="AU222" s="63">
        <f t="shared" si="169"/>
        <v>15.170591352770437</v>
      </c>
      <c r="AX222" s="32">
        <f t="shared" si="170"/>
        <v>0</v>
      </c>
      <c r="AY222" s="32">
        <f t="shared" si="171"/>
        <v>0</v>
      </c>
    </row>
    <row r="223" spans="14:51" x14ac:dyDescent="0.3">
      <c r="N223" s="11">
        <v>5</v>
      </c>
      <c r="O223" s="52">
        <f t="shared" si="172"/>
        <v>1122.0184543019636</v>
      </c>
      <c r="P223" s="50" t="str">
        <f t="shared" si="138"/>
        <v>131.578947368421</v>
      </c>
      <c r="Q223" s="18" t="str">
        <f t="shared" si="139"/>
        <v>1+10.5747747996817i</v>
      </c>
      <c r="R223" s="18">
        <f t="shared" si="147"/>
        <v>10.621951895201896</v>
      </c>
      <c r="S223" s="18">
        <f t="shared" si="148"/>
        <v>1.4765120431165935</v>
      </c>
      <c r="T223" s="18" t="str">
        <f t="shared" si="140"/>
        <v>1+0.0000232645045592997i</v>
      </c>
      <c r="U223" s="18">
        <f t="shared" si="149"/>
        <v>1.0000000002706186</v>
      </c>
      <c r="V223" s="18">
        <f t="shared" si="150"/>
        <v>2.3264504555102495E-5</v>
      </c>
      <c r="W223" s="32" t="str">
        <f t="shared" si="141"/>
        <v>1-0.00563987989316356i</v>
      </c>
      <c r="X223" s="18">
        <f t="shared" si="151"/>
        <v>1.000015903996136</v>
      </c>
      <c r="Y223" s="18">
        <f t="shared" si="152"/>
        <v>-5.6398200960772488E-3</v>
      </c>
      <c r="Z223" s="32" t="str">
        <f t="shared" si="142"/>
        <v>0.999999194287736+0.00238705442846615i</v>
      </c>
      <c r="AA223" s="18">
        <f t="shared" si="153"/>
        <v>1.0000020433003953</v>
      </c>
      <c r="AB223" s="18">
        <f t="shared" si="154"/>
        <v>2.3870518179162732E-3</v>
      </c>
      <c r="AC223" s="68" t="str">
        <f t="shared" si="155"/>
        <v>1.06748716863672-12.3415460016215i</v>
      </c>
      <c r="AD223" s="66">
        <f t="shared" si="156"/>
        <v>21.859761943117199</v>
      </c>
      <c r="AE223" s="63">
        <f t="shared" si="157"/>
        <v>-85.056481396259485</v>
      </c>
      <c r="AF223" s="32" t="str">
        <f t="shared" si="143"/>
        <v>-0.434440565864413</v>
      </c>
      <c r="AG223" s="32" t="str">
        <f t="shared" si="144"/>
        <v>0.184001081514461i</v>
      </c>
      <c r="AH223" s="32">
        <f t="shared" si="158"/>
        <v>0.18400108151446101</v>
      </c>
      <c r="AI223" s="32">
        <f t="shared" si="159"/>
        <v>1.5707963267948966</v>
      </c>
      <c r="AJ223" s="32" t="str">
        <f t="shared" si="145"/>
        <v>1+0.0018217928862818i</v>
      </c>
      <c r="AK223" s="32">
        <f t="shared" si="160"/>
        <v>1.0000016594632832</v>
      </c>
      <c r="AL223" s="32">
        <f t="shared" si="161"/>
        <v>1.8217908708185382E-3</v>
      </c>
      <c r="AM223" s="32" t="str">
        <f t="shared" si="146"/>
        <v>1+0.184001081514461i</v>
      </c>
      <c r="AN223" s="32">
        <f t="shared" si="162"/>
        <v>1.0167872924060821</v>
      </c>
      <c r="AO223" s="32">
        <f t="shared" si="163"/>
        <v>0.18196573205675937</v>
      </c>
      <c r="AP223" s="60" t="str">
        <f t="shared" si="164"/>
        <v>-0.430137746526402+2.36185977583462i</v>
      </c>
      <c r="AQ223" s="51">
        <f t="shared" si="165"/>
        <v>7.6067876833034038</v>
      </c>
      <c r="AR223" s="63">
        <f t="shared" si="166"/>
        <v>100.32148753480732</v>
      </c>
      <c r="AS223" s="60" t="str">
        <f t="shared" si="167"/>
        <v>28.6898345476792+7.82981979061206i</v>
      </c>
      <c r="AT223" s="66">
        <f t="shared" si="168"/>
        <v>29.466549626420615</v>
      </c>
      <c r="AU223" s="63">
        <f t="shared" si="169"/>
        <v>15.265006138547824</v>
      </c>
      <c r="AX223" s="32">
        <f t="shared" si="170"/>
        <v>0</v>
      </c>
      <c r="AY223" s="32">
        <f t="shared" si="171"/>
        <v>0</v>
      </c>
    </row>
    <row r="224" spans="14:51" x14ac:dyDescent="0.3">
      <c r="N224" s="11">
        <v>6</v>
      </c>
      <c r="O224" s="52">
        <f t="shared" si="172"/>
        <v>1148.1536214968839</v>
      </c>
      <c r="P224" s="50" t="str">
        <f t="shared" si="138"/>
        <v>131.578947368421</v>
      </c>
      <c r="Q224" s="18" t="str">
        <f t="shared" si="139"/>
        <v>1+10.8210929474614i</v>
      </c>
      <c r="R224" s="18">
        <f t="shared" si="147"/>
        <v>10.867200770097092</v>
      </c>
      <c r="S224" s="18">
        <f t="shared" si="148"/>
        <v>1.478645946337072</v>
      </c>
      <c r="T224" s="18" t="str">
        <f t="shared" si="140"/>
        <v>1+0.000023806404484415i</v>
      </c>
      <c r="U224" s="18">
        <f t="shared" si="149"/>
        <v>1.0000000002833724</v>
      </c>
      <c r="V224" s="18">
        <f t="shared" si="150"/>
        <v>2.3806404479917613E-5</v>
      </c>
      <c r="W224" s="32" t="str">
        <f t="shared" si="141"/>
        <v>1-0.0057712495719794i</v>
      </c>
      <c r="X224" s="18">
        <f t="shared" si="151"/>
        <v>1.0000166535221411</v>
      </c>
      <c r="Y224" s="18">
        <f t="shared" si="152"/>
        <v>-5.77118549830465E-3</v>
      </c>
      <c r="Z224" s="32" t="str">
        <f t="shared" si="142"/>
        <v>0.999999156315687+0.00244265606884216i</v>
      </c>
      <c r="AA224" s="18">
        <f t="shared" si="153"/>
        <v>1.0000021395980894</v>
      </c>
      <c r="AB224" s="18">
        <f t="shared" si="154"/>
        <v>2.4426532715878771E-3</v>
      </c>
      <c r="AC224" s="68" t="str">
        <f t="shared" si="155"/>
        <v>1.01540402992576-12.0654208181066i</v>
      </c>
      <c r="AD224" s="66">
        <f t="shared" si="156"/>
        <v>21.661500408647075</v>
      </c>
      <c r="AE224" s="63">
        <f t="shared" si="157"/>
        <v>-85.189426407855549</v>
      </c>
      <c r="AF224" s="32" t="str">
        <f t="shared" si="143"/>
        <v>-0.434440565864413</v>
      </c>
      <c r="AG224" s="32" t="str">
        <f t="shared" si="144"/>
        <v>0.188287017285828i</v>
      </c>
      <c r="AH224" s="32">
        <f t="shared" si="158"/>
        <v>0.188287017285828</v>
      </c>
      <c r="AI224" s="32">
        <f t="shared" si="159"/>
        <v>1.5707963267948966</v>
      </c>
      <c r="AJ224" s="32" t="str">
        <f t="shared" si="145"/>
        <v>1+0.00186422789391909i</v>
      </c>
      <c r="AK224" s="32">
        <f t="shared" si="160"/>
        <v>1.0000017376713104</v>
      </c>
      <c r="AL224" s="32">
        <f t="shared" si="161"/>
        <v>1.8642257343114985E-3</v>
      </c>
      <c r="AM224" s="32" t="str">
        <f t="shared" si="146"/>
        <v>1+0.188287017285828i</v>
      </c>
      <c r="AN224" s="32">
        <f t="shared" si="162"/>
        <v>1.0175716195326958</v>
      </c>
      <c r="AO224" s="32">
        <f t="shared" si="163"/>
        <v>0.18610812987938025</v>
      </c>
      <c r="AP224" s="60" t="str">
        <f t="shared" si="164"/>
        <v>-0.430137679246073+2.30813337380893i</v>
      </c>
      <c r="AQ224" s="51">
        <f t="shared" si="165"/>
        <v>7.4134845234570594</v>
      </c>
      <c r="AR224" s="63">
        <f t="shared" si="166"/>
        <v>100.55639810852531</v>
      </c>
      <c r="AS224" s="60" t="str">
        <f t="shared" si="167"/>
        <v>27.4118369263915+7.53348003919936i</v>
      </c>
      <c r="AT224" s="66">
        <f t="shared" si="168"/>
        <v>29.074984932104133</v>
      </c>
      <c r="AU224" s="63">
        <f t="shared" si="169"/>
        <v>15.366971700669806</v>
      </c>
      <c r="AX224" s="32">
        <f t="shared" si="170"/>
        <v>0</v>
      </c>
      <c r="AY224" s="32">
        <f t="shared" si="171"/>
        <v>0</v>
      </c>
    </row>
    <row r="225" spans="14:51" x14ac:dyDescent="0.3">
      <c r="N225" s="11">
        <v>7</v>
      </c>
      <c r="O225" s="52">
        <f t="shared" si="172"/>
        <v>1174.8975549395295</v>
      </c>
      <c r="P225" s="50" t="str">
        <f t="shared" si="138"/>
        <v>131.578947368421</v>
      </c>
      <c r="Q225" s="18" t="str">
        <f t="shared" si="139"/>
        <v>1+11.0731485819559i</v>
      </c>
      <c r="R225" s="18">
        <f t="shared" si="147"/>
        <v>11.118211165384114</v>
      </c>
      <c r="S225" s="18">
        <f t="shared" si="148"/>
        <v>1.4807320895357141</v>
      </c>
      <c r="T225" s="18" t="str">
        <f t="shared" si="140"/>
        <v>1+0.000024360926880303i</v>
      </c>
      <c r="U225" s="18">
        <f t="shared" si="149"/>
        <v>1.0000000002967275</v>
      </c>
      <c r="V225" s="18">
        <f t="shared" si="150"/>
        <v>2.4360926875483964E-5</v>
      </c>
      <c r="W225" s="32" t="str">
        <f t="shared" si="141"/>
        <v>1-0.00590567924370982i</v>
      </c>
      <c r="X225" s="18">
        <f t="shared" si="151"/>
        <v>1.0000174383716163</v>
      </c>
      <c r="Y225" s="18">
        <f t="shared" si="152"/>
        <v>-5.9056105875950294E-3</v>
      </c>
      <c r="Z225" s="32" t="str">
        <f t="shared" si="142"/>
        <v>0.999999116554071+0.00249955283779823i</v>
      </c>
      <c r="AA225" s="18">
        <f t="shared" si="153"/>
        <v>1.000002240434146</v>
      </c>
      <c r="AB225" s="18">
        <f t="shared" si="154"/>
        <v>2.4995498404866076E-3</v>
      </c>
      <c r="AC225" s="68" t="str">
        <f t="shared" si="155"/>
        <v>0.965626200493626-11.7952630196658i</v>
      </c>
      <c r="AD225" s="66">
        <f t="shared" si="156"/>
        <v>21.463161798738728</v>
      </c>
      <c r="AE225" s="63">
        <f t="shared" si="157"/>
        <v>-85.319883760348432</v>
      </c>
      <c r="AF225" s="32" t="str">
        <f t="shared" si="143"/>
        <v>-0.434440565864413</v>
      </c>
      <c r="AG225" s="32" t="str">
        <f t="shared" si="144"/>
        <v>0.192672785326033i</v>
      </c>
      <c r="AH225" s="32">
        <f t="shared" si="158"/>
        <v>0.19267278532603299</v>
      </c>
      <c r="AI225" s="32">
        <f t="shared" si="159"/>
        <v>1.5707963267948966</v>
      </c>
      <c r="AJ225" s="32" t="str">
        <f t="shared" si="145"/>
        <v>1+0.00190765133986171i</v>
      </c>
      <c r="AK225" s="32">
        <f t="shared" si="160"/>
        <v>1.0000018195651619</v>
      </c>
      <c r="AL225" s="32">
        <f t="shared" si="161"/>
        <v>1.9076490258007114E-3</v>
      </c>
      <c r="AM225" s="32" t="str">
        <f t="shared" si="146"/>
        <v>1+0.192672785326033i</v>
      </c>
      <c r="AN225" s="32">
        <f t="shared" si="162"/>
        <v>1.0183922634256859</v>
      </c>
      <c r="AO225" s="32">
        <f t="shared" si="163"/>
        <v>0.19034033665085945</v>
      </c>
      <c r="AP225" s="60" t="str">
        <f t="shared" si="164"/>
        <v>-0.430137608794942+2.25563077463797i</v>
      </c>
      <c r="AQ225" s="51">
        <f t="shared" si="165"/>
        <v>7.2204859232576677</v>
      </c>
      <c r="AR225" s="63">
        <f t="shared" si="166"/>
        <v>100.79639772322287</v>
      </c>
      <c r="AS225" s="60" t="str">
        <f t="shared" si="167"/>
        <v>26.1904061172373+7.25168240501661i</v>
      </c>
      <c r="AT225" s="66">
        <f t="shared" si="168"/>
        <v>28.683647721996401</v>
      </c>
      <c r="AU225" s="63">
        <f t="shared" si="169"/>
        <v>15.476513962874446</v>
      </c>
      <c r="AX225" s="32">
        <f t="shared" si="170"/>
        <v>0</v>
      </c>
      <c r="AY225" s="32">
        <f t="shared" si="171"/>
        <v>0</v>
      </c>
    </row>
    <row r="226" spans="14:51" x14ac:dyDescent="0.3">
      <c r="N226" s="11">
        <v>8</v>
      </c>
      <c r="O226" s="52">
        <f t="shared" si="172"/>
        <v>1202.2644346174138</v>
      </c>
      <c r="P226" s="50" t="str">
        <f t="shared" si="138"/>
        <v>131.578947368421</v>
      </c>
      <c r="Q226" s="18" t="str">
        <f t="shared" si="139"/>
        <v>1+11.3310753463991i</v>
      </c>
      <c r="R226" s="18">
        <f t="shared" si="147"/>
        <v>11.375116197462487</v>
      </c>
      <c r="S226" s="18">
        <f t="shared" si="148"/>
        <v>1.4827715061420617</v>
      </c>
      <c r="T226" s="18" t="str">
        <f t="shared" si="140"/>
        <v>1+0.0000249283657620779i</v>
      </c>
      <c r="U226" s="18">
        <f t="shared" si="149"/>
        <v>1.0000000003107117</v>
      </c>
      <c r="V226" s="18">
        <f t="shared" si="150"/>
        <v>2.4928365756914209E-5</v>
      </c>
      <c r="W226" s="32" t="str">
        <f t="shared" si="141"/>
        <v>1-0.00604324018474617i</v>
      </c>
      <c r="X226" s="18">
        <f t="shared" si="151"/>
        <v>1.0000182602092478</v>
      </c>
      <c r="Y226" s="18">
        <f t="shared" si="152"/>
        <v>-6.043166618466299E-3</v>
      </c>
      <c r="Z226" s="32" t="str">
        <f t="shared" si="142"/>
        <v>0.999999074918547+0.00255777490275441i</v>
      </c>
      <c r="AA226" s="18">
        <f t="shared" si="153"/>
        <v>1.0000023460224496</v>
      </c>
      <c r="AB226" s="18">
        <f t="shared" si="154"/>
        <v>2.5577716910775302E-3</v>
      </c>
      <c r="AC226" s="68" t="str">
        <f t="shared" si="155"/>
        <v>0.918053299635881-11.5309575970813i</v>
      </c>
      <c r="AD226" s="66">
        <f t="shared" si="156"/>
        <v>21.264749550633489</v>
      </c>
      <c r="AE226" s="63">
        <f t="shared" si="157"/>
        <v>-85.447918459037766</v>
      </c>
      <c r="AF226" s="32" t="str">
        <f t="shared" si="143"/>
        <v>-0.434440565864413</v>
      </c>
      <c r="AG226" s="32" t="str">
        <f t="shared" si="144"/>
        <v>0.197160711027344i</v>
      </c>
      <c r="AH226" s="32">
        <f t="shared" si="158"/>
        <v>0.197160711027344</v>
      </c>
      <c r="AI226" s="32">
        <f t="shared" si="159"/>
        <v>1.5707963267948966</v>
      </c>
      <c r="AJ226" s="32" t="str">
        <f t="shared" si="145"/>
        <v>1+0.00195208624779548i</v>
      </c>
      <c r="AK226" s="32">
        <f t="shared" si="160"/>
        <v>1.0000019053185443</v>
      </c>
      <c r="AL226" s="32">
        <f t="shared" si="161"/>
        <v>1.9520837682347016E-3</v>
      </c>
      <c r="AM226" s="32" t="str">
        <f t="shared" si="146"/>
        <v>1+0.197160711027344i</v>
      </c>
      <c r="AN226" s="32">
        <f t="shared" si="162"/>
        <v>1.0192508748943059</v>
      </c>
      <c r="AO226" s="32">
        <f t="shared" si="163"/>
        <v>0.19466398960531828</v>
      </c>
      <c r="AP226" s="60" t="str">
        <f t="shared" si="164"/>
        <v>-0.430137535023576+2.20432414074785i</v>
      </c>
      <c r="AQ226" s="51">
        <f t="shared" si="165"/>
        <v>7.0278052088552387</v>
      </c>
      <c r="AR226" s="63">
        <f t="shared" si="166"/>
        <v>101.04157886638741</v>
      </c>
      <c r="AS226" s="60" t="str">
        <f t="shared" si="167"/>
        <v>25.0230790138605+6.98358472815052i</v>
      </c>
      <c r="AT226" s="66">
        <f t="shared" si="168"/>
        <v>28.292554759488731</v>
      </c>
      <c r="AU226" s="63">
        <f t="shared" si="169"/>
        <v>15.593660407349645</v>
      </c>
      <c r="AX226" s="32">
        <f t="shared" si="170"/>
        <v>0</v>
      </c>
      <c r="AY226" s="32">
        <f t="shared" si="171"/>
        <v>0</v>
      </c>
    </row>
    <row r="227" spans="14:51" x14ac:dyDescent="0.3">
      <c r="N227" s="11">
        <v>9</v>
      </c>
      <c r="O227" s="52">
        <f t="shared" si="172"/>
        <v>1230.2687708123824</v>
      </c>
      <c r="P227" s="50" t="str">
        <f t="shared" si="138"/>
        <v>131.578947368421</v>
      </c>
      <c r="Q227" s="18" t="str">
        <f t="shared" si="139"/>
        <v>1+11.5950099969754i</v>
      </c>
      <c r="R227" s="18">
        <f t="shared" si="147"/>
        <v>11.638052106343205</v>
      </c>
      <c r="S227" s="18">
        <f t="shared" si="148"/>
        <v>1.4847652095851593</v>
      </c>
      <c r="T227" s="18" t="str">
        <f t="shared" si="140"/>
        <v>1+0.0000255090219933458i</v>
      </c>
      <c r="U227" s="18">
        <f t="shared" si="149"/>
        <v>1.0000000003253551</v>
      </c>
      <c r="V227" s="18">
        <f t="shared" si="150"/>
        <v>2.5509021987812808E-5</v>
      </c>
      <c r="W227" s="32" t="str">
        <f t="shared" si="141"/>
        <v>1-0.0061840053317202i</v>
      </c>
      <c r="X227" s="18">
        <f t="shared" si="151"/>
        <v>1.0000191207781692</v>
      </c>
      <c r="Y227" s="18">
        <f t="shared" si="152"/>
        <v>-6.1839265041125071E-3</v>
      </c>
      <c r="Z227" s="32" t="str">
        <f t="shared" si="142"/>
        <v>0.999999031320801+0.00261735313382017i</v>
      </c>
      <c r="AA227" s="18">
        <f t="shared" si="153"/>
        <v>1.0000024565869665</v>
      </c>
      <c r="AB227" s="18">
        <f t="shared" si="154"/>
        <v>2.6173496924468262E-3</v>
      </c>
      <c r="AC227" s="68" t="str">
        <f t="shared" si="155"/>
        <v>0.872589172724611-11.2723908091171i</v>
      </c>
      <c r="AD227" s="66">
        <f t="shared" si="156"/>
        <v>21.06626695293372</v>
      </c>
      <c r="AE227" s="63">
        <f t="shared" si="157"/>
        <v>-85.573594498179133</v>
      </c>
      <c r="AF227" s="32" t="str">
        <f t="shared" si="143"/>
        <v>-0.434440565864413</v>
      </c>
      <c r="AG227" s="32" t="str">
        <f t="shared" si="144"/>
        <v>0.201753173947372i</v>
      </c>
      <c r="AH227" s="32">
        <f t="shared" si="158"/>
        <v>0.20175317394737199</v>
      </c>
      <c r="AI227" s="32">
        <f t="shared" si="159"/>
        <v>1.5707963267948966</v>
      </c>
      <c r="AJ227" s="32" t="str">
        <f t="shared" si="145"/>
        <v>1+0.00199755617769675i</v>
      </c>
      <c r="AK227" s="32">
        <f t="shared" si="160"/>
        <v>1.0000019951133512</v>
      </c>
      <c r="AL227" s="32">
        <f t="shared" si="161"/>
        <v>1.9975535207997935E-3</v>
      </c>
      <c r="AM227" s="32" t="str">
        <f t="shared" si="146"/>
        <v>1+0.201753173947372i</v>
      </c>
      <c r="AN227" s="32">
        <f t="shared" si="162"/>
        <v>1.020149176933373</v>
      </c>
      <c r="AO227" s="32">
        <f t="shared" si="163"/>
        <v>0.19908073427971565</v>
      </c>
      <c r="AP227" s="60" t="str">
        <f t="shared" si="164"/>
        <v>-0.430137457775499+2.15418626868126i</v>
      </c>
      <c r="AQ227" s="51">
        <f t="shared" si="165"/>
        <v>6.8354562408922162</v>
      </c>
      <c r="AR227" s="63">
        <f t="shared" si="166"/>
        <v>101.29203447049976</v>
      </c>
      <c r="AS227" s="60" t="str">
        <f t="shared" si="167"/>
        <v>23.9074962077707+6.72839713976883i</v>
      </c>
      <c r="AT227" s="66">
        <f t="shared" si="168"/>
        <v>27.901723193825934</v>
      </c>
      <c r="AU227" s="63">
        <f t="shared" si="169"/>
        <v>15.718439972320651</v>
      </c>
      <c r="AX227" s="32">
        <f t="shared" si="170"/>
        <v>0</v>
      </c>
      <c r="AY227" s="32">
        <f t="shared" si="171"/>
        <v>0</v>
      </c>
    </row>
    <row r="228" spans="14:51" x14ac:dyDescent="0.3">
      <c r="N228" s="11">
        <v>10</v>
      </c>
      <c r="O228" s="52">
        <f t="shared" si="172"/>
        <v>1258.925411794168</v>
      </c>
      <c r="P228" s="50" t="str">
        <f t="shared" si="138"/>
        <v>131.578947368421</v>
      </c>
      <c r="Q228" s="18" t="str">
        <f t="shared" si="139"/>
        <v>1+11.8650924753302i</v>
      </c>
      <c r="R228" s="18">
        <f t="shared" si="147"/>
        <v>11.907158328003257</v>
      </c>
      <c r="S228" s="18">
        <f t="shared" si="148"/>
        <v>1.4867141935203709</v>
      </c>
      <c r="T228" s="18" t="str">
        <f t="shared" si="140"/>
        <v>1+0.0000261032034457264i</v>
      </c>
      <c r="U228" s="18">
        <f t="shared" si="149"/>
        <v>1.0000000003406886</v>
      </c>
      <c r="V228" s="18">
        <f t="shared" si="150"/>
        <v>2.610320343979769E-5</v>
      </c>
      <c r="W228" s="32" t="str">
        <f t="shared" si="141"/>
        <v>1-0.0063280493201761i</v>
      </c>
      <c r="X228" s="18">
        <f t="shared" si="151"/>
        <v>1.000020021903661</v>
      </c>
      <c r="Y228" s="18">
        <f t="shared" si="152"/>
        <v>-6.3279648549640069E-3</v>
      </c>
      <c r="Z228" s="32" t="str">
        <f t="shared" si="142"/>
        <v>0.999998985668357+0.00267831912016225i</v>
      </c>
      <c r="AA228" s="18">
        <f t="shared" si="153"/>
        <v>1.0000025723622177</v>
      </c>
      <c r="AB228" s="18">
        <f t="shared" si="154"/>
        <v>2.6783154326647631E-3</v>
      </c>
      <c r="AC228" s="68" t="str">
        <f t="shared" si="155"/>
        <v>0.829141726020036-11.0194502394167i</v>
      </c>
      <c r="AD228" s="66">
        <f t="shared" si="156"/>
        <v>20.867717151923809</v>
      </c>
      <c r="AE228" s="63">
        <f t="shared" si="157"/>
        <v>-85.696974877117285</v>
      </c>
      <c r="AF228" s="32" t="str">
        <f t="shared" si="143"/>
        <v>-0.434440565864413</v>
      </c>
      <c r="AG228" s="32" t="str">
        <f t="shared" si="144"/>
        <v>0.206452609070746i</v>
      </c>
      <c r="AH228" s="32">
        <f t="shared" si="158"/>
        <v>0.206452609070746</v>
      </c>
      <c r="AI228" s="32">
        <f t="shared" si="159"/>
        <v>1.5707963267948966</v>
      </c>
      <c r="AJ228" s="32" t="str">
        <f t="shared" si="145"/>
        <v>1+0.00204408523832421i</v>
      </c>
      <c r="AK228" s="32">
        <f t="shared" si="160"/>
        <v>1.0000020891400485</v>
      </c>
      <c r="AL228" s="32">
        <f t="shared" si="161"/>
        <v>2.0440823914081507E-3</v>
      </c>
      <c r="AM228" s="32" t="str">
        <f t="shared" si="146"/>
        <v>1+0.206452609070746i</v>
      </c>
      <c r="AN228" s="32">
        <f t="shared" si="162"/>
        <v>1.0210889676184531</v>
      </c>
      <c r="AO228" s="32">
        <f t="shared" si="163"/>
        <v>0.20359222287994241</v>
      </c>
      <c r="AP228" s="60" t="str">
        <f t="shared" si="164"/>
        <v>-0.430137376886863+2.1051905746738i</v>
      </c>
      <c r="AQ228" s="51">
        <f t="shared" si="165"/>
        <v>6.643453431448842</v>
      </c>
      <c r="AR228" s="63">
        <f t="shared" si="166"/>
        <v>101.54785781870277</v>
      </c>
      <c r="AS228" s="60" t="str">
        <f t="shared" si="167"/>
        <v>22.8413979350093+6.48537876740416i</v>
      </c>
      <c r="AT228" s="66">
        <f t="shared" si="168"/>
        <v>27.51117058337266</v>
      </c>
      <c r="AU228" s="63">
        <f t="shared" si="169"/>
        <v>15.85088294158548</v>
      </c>
      <c r="AX228" s="32">
        <f t="shared" si="170"/>
        <v>0</v>
      </c>
      <c r="AY228" s="32">
        <f t="shared" si="171"/>
        <v>0</v>
      </c>
    </row>
    <row r="229" spans="14:51" x14ac:dyDescent="0.3">
      <c r="N229" s="11">
        <v>11</v>
      </c>
      <c r="O229" s="52">
        <f t="shared" si="172"/>
        <v>1288.2495516931347</v>
      </c>
      <c r="P229" s="50" t="str">
        <f t="shared" si="138"/>
        <v>131.578947368421</v>
      </c>
      <c r="Q229" s="18" t="str">
        <f t="shared" si="139"/>
        <v>1+12.1414659827685i</v>
      </c>
      <c r="R229" s="18">
        <f t="shared" si="147"/>
        <v>12.182577568426341</v>
      </c>
      <c r="S229" s="18">
        <f t="shared" si="148"/>
        <v>1.4886194320655546</v>
      </c>
      <c r="T229" s="18" t="str">
        <f t="shared" si="140"/>
        <v>1+0.0000267112251620907i</v>
      </c>
      <c r="U229" s="18">
        <f t="shared" si="149"/>
        <v>1.0000000003567446</v>
      </c>
      <c r="V229" s="18">
        <f t="shared" si="150"/>
        <v>2.6711225155737972E-5</v>
      </c>
      <c r="W229" s="32" t="str">
        <f t="shared" si="141"/>
        <v>1-0.00647544852414319i</v>
      </c>
      <c r="X229" s="18">
        <f t="shared" si="151"/>
        <v>1.0000209654970185</v>
      </c>
      <c r="Y229" s="18">
        <f t="shared" si="152"/>
        <v>-6.475358018140291E-3</v>
      </c>
      <c r="Z229" s="32" t="str">
        <f t="shared" si="142"/>
        <v>0.999998937864379+0.00274070518675359i</v>
      </c>
      <c r="AA229" s="18">
        <f t="shared" si="153"/>
        <v>1.0000026935937758</v>
      </c>
      <c r="AB229" s="18">
        <f t="shared" si="154"/>
        <v>2.7407012355293923E-3</v>
      </c>
      <c r="AC229" s="68" t="str">
        <f t="shared" si="155"/>
        <v>0.78762276679931-10.7720248468395i</v>
      </c>
      <c r="AD229" s="66">
        <f t="shared" si="156"/>
        <v>20.669103157644535</v>
      </c>
      <c r="AE229" s="63">
        <f t="shared" si="157"/>
        <v>-85.818121617028524</v>
      </c>
      <c r="AF229" s="32" t="str">
        <f t="shared" si="143"/>
        <v>-0.434440565864413</v>
      </c>
      <c r="AG229" s="32" t="str">
        <f t="shared" si="144"/>
        <v>0.211261508100172i</v>
      </c>
      <c r="AH229" s="32">
        <f t="shared" si="158"/>
        <v>0.211261508100172</v>
      </c>
      <c r="AI229" s="32">
        <f t="shared" si="159"/>
        <v>1.5707963267948966</v>
      </c>
      <c r="AJ229" s="32" t="str">
        <f t="shared" si="145"/>
        <v>1+0.0020916981000017i</v>
      </c>
      <c r="AK229" s="32">
        <f t="shared" si="160"/>
        <v>1.000002187598078</v>
      </c>
      <c r="AL229" s="32">
        <f t="shared" si="161"/>
        <v>2.0916950494765424E-3</v>
      </c>
      <c r="AM229" s="32" t="str">
        <f t="shared" si="146"/>
        <v>1+0.211261508100172i</v>
      </c>
      <c r="AN229" s="32">
        <f t="shared" si="162"/>
        <v>1.0220721230934533</v>
      </c>
      <c r="AO229" s="32">
        <f t="shared" si="163"/>
        <v>0.20820011251203574</v>
      </c>
      <c r="AP229" s="60" t="str">
        <f t="shared" si="164"/>
        <v>-0.430137292186095+2.05731108055894i</v>
      </c>
      <c r="AQ229" s="51">
        <f t="shared" si="165"/>
        <v>6.4518117610994494</v>
      </c>
      <c r="AR229" s="63">
        <f t="shared" si="166"/>
        <v>101.80914244272509</v>
      </c>
      <c r="AS229" s="60" t="str">
        <f t="shared" si="167"/>
        <v>21.8226201532839+6.25383464441759i</v>
      </c>
      <c r="AT229" s="66">
        <f t="shared" si="168"/>
        <v>27.120914918743967</v>
      </c>
      <c r="AU229" s="63">
        <f t="shared" si="169"/>
        <v>15.991020825696605</v>
      </c>
      <c r="AX229" s="32">
        <f t="shared" si="170"/>
        <v>0</v>
      </c>
      <c r="AY229" s="32">
        <f t="shared" si="171"/>
        <v>0</v>
      </c>
    </row>
    <row r="230" spans="14:51" x14ac:dyDescent="0.3">
      <c r="N230" s="11">
        <v>12</v>
      </c>
      <c r="O230" s="52">
        <f t="shared" si="172"/>
        <v>1318.2567385564089</v>
      </c>
      <c r="P230" s="50" t="str">
        <f t="shared" si="138"/>
        <v>131.578947368421</v>
      </c>
      <c r="Q230" s="18" t="str">
        <f t="shared" si="139"/>
        <v>1+12.4242770561822i</v>
      </c>
      <c r="R230" s="18">
        <f t="shared" si="147"/>
        <v>12.464455879370565</v>
      </c>
      <c r="S230" s="18">
        <f t="shared" si="148"/>
        <v>1.4904818800455057</v>
      </c>
      <c r="T230" s="18" t="str">
        <f t="shared" si="140"/>
        <v>1+0.0000273334095236008i</v>
      </c>
      <c r="U230" s="18">
        <f t="shared" si="149"/>
        <v>1.0000000003735576</v>
      </c>
      <c r="V230" s="18">
        <f t="shared" si="150"/>
        <v>2.733340951679373E-5</v>
      </c>
      <c r="W230" s="32" t="str">
        <f t="shared" si="141"/>
        <v>1-0.00662628109663049i</v>
      </c>
      <c r="X230" s="18">
        <f t="shared" si="151"/>
        <v>1.0000219535596064</v>
      </c>
      <c r="Y230" s="18">
        <f t="shared" si="152"/>
        <v>-6.6261841178161278E-3</v>
      </c>
      <c r="Z230" s="32" t="str">
        <f t="shared" si="142"/>
        <v>0.99999888780747+0.00280454441151246i</v>
      </c>
      <c r="AA230" s="18">
        <f t="shared" si="153"/>
        <v>1.000002820538789</v>
      </c>
      <c r="AB230" s="18">
        <f t="shared" si="154"/>
        <v>2.8045401777000651E-3</v>
      </c>
      <c r="AC230" s="68" t="str">
        <f t="shared" si="155"/>
        <v>0.747947848738984-10.5300050096914i</v>
      </c>
      <c r="AD230" s="66">
        <f t="shared" si="156"/>
        <v>20.470427849731351</v>
      </c>
      <c r="AE230" s="63">
        <f t="shared" si="157"/>
        <v>-85.937095778211258</v>
      </c>
      <c r="AF230" s="32" t="str">
        <f t="shared" si="143"/>
        <v>-0.434440565864413</v>
      </c>
      <c r="AG230" s="32" t="str">
        <f t="shared" si="144"/>
        <v>0.21618242077757i</v>
      </c>
      <c r="AH230" s="32">
        <f t="shared" si="158"/>
        <v>0.21618242077756999</v>
      </c>
      <c r="AI230" s="32">
        <f t="shared" si="159"/>
        <v>1.5707963267948966</v>
      </c>
      <c r="AJ230" s="32" t="str">
        <f t="shared" si="145"/>
        <v>1+0.00214042000769871i</v>
      </c>
      <c r="AK230" s="32">
        <f t="shared" si="160"/>
        <v>1.0000022906962811</v>
      </c>
      <c r="AL230" s="32">
        <f t="shared" si="161"/>
        <v>2.1404167390025168E-3</v>
      </c>
      <c r="AM230" s="32" t="str">
        <f t="shared" si="146"/>
        <v>1+0.21618242077757i</v>
      </c>
      <c r="AN230" s="32">
        <f t="shared" si="162"/>
        <v>1.0231006006513974</v>
      </c>
      <c r="AO230" s="32">
        <f t="shared" si="163"/>
        <v>0.21290606327202447</v>
      </c>
      <c r="AP230" s="60" t="str">
        <f t="shared" si="164"/>
        <v>-0.430137203493539+2.01052239999401i</v>
      </c>
      <c r="AQ230" s="51">
        <f t="shared" si="165"/>
        <v>6.2605467960323828</v>
      </c>
      <c r="AR230" s="63">
        <f t="shared" si="166"/>
        <v>102.07598201268827</v>
      </c>
      <c r="AS230" s="60" t="str">
        <f t="shared" si="167"/>
        <v>20.8490907480181+6.03311281155867i</v>
      </c>
      <c r="AT230" s="66">
        <f t="shared" si="168"/>
        <v>26.73097464576373</v>
      </c>
      <c r="AU230" s="63">
        <f t="shared" si="169"/>
        <v>16.13888623447702</v>
      </c>
      <c r="AX230" s="32">
        <f t="shared" si="170"/>
        <v>0</v>
      </c>
      <c r="AY230" s="32">
        <f t="shared" si="171"/>
        <v>0</v>
      </c>
    </row>
    <row r="231" spans="14:51" x14ac:dyDescent="0.3">
      <c r="N231" s="11">
        <v>13</v>
      </c>
      <c r="O231" s="52">
        <f t="shared" si="172"/>
        <v>1348.9628825916541</v>
      </c>
      <c r="P231" s="50" t="str">
        <f t="shared" si="138"/>
        <v>131.578947368421</v>
      </c>
      <c r="Q231" s="18" t="str">
        <f t="shared" si="139"/>
        <v>1+12.7136756457457i</v>
      </c>
      <c r="R231" s="18">
        <f t="shared" si="147"/>
        <v>12.752942735903245</v>
      </c>
      <c r="S231" s="18">
        <f t="shared" si="148"/>
        <v>1.4923024732436274</v>
      </c>
      <c r="T231" s="18" t="str">
        <f t="shared" si="140"/>
        <v>1+0.0000279700864206407i</v>
      </c>
      <c r="U231" s="18">
        <f t="shared" si="149"/>
        <v>1.0000000003911629</v>
      </c>
      <c r="V231" s="18">
        <f t="shared" si="150"/>
        <v>2.7970086413346793E-5</v>
      </c>
      <c r="W231" s="32" t="str">
        <f t="shared" si="141"/>
        <v>1-0.0067806270110644i</v>
      </c>
      <c r="X231" s="18">
        <f t="shared" si="151"/>
        <v>1.0000229881871032</v>
      </c>
      <c r="Y231" s="18">
        <f t="shared" si="152"/>
        <v>-6.7805230965216259E-3</v>
      </c>
      <c r="Z231" s="32" t="str">
        <f t="shared" si="142"/>
        <v>0.999998835391451+0.00286987064284085i</v>
      </c>
      <c r="AA231" s="18">
        <f t="shared" si="153"/>
        <v>1.0000029534665209</v>
      </c>
      <c r="AB231" s="18">
        <f t="shared" si="154"/>
        <v>2.8698661062298227E-3</v>
      </c>
      <c r="AC231" s="68" t="str">
        <f t="shared" si="155"/>
        <v>0.710036122476325-10.2932825642738i</v>
      </c>
      <c r="AD231" s="66">
        <f t="shared" si="156"/>
        <v>20.271693983022434</v>
      </c>
      <c r="AE231" s="63">
        <f t="shared" si="157"/>
        <v>-86.053957477866476</v>
      </c>
      <c r="AF231" s="32" t="str">
        <f t="shared" si="143"/>
        <v>-0.434440565864413</v>
      </c>
      <c r="AG231" s="32" t="str">
        <f t="shared" si="144"/>
        <v>0.221217956235976i</v>
      </c>
      <c r="AH231" s="32">
        <f t="shared" si="158"/>
        <v>0.22121795623597601</v>
      </c>
      <c r="AI231" s="32">
        <f t="shared" si="159"/>
        <v>1.5707963267948966</v>
      </c>
      <c r="AJ231" s="32" t="str">
        <f t="shared" si="145"/>
        <v>1+0.00219027679441561i</v>
      </c>
      <c r="AK231" s="32">
        <f t="shared" si="160"/>
        <v>1.0000023986533413</v>
      </c>
      <c r="AL231" s="32">
        <f t="shared" si="161"/>
        <v>2.1902732919449898E-3</v>
      </c>
      <c r="AM231" s="32" t="str">
        <f t="shared" si="146"/>
        <v>1+0.221217956235976i</v>
      </c>
      <c r="AN231" s="32">
        <f t="shared" si="162"/>
        <v>1.0241764419089232</v>
      </c>
      <c r="AO231" s="32">
        <f t="shared" si="163"/>
        <v>0.21771173618784811</v>
      </c>
      <c r="AP231" s="60" t="str">
        <f t="shared" si="164"/>
        <v>-0.430137110621071+1.96479972500009i</v>
      </c>
      <c r="AQ231" s="51">
        <f t="shared" si="165"/>
        <v>6.0696747051821065</v>
      </c>
      <c r="AR231" s="63">
        <f t="shared" si="166"/>
        <v>102.34847021842059</v>
      </c>
      <c r="AS231" s="60" t="str">
        <f t="shared" si="167"/>
        <v>19.9188258654748+5.82260159918459i</v>
      </c>
      <c r="AT231" s="66">
        <f t="shared" si="168"/>
        <v>26.341368688204533</v>
      </c>
      <c r="AU231" s="63">
        <f t="shared" si="169"/>
        <v>16.294512740554122</v>
      </c>
      <c r="AX231" s="32">
        <f t="shared" si="170"/>
        <v>0</v>
      </c>
      <c r="AY231" s="32">
        <f t="shared" si="171"/>
        <v>0</v>
      </c>
    </row>
    <row r="232" spans="14:51" x14ac:dyDescent="0.3">
      <c r="N232" s="11">
        <v>14</v>
      </c>
      <c r="O232" s="52">
        <f t="shared" si="172"/>
        <v>1380.3842646028863</v>
      </c>
      <c r="P232" s="50" t="str">
        <f t="shared" si="138"/>
        <v>131.578947368421</v>
      </c>
      <c r="Q232" s="18" t="str">
        <f t="shared" si="139"/>
        <v>1+13.0098151944221i</v>
      </c>
      <c r="R232" s="18">
        <f t="shared" si="147"/>
        <v>13.048191115745357</v>
      </c>
      <c r="S232" s="18">
        <f t="shared" si="148"/>
        <v>1.4940821286598824</v>
      </c>
      <c r="T232" s="18" t="str">
        <f t="shared" si="140"/>
        <v>1+0.0000286215934277287i</v>
      </c>
      <c r="U232" s="18">
        <f t="shared" si="149"/>
        <v>1.0000000004095977</v>
      </c>
      <c r="V232" s="18">
        <f t="shared" si="150"/>
        <v>2.8621593419913136E-5</v>
      </c>
      <c r="W232" s="32" t="str">
        <f t="shared" si="141"/>
        <v>1-0.0069385681036918i</v>
      </c>
      <c r="X232" s="18">
        <f t="shared" si="151"/>
        <v>1.0000240715739446</v>
      </c>
      <c r="Y232" s="18">
        <f t="shared" si="152"/>
        <v>-6.938456757397877E-3</v>
      </c>
      <c r="Z232" s="32" t="str">
        <f t="shared" si="142"/>
        <v>0.99999878050514+0.00293671851757131i</v>
      </c>
      <c r="AA232" s="18">
        <f t="shared" si="153"/>
        <v>1.000003092658927</v>
      </c>
      <c r="AB232" s="18">
        <f t="shared" si="154"/>
        <v>2.9367136565057895E-3</v>
      </c>
      <c r="AC232" s="68" t="str">
        <f t="shared" si="155"/>
        <v>0.673810191264728-10.061750838154i</v>
      </c>
      <c r="AD232" s="66">
        <f t="shared" si="156"/>
        <v>20.07290419294479</v>
      </c>
      <c r="AE232" s="63">
        <f t="shared" si="157"/>
        <v>-86.168765908316573</v>
      </c>
      <c r="AF232" s="32" t="str">
        <f t="shared" si="143"/>
        <v>-0.434440565864413</v>
      </c>
      <c r="AG232" s="32" t="str">
        <f t="shared" si="144"/>
        <v>0.226370784382945i</v>
      </c>
      <c r="AH232" s="32">
        <f t="shared" si="158"/>
        <v>0.226370784382945</v>
      </c>
      <c r="AI232" s="32">
        <f t="shared" si="159"/>
        <v>1.5707963267948966</v>
      </c>
      <c r="AJ232" s="32" t="str">
        <f t="shared" si="145"/>
        <v>1+0.00224129489488065i</v>
      </c>
      <c r="AK232" s="32">
        <f t="shared" si="160"/>
        <v>1.0000025116982485</v>
      </c>
      <c r="AL232" s="32">
        <f t="shared" si="161"/>
        <v>2.2412911419162737E-3</v>
      </c>
      <c r="AM232" s="32" t="str">
        <f t="shared" si="146"/>
        <v>1+0.226370784382945i</v>
      </c>
      <c r="AN232" s="32">
        <f t="shared" si="162"/>
        <v>1.0253017760748051</v>
      </c>
      <c r="AO232" s="32">
        <f t="shared" si="163"/>
        <v>0.222618791006816</v>
      </c>
      <c r="AP232" s="60" t="str">
        <f t="shared" si="164"/>
        <v>-0.430137013371701+1.92011881280836i</v>
      </c>
      <c r="AQ232" s="51">
        <f t="shared" si="165"/>
        <v>5.8792122773143261</v>
      </c>
      <c r="AR232" s="63">
        <f t="shared" si="166"/>
        <v>102.62670064190364</v>
      </c>
      <c r="AS232" s="60" t="str">
        <f t="shared" si="167"/>
        <v>19.0299263708798+5.62172707932317i</v>
      </c>
      <c r="AT232" s="66">
        <f t="shared" si="168"/>
        <v>25.952116470259135</v>
      </c>
      <c r="AU232" s="63">
        <f t="shared" si="169"/>
        <v>16.457934733587031</v>
      </c>
      <c r="AX232" s="32">
        <f t="shared" si="170"/>
        <v>0</v>
      </c>
      <c r="AY232" s="32">
        <f t="shared" si="171"/>
        <v>0</v>
      </c>
    </row>
    <row r="233" spans="14:51" x14ac:dyDescent="0.3">
      <c r="N233" s="11">
        <v>15</v>
      </c>
      <c r="O233" s="52">
        <f t="shared" si="172"/>
        <v>1412.5375446227545</v>
      </c>
      <c r="P233" s="50" t="str">
        <f t="shared" si="138"/>
        <v>131.578947368421</v>
      </c>
      <c r="Q233" s="18" t="str">
        <f t="shared" si="139"/>
        <v>1+13.3128527193198i</v>
      </c>
      <c r="R233" s="18">
        <f t="shared" si="147"/>
        <v>13.350357580465797</v>
      </c>
      <c r="S233" s="18">
        <f t="shared" si="148"/>
        <v>1.4958217447741191</v>
      </c>
      <c r="T233" s="18" t="str">
        <f t="shared" si="140"/>
        <v>1+0.0000292882759825036i</v>
      </c>
      <c r="U233" s="18">
        <f t="shared" si="149"/>
        <v>1.0000000004289016</v>
      </c>
      <c r="V233" s="18">
        <f t="shared" si="150"/>
        <v>2.9288275974129076E-5</v>
      </c>
      <c r="W233" s="32" t="str">
        <f t="shared" si="141"/>
        <v>1-0.00710018811697058i</v>
      </c>
      <c r="X233" s="18">
        <f t="shared" si="151"/>
        <v>1.0000252060179764</v>
      </c>
      <c r="Y233" s="18">
        <f t="shared" si="152"/>
        <v>-7.1000688074294924E-3</v>
      </c>
      <c r="Z233" s="32" t="str">
        <f t="shared" si="142"/>
        <v>0.999998723032118+0.00300512347933184i</v>
      </c>
      <c r="AA233" s="18">
        <f t="shared" si="153"/>
        <v>1.0000032384112527</v>
      </c>
      <c r="AB233" s="18">
        <f t="shared" si="154"/>
        <v>3.0051182706071571E-3</v>
      </c>
      <c r="AC233" s="68" t="str">
        <f t="shared" si="155"/>
        <v>0.639195971630959-9.83530467853799i</v>
      </c>
      <c r="AD233" s="66">
        <f t="shared" si="156"/>
        <v>19.874061000687711</v>
      </c>
      <c r="AE233" s="63">
        <f t="shared" si="157"/>
        <v>-86.281579355611143</v>
      </c>
      <c r="AF233" s="32" t="str">
        <f t="shared" si="143"/>
        <v>-0.434440565864413</v>
      </c>
      <c r="AG233" s="32" t="str">
        <f t="shared" si="144"/>
        <v>0.231643637316165i</v>
      </c>
      <c r="AH233" s="32">
        <f t="shared" si="158"/>
        <v>0.231643637316165</v>
      </c>
      <c r="AI233" s="32">
        <f t="shared" si="159"/>
        <v>1.5707963267948966</v>
      </c>
      <c r="AJ233" s="32" t="str">
        <f t="shared" si="145"/>
        <v>1+0.00229350135956599i</v>
      </c>
      <c r="AK233" s="32">
        <f t="shared" si="160"/>
        <v>1.0000026300707845</v>
      </c>
      <c r="AL233" s="32">
        <f t="shared" si="161"/>
        <v>2.2934973381927804E-3</v>
      </c>
      <c r="AM233" s="32" t="str">
        <f t="shared" si="146"/>
        <v>1+0.231643637316165i</v>
      </c>
      <c r="AN233" s="32">
        <f t="shared" si="162"/>
        <v>1.0264788233125235</v>
      </c>
      <c r="AO233" s="32">
        <f t="shared" si="163"/>
        <v>0.22762888382206156</v>
      </c>
      <c r="AP233" s="60" t="str">
        <f t="shared" si="164"/>
        <v>-0.430136911539157+1.87645597300642i</v>
      </c>
      <c r="AQ233" s="51">
        <f t="shared" si="165"/>
        <v>5.6891769380022019</v>
      </c>
      <c r="AR233" s="63">
        <f t="shared" si="166"/>
        <v>102.91076662047497</v>
      </c>
      <c r="AS233" s="60" t="str">
        <f t="shared" si="167"/>
        <v>18.180574429275+5.42995067736151i</v>
      </c>
      <c r="AT233" s="66">
        <f t="shared" si="168"/>
        <v>25.563237938689923</v>
      </c>
      <c r="AU233" s="63">
        <f t="shared" si="169"/>
        <v>16.629187264863827</v>
      </c>
      <c r="AX233" s="32">
        <f t="shared" si="170"/>
        <v>0</v>
      </c>
      <c r="AY233" s="32">
        <f t="shared" si="171"/>
        <v>0</v>
      </c>
    </row>
    <row r="234" spans="14:51" x14ac:dyDescent="0.3">
      <c r="N234" s="11">
        <v>16</v>
      </c>
      <c r="O234" s="52">
        <f t="shared" si="172"/>
        <v>1445.4397707459289</v>
      </c>
      <c r="P234" s="50" t="str">
        <f t="shared" si="138"/>
        <v>131.578947368421</v>
      </c>
      <c r="Q234" s="18" t="str">
        <f t="shared" si="139"/>
        <v>1+13.6229488949458i</v>
      </c>
      <c r="R234" s="18">
        <f t="shared" si="147"/>
        <v>13.659602358571973</v>
      </c>
      <c r="S234" s="18">
        <f t="shared" si="148"/>
        <v>1.4975222018139662</v>
      </c>
      <c r="T234" s="18" t="str">
        <f t="shared" si="140"/>
        <v>1+0.0000299704875688807i</v>
      </c>
      <c r="U234" s="18">
        <f t="shared" si="149"/>
        <v>1.000000000449115</v>
      </c>
      <c r="V234" s="18">
        <f t="shared" si="150"/>
        <v>2.9970487559907235E-5</v>
      </c>
      <c r="W234" s="32" t="str">
        <f t="shared" si="141"/>
        <v>1-0.00726557274397108i</v>
      </c>
      <c r="X234" s="18">
        <f t="shared" si="151"/>
        <v>1.0000263939253293</v>
      </c>
      <c r="Y234" s="18">
        <f t="shared" si="152"/>
        <v>-7.2654449016767405E-3</v>
      </c>
      <c r="Z234" s="32" t="str">
        <f t="shared" si="142"/>
        <v>0.999998662850476+0.00307512179733863i</v>
      </c>
      <c r="AA234" s="18">
        <f t="shared" si="153"/>
        <v>1.0000033910326547</v>
      </c>
      <c r="AB234" s="18">
        <f t="shared" si="154"/>
        <v>3.0751162160905488E-3</v>
      </c>
      <c r="AC234" s="68" t="str">
        <f t="shared" si="155"/>
        <v>0.606122558933898-9.61384047609971i</v>
      </c>
      <c r="AD234" s="66">
        <f t="shared" si="156"/>
        <v>19.675166818168922</v>
      </c>
      <c r="AE234" s="63">
        <f t="shared" si="157"/>
        <v>-86.392455218476584</v>
      </c>
      <c r="AF234" s="32" t="str">
        <f t="shared" si="143"/>
        <v>-0.434440565864413</v>
      </c>
      <c r="AG234" s="32" t="str">
        <f t="shared" si="144"/>
        <v>0.237039310772057i</v>
      </c>
      <c r="AH234" s="32">
        <f t="shared" si="158"/>
        <v>0.237039310772057</v>
      </c>
      <c r="AI234" s="32">
        <f t="shared" si="159"/>
        <v>1.5707963267948966</v>
      </c>
      <c r="AJ234" s="32" t="str">
        <f t="shared" si="145"/>
        <v>1+0.00234692386903026i</v>
      </c>
      <c r="AK234" s="32">
        <f t="shared" si="160"/>
        <v>1.0000027540220311</v>
      </c>
      <c r="AL234" s="32">
        <f t="shared" si="161"/>
        <v>2.3469195600518732E-3</v>
      </c>
      <c r="AM234" s="32" t="str">
        <f t="shared" si="146"/>
        <v>1+0.237039310772057i</v>
      </c>
      <c r="AN234" s="32">
        <f t="shared" si="162"/>
        <v>1.0277098981966126</v>
      </c>
      <c r="AO234" s="32">
        <f t="shared" si="163"/>
        <v>0.23274366453157147</v>
      </c>
      <c r="AP234" s="60" t="str">
        <f t="shared" si="164"/>
        <v>-0.430136804907444+1.83378805497718i</v>
      </c>
      <c r="AQ234" s="51">
        <f t="shared" si="165"/>
        <v>5.4995867664208049</v>
      </c>
      <c r="AR234" s="63">
        <f t="shared" si="166"/>
        <v>103.20076110042002</v>
      </c>
      <c r="AS234" s="60" t="str">
        <f t="shared" si="167"/>
        <v>17.3690302066456+5.24676693370457i</v>
      </c>
      <c r="AT234" s="66">
        <f t="shared" si="168"/>
        <v>25.17475358458972</v>
      </c>
      <c r="AU234" s="63">
        <f t="shared" si="169"/>
        <v>16.808305881943443</v>
      </c>
      <c r="AX234" s="32">
        <f t="shared" si="170"/>
        <v>0</v>
      </c>
      <c r="AY234" s="32">
        <f t="shared" si="171"/>
        <v>0</v>
      </c>
    </row>
    <row r="235" spans="14:51" x14ac:dyDescent="0.3">
      <c r="N235" s="11">
        <v>17</v>
      </c>
      <c r="O235" s="52">
        <f t="shared" si="172"/>
        <v>1479.1083881682086</v>
      </c>
      <c r="P235" s="50" t="str">
        <f t="shared" si="138"/>
        <v>131.578947368421</v>
      </c>
      <c r="Q235" s="18" t="str">
        <f t="shared" si="139"/>
        <v>1+13.9402681383968i</v>
      </c>
      <c r="R235" s="18">
        <f t="shared" si="147"/>
        <v>13.976089430538179</v>
      </c>
      <c r="S235" s="18">
        <f t="shared" si="148"/>
        <v>1.4991843620265151</v>
      </c>
      <c r="T235" s="18" t="str">
        <f t="shared" si="140"/>
        <v>1+0.0000306685899044731i</v>
      </c>
      <c r="U235" s="18">
        <f t="shared" si="149"/>
        <v>1.0000000004702811</v>
      </c>
      <c r="V235" s="18">
        <f t="shared" si="150"/>
        <v>3.066858989485786E-5</v>
      </c>
      <c r="W235" s="32" t="str">
        <f t="shared" si="141"/>
        <v>1-0.00743480967381166i</v>
      </c>
      <c r="X235" s="18">
        <f t="shared" si="151"/>
        <v>1.0000276378155184</v>
      </c>
      <c r="Y235" s="18">
        <f t="shared" si="152"/>
        <v>-7.4346726885297192E-3</v>
      </c>
      <c r="Z235" s="32" t="str">
        <f t="shared" si="142"/>
        <v>0.999998599832561+0.00314675058562642i</v>
      </c>
      <c r="AA235" s="18">
        <f t="shared" si="153"/>
        <v>1.000003550846861</v>
      </c>
      <c r="AB235" s="18">
        <f t="shared" si="154"/>
        <v>3.146744605212443E-3</v>
      </c>
      <c r="AC235" s="68" t="str">
        <f t="shared" si="155"/>
        <v>0.57452209771977-9.39725618460433i</v>
      </c>
      <c r="AD235" s="66">
        <f t="shared" si="156"/>
        <v>19.476223952802492</v>
      </c>
      <c r="AE235" s="63">
        <f t="shared" si="157"/>
        <v>-86.501450027565781</v>
      </c>
      <c r="AF235" s="32" t="str">
        <f t="shared" si="143"/>
        <v>-0.434440565864413</v>
      </c>
      <c r="AG235" s="32" t="str">
        <f t="shared" si="144"/>
        <v>0.242560665608105i</v>
      </c>
      <c r="AH235" s="32">
        <f t="shared" si="158"/>
        <v>0.24256066560810499</v>
      </c>
      <c r="AI235" s="32">
        <f t="shared" si="159"/>
        <v>1.5707963267948966</v>
      </c>
      <c r="AJ235" s="32" t="str">
        <f t="shared" si="145"/>
        <v>1+0.0024015907485951i</v>
      </c>
      <c r="AK235" s="32">
        <f t="shared" si="160"/>
        <v>1.0000028838149038</v>
      </c>
      <c r="AL235" s="32">
        <f t="shared" si="161"/>
        <v>2.4015861314422913E-3</v>
      </c>
      <c r="AM235" s="32" t="str">
        <f t="shared" si="146"/>
        <v>1+0.242560665608105i</v>
      </c>
      <c r="AN235" s="32">
        <f t="shared" si="162"/>
        <v>1.0289974132621749</v>
      </c>
      <c r="AO235" s="32">
        <f t="shared" si="163"/>
        <v>0.23796477412345135</v>
      </c>
      <c r="AP235" s="60" t="str">
        <f t="shared" si="164"/>
        <v>-0.430136693250391+1.79209243562415i</v>
      </c>
      <c r="AQ235" s="51">
        <f t="shared" si="165"/>
        <v>5.31046051188485</v>
      </c>
      <c r="AR235" s="63">
        <f t="shared" si="166"/>
        <v>103.49677648058892</v>
      </c>
      <c r="AS235" s="60" t="str">
        <f t="shared" si="167"/>
        <v>16.5936286887392+5.07170140629501i</v>
      </c>
      <c r="AT235" s="66">
        <f t="shared" si="168"/>
        <v>24.78668446468733</v>
      </c>
      <c r="AU235" s="63">
        <f t="shared" si="169"/>
        <v>16.995326453023182</v>
      </c>
      <c r="AX235" s="32">
        <f t="shared" si="170"/>
        <v>0</v>
      </c>
      <c r="AY235" s="32">
        <f t="shared" si="171"/>
        <v>0</v>
      </c>
    </row>
    <row r="236" spans="14:51" x14ac:dyDescent="0.3">
      <c r="N236" s="11">
        <v>18</v>
      </c>
      <c r="O236" s="52">
        <f t="shared" si="172"/>
        <v>1513.5612484362093</v>
      </c>
      <c r="P236" s="50" t="str">
        <f t="shared" si="138"/>
        <v>131.578947368421</v>
      </c>
      <c r="Q236" s="18" t="str">
        <f t="shared" si="139"/>
        <v>1+14.2649786965362i</v>
      </c>
      <c r="R236" s="18">
        <f t="shared" si="147"/>
        <v>14.29998661582002</v>
      </c>
      <c r="S236" s="18">
        <f t="shared" si="148"/>
        <v>1.5008090699530974</v>
      </c>
      <c r="T236" s="18" t="str">
        <f t="shared" si="140"/>
        <v>1+0.0000313829531323796i</v>
      </c>
      <c r="U236" s="18">
        <f t="shared" si="149"/>
        <v>1.0000000004924448</v>
      </c>
      <c r="V236" s="18">
        <f t="shared" si="150"/>
        <v>3.1382953122076684E-5</v>
      </c>
      <c r="W236" s="32" t="str">
        <f t="shared" si="141"/>
        <v>1-0.00760798863815262i</v>
      </c>
      <c r="X236" s="18">
        <f t="shared" si="151"/>
        <v>1.0000289403267879</v>
      </c>
      <c r="Y236" s="18">
        <f t="shared" si="152"/>
        <v>-7.6078418560079049E-3</v>
      </c>
      <c r="Z236" s="32" t="str">
        <f t="shared" si="142"/>
        <v>0.999998533844702+0.00322004782272688i</v>
      </c>
      <c r="AA236" s="18">
        <f t="shared" si="153"/>
        <v>1.0000037181928547</v>
      </c>
      <c r="AB236" s="18">
        <f t="shared" si="154"/>
        <v>3.2200414145990763E-3</v>
      </c>
      <c r="AC236" s="68" t="str">
        <f t="shared" si="155"/>
        <v>0.544329656763351-9.18545133663964i</v>
      </c>
      <c r="AD236" s="66">
        <f t="shared" si="156"/>
        <v>19.277234612074675</v>
      </c>
      <c r="AE236" s="63">
        <f t="shared" si="157"/>
        <v>-86.608619464970346</v>
      </c>
      <c r="AF236" s="32" t="str">
        <f t="shared" si="143"/>
        <v>-0.434440565864413</v>
      </c>
      <c r="AG236" s="32" t="str">
        <f t="shared" si="144"/>
        <v>0.24821062931973i</v>
      </c>
      <c r="AH236" s="32">
        <f t="shared" si="158"/>
        <v>0.24821062931973001</v>
      </c>
      <c r="AI236" s="32">
        <f t="shared" si="159"/>
        <v>1.5707963267948966</v>
      </c>
      <c r="AJ236" s="32" t="str">
        <f t="shared" si="145"/>
        <v>1+0.00245753098336366i</v>
      </c>
      <c r="AK236" s="32">
        <f t="shared" si="160"/>
        <v>1.0000030197247076</v>
      </c>
      <c r="AL236" s="32">
        <f t="shared" si="161"/>
        <v>2.4575260359960974E-3</v>
      </c>
      <c r="AM236" s="32" t="str">
        <f t="shared" si="146"/>
        <v>1+0.24821062931973i</v>
      </c>
      <c r="AN236" s="32">
        <f t="shared" si="162"/>
        <v>1.0303438826466125</v>
      </c>
      <c r="AO236" s="32">
        <f t="shared" si="163"/>
        <v>0.24329384178132746</v>
      </c>
      <c r="AP236" s="60" t="str">
        <f t="shared" si="164"/>
        <v>-0.430136576331164+1.75134700737635i</v>
      </c>
      <c r="AQ236" s="51">
        <f t="shared" si="165"/>
        <v>5.1218176100443094</v>
      </c>
      <c r="AR236" s="63">
        <f t="shared" si="166"/>
        <v>103.79890444568755</v>
      </c>
      <c r="AS236" s="60" t="str">
        <f t="shared" si="167"/>
        <v>15.8527766148692+4.90430870539738i</v>
      </c>
      <c r="AT236" s="66">
        <f t="shared" si="168"/>
        <v>24.399052222118975</v>
      </c>
      <c r="AU236" s="63">
        <f t="shared" si="169"/>
        <v>17.190284980717237</v>
      </c>
      <c r="AX236" s="32">
        <f t="shared" si="170"/>
        <v>0</v>
      </c>
      <c r="AY236" s="32">
        <f t="shared" si="171"/>
        <v>0</v>
      </c>
    </row>
    <row r="237" spans="14:51" x14ac:dyDescent="0.3">
      <c r="N237" s="11">
        <v>19</v>
      </c>
      <c r="O237" s="52">
        <f t="shared" si="172"/>
        <v>1548.8166189124822</v>
      </c>
      <c r="P237" s="50" t="str">
        <f t="shared" si="138"/>
        <v>131.578947368421</v>
      </c>
      <c r="Q237" s="18" t="str">
        <f t="shared" si="139"/>
        <v>1+14.5972527351997i</v>
      </c>
      <c r="R237" s="18">
        <f t="shared" si="147"/>
        <v>14.631465661897824</v>
      </c>
      <c r="S237" s="18">
        <f t="shared" si="148"/>
        <v>1.5023971527064839</v>
      </c>
      <c r="T237" s="18" t="str">
        <f t="shared" si="140"/>
        <v>1+0.0000321139560174394i</v>
      </c>
      <c r="U237" s="18">
        <f t="shared" si="149"/>
        <v>1.0000000005156531</v>
      </c>
      <c r="V237" s="18">
        <f t="shared" si="150"/>
        <v>3.211395600639963E-5</v>
      </c>
      <c r="W237" s="32" t="str">
        <f t="shared" si="141"/>
        <v>1-0.00778520145877318i</v>
      </c>
      <c r="X237" s="18">
        <f t="shared" si="151"/>
        <v>1.0000303042217038</v>
      </c>
      <c r="Y237" s="18">
        <f t="shared" si="152"/>
        <v>-7.785044179128865E-3</v>
      </c>
      <c r="Z237" s="32" t="str">
        <f t="shared" si="142"/>
        <v>0.999998464746932+0.00329505237180531i</v>
      </c>
      <c r="AA237" s="18">
        <f t="shared" si="153"/>
        <v>1.0000038934255977</v>
      </c>
      <c r="AB237" s="18">
        <f t="shared" si="154"/>
        <v>3.2950455053740312E-3</v>
      </c>
      <c r="AC237" s="68" t="str">
        <f t="shared" si="155"/>
        <v>0.51548310868147-8.97832705575316i</v>
      </c>
      <c r="AD237" s="66">
        <f t="shared" si="156"/>
        <v>19.078200907936186</v>
      </c>
      <c r="AE237" s="63">
        <f t="shared" si="157"/>
        <v>-86.714018383959186</v>
      </c>
      <c r="AF237" s="32" t="str">
        <f t="shared" si="143"/>
        <v>-0.434440565864413</v>
      </c>
      <c r="AG237" s="32" t="str">
        <f t="shared" si="144"/>
        <v>0.253992197592475i</v>
      </c>
      <c r="AH237" s="32">
        <f t="shared" si="158"/>
        <v>0.25399219759247499</v>
      </c>
      <c r="AI237" s="32">
        <f t="shared" si="159"/>
        <v>1.5707963267948966</v>
      </c>
      <c r="AJ237" s="32" t="str">
        <f t="shared" si="145"/>
        <v>1+0.00251477423358886i</v>
      </c>
      <c r="AK237" s="32">
        <f t="shared" si="160"/>
        <v>1.0000031620397236</v>
      </c>
      <c r="AL237" s="32">
        <f t="shared" si="161"/>
        <v>2.5147689323899119E-3</v>
      </c>
      <c r="AM237" s="32" t="str">
        <f t="shared" si="146"/>
        <v>1+0.253992197592475i</v>
      </c>
      <c r="AN237" s="32">
        <f t="shared" si="162"/>
        <v>1.0317519258222176</v>
      </c>
      <c r="AO237" s="32">
        <f t="shared" si="163"/>
        <v>0.24873248180397298</v>
      </c>
      <c r="AP237" s="60" t="str">
        <f t="shared" si="164"/>
        <v>-0.430136453901773+1.71153016646659i</v>
      </c>
      <c r="AQ237" s="51">
        <f t="shared" si="165"/>
        <v>4.933678198646982</v>
      </c>
      <c r="AR237" s="63">
        <f t="shared" si="166"/>
        <v>104.10723578890565</v>
      </c>
      <c r="AS237" s="60" t="str">
        <f t="shared" si="167"/>
        <v>15.1449495239102+4.74417065254432i</v>
      </c>
      <c r="AT237" s="66">
        <f t="shared" si="168"/>
        <v>24.01187910658318</v>
      </c>
      <c r="AU237" s="63">
        <f t="shared" si="169"/>
        <v>17.393217404946437</v>
      </c>
      <c r="AX237" s="32">
        <f t="shared" si="170"/>
        <v>0</v>
      </c>
      <c r="AY237" s="32">
        <f t="shared" si="171"/>
        <v>0</v>
      </c>
    </row>
    <row r="238" spans="14:51" x14ac:dyDescent="0.3">
      <c r="N238" s="11">
        <v>20</v>
      </c>
      <c r="O238" s="52">
        <f t="shared" si="172"/>
        <v>1584.8931924611156</v>
      </c>
      <c r="P238" s="50" t="str">
        <f t="shared" si="138"/>
        <v>131.578947368421</v>
      </c>
      <c r="Q238" s="18" t="str">
        <f t="shared" si="139"/>
        <v>1+14.9372664304809i</v>
      </c>
      <c r="R238" s="18">
        <f t="shared" si="147"/>
        <v>14.970702335400686</v>
      </c>
      <c r="S238" s="18">
        <f t="shared" si="148"/>
        <v>1.503949420249924</v>
      </c>
      <c r="T238" s="18" t="str">
        <f t="shared" si="140"/>
        <v>1+0.0000328619861470581i</v>
      </c>
      <c r="U238" s="18">
        <f t="shared" si="149"/>
        <v>1.000000000539955</v>
      </c>
      <c r="V238" s="18">
        <f t="shared" si="150"/>
        <v>3.2861986135228769E-5</v>
      </c>
      <c r="W238" s="32" t="str">
        <f t="shared" si="141"/>
        <v>1-0.0079665420962565i</v>
      </c>
      <c r="X238" s="18">
        <f t="shared" si="151"/>
        <v>1.0000317323930132</v>
      </c>
      <c r="Y238" s="18">
        <f t="shared" si="152"/>
        <v>-7.9663735683701137E-3</v>
      </c>
      <c r="Z238" s="32" t="str">
        <f t="shared" si="142"/>
        <v>0.999998392392684+0.00337180400126646i</v>
      </c>
      <c r="AA238" s="18">
        <f t="shared" si="153"/>
        <v>1.0000040769167771</v>
      </c>
      <c r="AB238" s="18">
        <f t="shared" si="154"/>
        <v>3.3717966437543283E-3</v>
      </c>
      <c r="AC238" s="68" t="str">
        <f t="shared" si="155"/>
        <v>0.487923014001743-8.77578606527109i</v>
      </c>
      <c r="AD238" s="66">
        <f t="shared" si="156"/>
        <v>18.87912486101612</v>
      </c>
      <c r="AE238" s="63">
        <f t="shared" si="157"/>
        <v>-86.817700828911342</v>
      </c>
      <c r="AF238" s="32" t="str">
        <f t="shared" si="143"/>
        <v>-0.434440565864413</v>
      </c>
      <c r="AG238" s="32" t="str">
        <f t="shared" si="144"/>
        <v>0.259908435890369i</v>
      </c>
      <c r="AH238" s="32">
        <f t="shared" si="158"/>
        <v>0.25990843589036899</v>
      </c>
      <c r="AI238" s="32">
        <f t="shared" si="159"/>
        <v>1.5707963267948966</v>
      </c>
      <c r="AJ238" s="32" t="str">
        <f t="shared" si="145"/>
        <v>1+0.00257335085039969i</v>
      </c>
      <c r="AK238" s="32">
        <f t="shared" si="160"/>
        <v>1.0000033110618181</v>
      </c>
      <c r="AL238" s="32">
        <f t="shared" si="161"/>
        <v>2.5733451700636922E-3</v>
      </c>
      <c r="AM238" s="32" t="str">
        <f t="shared" si="146"/>
        <v>1+0.259908435890369i</v>
      </c>
      <c r="AN238" s="32">
        <f t="shared" si="162"/>
        <v>1.033224271417865</v>
      </c>
      <c r="AO238" s="32">
        <f t="shared" si="163"/>
        <v>0.25428229033364991</v>
      </c>
      <c r="AP238" s="60" t="str">
        <f t="shared" si="164"/>
        <v>-0.430136325702536+1.67262080147684i</v>
      </c>
      <c r="AQ238" s="51">
        <f t="shared" si="165"/>
        <v>4.7460631327684819</v>
      </c>
      <c r="AR238" s="63">
        <f t="shared" si="166"/>
        <v>104.42186022356334</v>
      </c>
      <c r="AS238" s="60" t="str">
        <f t="shared" si="167"/>
        <v>14.4686889096146+4.59089455600581i</v>
      </c>
      <c r="AT238" s="66">
        <f t="shared" si="168"/>
        <v>23.625187993784603</v>
      </c>
      <c r="AU238" s="63">
        <f t="shared" si="169"/>
        <v>17.60415939465199</v>
      </c>
      <c r="AX238" s="32">
        <f t="shared" si="170"/>
        <v>0</v>
      </c>
      <c r="AY238" s="32">
        <f t="shared" si="171"/>
        <v>0</v>
      </c>
    </row>
    <row r="239" spans="14:51" x14ac:dyDescent="0.3">
      <c r="N239" s="11">
        <v>21</v>
      </c>
      <c r="O239" s="52">
        <f t="shared" si="172"/>
        <v>1621.8100973589308</v>
      </c>
      <c r="P239" s="50" t="str">
        <f t="shared" si="138"/>
        <v>131.578947368421</v>
      </c>
      <c r="Q239" s="18" t="str">
        <f t="shared" si="139"/>
        <v>1+15.2852000621416i</v>
      </c>
      <c r="R239" s="18">
        <f t="shared" si="147"/>
        <v>15.317876515355957</v>
      </c>
      <c r="S239" s="18">
        <f t="shared" si="148"/>
        <v>1.5054666656774485</v>
      </c>
      <c r="T239" s="18" t="str">
        <f t="shared" si="140"/>
        <v>1+0.0000336274401367116i</v>
      </c>
      <c r="U239" s="18">
        <f t="shared" si="149"/>
        <v>1.0000000005654024</v>
      </c>
      <c r="V239" s="18">
        <f t="shared" si="150"/>
        <v>3.3627440124036244E-5</v>
      </c>
      <c r="W239" s="32" t="str">
        <f t="shared" si="141"/>
        <v>1-0.00815210669980888i</v>
      </c>
      <c r="X239" s="18">
        <f t="shared" si="151"/>
        <v>1.0000332278697768</v>
      </c>
      <c r="Y239" s="18">
        <f t="shared" si="152"/>
        <v>-8.1519261192492046E-3</v>
      </c>
      <c r="Z239" s="32" t="str">
        <f t="shared" si="142"/>
        <v>0.999998316628485+0.00345034340584016i</v>
      </c>
      <c r="AA239" s="18">
        <f t="shared" si="153"/>
        <v>1.0000042690555986</v>
      </c>
      <c r="AB239" s="18">
        <f t="shared" si="154"/>
        <v>3.4503355221256033E-3</v>
      </c>
      <c r="AC239" s="68" t="str">
        <f t="shared" si="155"/>
        <v>0.461592509567786-8.57773269406129i</v>
      </c>
      <c r="AD239" s="66">
        <f t="shared" si="156"/>
        <v>18.68000840466587</v>
      </c>
      <c r="AE239" s="63">
        <f t="shared" si="157"/>
        <v>-86.919720055412697</v>
      </c>
      <c r="AF239" s="32" t="str">
        <f t="shared" si="143"/>
        <v>-0.434440565864413</v>
      </c>
      <c r="AG239" s="32" t="str">
        <f t="shared" si="144"/>
        <v>0.265962481081265i</v>
      </c>
      <c r="AH239" s="32">
        <f t="shared" si="158"/>
        <v>0.26596248108126502</v>
      </c>
      <c r="AI239" s="32">
        <f t="shared" si="159"/>
        <v>1.5707963267948966</v>
      </c>
      <c r="AJ239" s="32" t="str">
        <f t="shared" si="145"/>
        <v>1+0.00263329189189371i</v>
      </c>
      <c r="AK239" s="32">
        <f t="shared" si="160"/>
        <v>1.0000034671070834</v>
      </c>
      <c r="AL239" s="32">
        <f t="shared" si="161"/>
        <v>2.633285805305168E-3</v>
      </c>
      <c r="AM239" s="32" t="str">
        <f t="shared" si="146"/>
        <v>1+0.265962481081265i</v>
      </c>
      <c r="AN239" s="32">
        <f t="shared" si="162"/>
        <v>1.0347637611275833</v>
      </c>
      <c r="AO239" s="32">
        <f t="shared" si="163"/>
        <v>0.25994484188797135</v>
      </c>
      <c r="AP239" s="60" t="str">
        <f t="shared" si="164"/>
        <v>-0.430136191461538+1.6345982821447i</v>
      </c>
      <c r="AQ239" s="51">
        <f t="shared" si="165"/>
        <v>4.5589939994030644</v>
      </c>
      <c r="AR239" s="63">
        <f t="shared" si="166"/>
        <v>104.7428661834805</v>
      </c>
      <c r="AS239" s="60" t="str">
        <f t="shared" si="167"/>
        <v>13.8225994823364+4.44411159558901i</v>
      </c>
      <c r="AT239" s="66">
        <f t="shared" si="168"/>
        <v>23.239002404068962</v>
      </c>
      <c r="AU239" s="63">
        <f t="shared" si="169"/>
        <v>17.823146128067776</v>
      </c>
      <c r="AX239" s="32">
        <f t="shared" si="170"/>
        <v>0</v>
      </c>
      <c r="AY239" s="32">
        <f t="shared" si="171"/>
        <v>0</v>
      </c>
    </row>
    <row r="240" spans="14:51" x14ac:dyDescent="0.3">
      <c r="N240" s="11">
        <v>22</v>
      </c>
      <c r="O240" s="52">
        <f t="shared" si="172"/>
        <v>1659.5869074375626</v>
      </c>
      <c r="P240" s="50" t="str">
        <f t="shared" si="138"/>
        <v>131.578947368421</v>
      </c>
      <c r="Q240" s="18" t="str">
        <f t="shared" si="139"/>
        <v>1+15.6412381091989i</v>
      </c>
      <c r="R240" s="18">
        <f t="shared" si="147"/>
        <v>15.673172288616495</v>
      </c>
      <c r="S240" s="18">
        <f t="shared" si="148"/>
        <v>1.506949665494935</v>
      </c>
      <c r="T240" s="18" t="str">
        <f t="shared" si="140"/>
        <v>1+0.0000344107238402377i</v>
      </c>
      <c r="U240" s="18">
        <f t="shared" si="149"/>
        <v>1.0000000005920489</v>
      </c>
      <c r="V240" s="18">
        <f t="shared" si="150"/>
        <v>3.441072382665581E-5</v>
      </c>
      <c r="W240" s="32" t="str">
        <f t="shared" si="141"/>
        <v>1-0.00834199365823944i</v>
      </c>
      <c r="X240" s="18">
        <f t="shared" si="151"/>
        <v>1.0000347938237919</v>
      </c>
      <c r="Y240" s="18">
        <f t="shared" si="152"/>
        <v>-8.3418001630471937E-3</v>
      </c>
      <c r="Z240" s="32" t="str">
        <f t="shared" si="142"/>
        <v>0.99999823729363+0.00353071222815836i</v>
      </c>
      <c r="AA240" s="18">
        <f t="shared" si="153"/>
        <v>1.0000044702496109</v>
      </c>
      <c r="AB240" s="18">
        <f t="shared" si="154"/>
        <v>3.5307037806079546E-3</v>
      </c>
      <c r="AC240" s="68" t="str">
        <f t="shared" si="155"/>
        <v>0.436437201160435-8.38407287948326i</v>
      </c>
      <c r="AD240" s="66">
        <f t="shared" si="156"/>
        <v>18.480853388838415</v>
      </c>
      <c r="AE240" s="63">
        <f t="shared" si="157"/>
        <v>-87.020128550489574</v>
      </c>
      <c r="AF240" s="32" t="str">
        <f t="shared" si="143"/>
        <v>-0.434440565864413</v>
      </c>
      <c r="AG240" s="32" t="str">
        <f t="shared" si="144"/>
        <v>0.272157543100062i</v>
      </c>
      <c r="AH240" s="32">
        <f t="shared" si="158"/>
        <v>0.27215754310006202</v>
      </c>
      <c r="AI240" s="32">
        <f t="shared" si="159"/>
        <v>1.5707963267948966</v>
      </c>
      <c r="AJ240" s="32" t="str">
        <f t="shared" si="145"/>
        <v>1+0.00269462913960457i</v>
      </c>
      <c r="AK240" s="32">
        <f t="shared" si="160"/>
        <v>1.0000036305065096</v>
      </c>
      <c r="AL240" s="32">
        <f t="shared" si="161"/>
        <v>2.694622617708723E-3</v>
      </c>
      <c r="AM240" s="32" t="str">
        <f t="shared" si="146"/>
        <v>1+0.272157543100062i</v>
      </c>
      <c r="AN240" s="32">
        <f t="shared" si="162"/>
        <v>1.0363733537033177</v>
      </c>
      <c r="AO240" s="32">
        <f t="shared" si="163"/>
        <v>0.26572168569066817</v>
      </c>
      <c r="AP240" s="60" t="str">
        <f t="shared" si="164"/>
        <v>-0.430136050894046+1.59744244842487i</v>
      </c>
      <c r="AQ240" s="51">
        <f t="shared" si="165"/>
        <v>4.3724931312993025</v>
      </c>
      <c r="AR240" s="63">
        <f t="shared" si="166"/>
        <v>105.07034061180184</v>
      </c>
      <c r="AS240" s="60" t="str">
        <f t="shared" si="167"/>
        <v>13.2053465342039+4.30347530999422i</v>
      </c>
      <c r="AT240" s="66">
        <f t="shared" si="168"/>
        <v>22.853346520137727</v>
      </c>
      <c r="AU240" s="63">
        <f t="shared" si="169"/>
        <v>18.050212061312237</v>
      </c>
      <c r="AX240" s="32">
        <f t="shared" si="170"/>
        <v>0</v>
      </c>
      <c r="AY240" s="32">
        <f t="shared" si="171"/>
        <v>0</v>
      </c>
    </row>
    <row r="241" spans="14:51" x14ac:dyDescent="0.3">
      <c r="N241" s="11">
        <v>23</v>
      </c>
      <c r="O241" s="52">
        <f t="shared" si="172"/>
        <v>1698.2436524617447</v>
      </c>
      <c r="P241" s="50" t="str">
        <f t="shared" si="138"/>
        <v>131.578947368421</v>
      </c>
      <c r="Q241" s="18" t="str">
        <f t="shared" si="139"/>
        <v>1+16.0055693477379i</v>
      </c>
      <c r="R241" s="18">
        <f t="shared" si="147"/>
        <v>16.036778047514627</v>
      </c>
      <c r="S241" s="18">
        <f t="shared" si="148"/>
        <v>1.5083991799014584</v>
      </c>
      <c r="T241" s="18" t="str">
        <f t="shared" si="140"/>
        <v>1+0.0000352122525650234i</v>
      </c>
      <c r="U241" s="18">
        <f t="shared" si="149"/>
        <v>1.0000000006199512</v>
      </c>
      <c r="V241" s="18">
        <f t="shared" si="150"/>
        <v>3.5212252550470141E-5</v>
      </c>
      <c r="W241" s="32" t="str">
        <f t="shared" si="141"/>
        <v>1-0.00853630365212688i</v>
      </c>
      <c r="X241" s="18">
        <f t="shared" si="151"/>
        <v>1.0000364335763179</v>
      </c>
      <c r="Y241" s="18">
        <f t="shared" si="152"/>
        <v>-8.5360963187008816E-3</v>
      </c>
      <c r="Z241" s="32" t="str">
        <f t="shared" si="142"/>
        <v>0.999998154219838+0.0036129530808344i</v>
      </c>
      <c r="AA241" s="18">
        <f t="shared" si="153"/>
        <v>1.000004680925568</v>
      </c>
      <c r="AB241" s="18">
        <f t="shared" si="154"/>
        <v>3.6129440291232371E-3</v>
      </c>
      <c r="AC241" s="68" t="str">
        <f t="shared" si="155"/>
        <v>0.412405060213867-8.19471416775487i</v>
      </c>
      <c r="AD241" s="66">
        <f t="shared" si="156"/>
        <v>18.281661583810475</v>
      </c>
      <c r="AE241" s="63">
        <f t="shared" si="157"/>
        <v>-87.118978052954347</v>
      </c>
      <c r="AF241" s="32" t="str">
        <f t="shared" si="143"/>
        <v>-0.434440565864413</v>
      </c>
      <c r="AG241" s="32" t="str">
        <f t="shared" si="144"/>
        <v>0.27849690665064i</v>
      </c>
      <c r="AH241" s="32">
        <f t="shared" si="158"/>
        <v>0.27849690665063997</v>
      </c>
      <c r="AI241" s="32">
        <f t="shared" si="159"/>
        <v>1.5707963267948966</v>
      </c>
      <c r="AJ241" s="32" t="str">
        <f t="shared" si="145"/>
        <v>1+0.00275739511535287i</v>
      </c>
      <c r="AK241" s="32">
        <f t="shared" si="160"/>
        <v>1.000003801606685</v>
      </c>
      <c r="AL241" s="32">
        <f t="shared" si="161"/>
        <v>2.757388127016998E-3</v>
      </c>
      <c r="AM241" s="32" t="str">
        <f t="shared" si="146"/>
        <v>1+0.27849690665064i</v>
      </c>
      <c r="AN241" s="32">
        <f t="shared" si="162"/>
        <v>1.0380561290286645</v>
      </c>
      <c r="AO241" s="32">
        <f t="shared" si="163"/>
        <v>0.27161434179712962</v>
      </c>
      <c r="AP241" s="60" t="str">
        <f t="shared" si="164"/>
        <v>-0.430135903701911+1.56113359980014i</v>
      </c>
      <c r="AQ241" s="51">
        <f t="shared" si="165"/>
        <v>4.1865836199188369</v>
      </c>
      <c r="AR241" s="63">
        <f t="shared" si="166"/>
        <v>105.40436873804178</v>
      </c>
      <c r="AS241" s="60" t="str">
        <f t="shared" si="167"/>
        <v>12.615653404774+4.16866018035356i</v>
      </c>
      <c r="AT241" s="66">
        <f t="shared" si="168"/>
        <v>22.468245203729285</v>
      </c>
      <c r="AU241" s="63">
        <f t="shared" si="169"/>
        <v>18.285390685087471</v>
      </c>
      <c r="AX241" s="32">
        <f t="shared" si="170"/>
        <v>0</v>
      </c>
      <c r="AY241" s="32">
        <f t="shared" si="171"/>
        <v>0</v>
      </c>
    </row>
    <row r="242" spans="14:51" x14ac:dyDescent="0.3">
      <c r="N242" s="11">
        <v>24</v>
      </c>
      <c r="O242" s="52">
        <f t="shared" si="172"/>
        <v>1737.8008287493772</v>
      </c>
      <c r="P242" s="50" t="str">
        <f t="shared" si="138"/>
        <v>131.578947368421</v>
      </c>
      <c r="Q242" s="18" t="str">
        <f t="shared" si="139"/>
        <v>1+16.3783869510039i</v>
      </c>
      <c r="R242" s="18">
        <f t="shared" si="147"/>
        <v>16.408886589796847</v>
      </c>
      <c r="S242" s="18">
        <f t="shared" si="148"/>
        <v>1.5098159530704973</v>
      </c>
      <c r="T242" s="18" t="str">
        <f t="shared" si="140"/>
        <v>1+0.0000360324512922086i</v>
      </c>
      <c r="U242" s="18">
        <f t="shared" si="149"/>
        <v>1.0000000006491687</v>
      </c>
      <c r="V242" s="18">
        <f t="shared" si="150"/>
        <v>3.603245127661451E-5</v>
      </c>
      <c r="W242" s="32" t="str">
        <f t="shared" si="141"/>
        <v>1-0.00873513970720208i</v>
      </c>
      <c r="X242" s="18">
        <f t="shared" si="151"/>
        <v>1.0000381506051177</v>
      </c>
      <c r="Y242" s="18">
        <f t="shared" si="152"/>
        <v>-8.7349175458912385E-3</v>
      </c>
      <c r="Z242" s="32" t="str">
        <f t="shared" si="142"/>
        <v>0.999998067230899+0.00369710956905702i</v>
      </c>
      <c r="AA242" s="18">
        <f t="shared" si="153"/>
        <v>1.0000049015303369</v>
      </c>
      <c r="AB242" s="18">
        <f t="shared" si="154"/>
        <v>3.6970998699762067E-3</v>
      </c>
      <c r="AC242" s="68" t="str">
        <f t="shared" si="155"/>
        <v>0.389446324505097-8.00956571194885i</v>
      </c>
      <c r="AD242" s="66">
        <f t="shared" si="156"/>
        <v>18.082434683752805</v>
      </c>
      <c r="AE242" s="63">
        <f t="shared" si="157"/>
        <v>-87.216319573840124</v>
      </c>
      <c r="AF242" s="32" t="str">
        <f t="shared" si="143"/>
        <v>-0.434440565864413</v>
      </c>
      <c r="AG242" s="32" t="str">
        <f t="shared" si="144"/>
        <v>0.284983932947468i</v>
      </c>
      <c r="AH242" s="32">
        <f t="shared" si="158"/>
        <v>0.28498393294746799</v>
      </c>
      <c r="AI242" s="32">
        <f t="shared" si="159"/>
        <v>1.5707963267948966</v>
      </c>
      <c r="AJ242" s="32" t="str">
        <f t="shared" si="145"/>
        <v>1+0.00282162309848978i</v>
      </c>
      <c r="AK242" s="32">
        <f t="shared" si="160"/>
        <v>1.0000039807705317</v>
      </c>
      <c r="AL242" s="32">
        <f t="shared" si="161"/>
        <v>2.8216156103545911E-3</v>
      </c>
      <c r="AM242" s="32" t="str">
        <f t="shared" si="146"/>
        <v>1+0.284983932947468i</v>
      </c>
      <c r="AN242" s="32">
        <f t="shared" si="162"/>
        <v>1.0398152922698372</v>
      </c>
      <c r="AO242" s="32">
        <f t="shared" si="163"/>
        <v>0.27762429701137448</v>
      </c>
      <c r="AP242" s="60" t="str">
        <f t="shared" si="164"/>
        <v>-0.430135749572932+1.5256524848358i</v>
      </c>
      <c r="AQ242" s="51">
        <f t="shared" si="165"/>
        <v>4.0012893273841339</v>
      </c>
      <c r="AR242" s="63">
        <f t="shared" si="166"/>
        <v>105.74503384315666</v>
      </c>
      <c r="AS242" s="60" t="str">
        <f t="shared" si="167"/>
        <v>12.052299044181+4.03936030395414i</v>
      </c>
      <c r="AT242" s="66">
        <f t="shared" si="168"/>
        <v>22.083724011136958</v>
      </c>
      <c r="AU242" s="63">
        <f t="shared" si="169"/>
        <v>18.528714269316485</v>
      </c>
      <c r="AX242" s="32">
        <f t="shared" si="170"/>
        <v>0</v>
      </c>
      <c r="AY242" s="32">
        <f t="shared" si="171"/>
        <v>0</v>
      </c>
    </row>
    <row r="243" spans="14:51" x14ac:dyDescent="0.3">
      <c r="N243" s="11">
        <v>25</v>
      </c>
      <c r="O243" s="52">
        <f t="shared" si="172"/>
        <v>1778.2794100389244</v>
      </c>
      <c r="P243" s="50" t="str">
        <f t="shared" si="138"/>
        <v>131.578947368421</v>
      </c>
      <c r="Q243" s="18" t="str">
        <f t="shared" si="139"/>
        <v>1+16.7598885918249i</v>
      </c>
      <c r="R243" s="18">
        <f t="shared" si="147"/>
        <v>16.789695220890177</v>
      </c>
      <c r="S243" s="18">
        <f t="shared" si="148"/>
        <v>1.5112007134305965</v>
      </c>
      <c r="T243" s="18" t="str">
        <f t="shared" si="140"/>
        <v>1+0.0000368717549020148i</v>
      </c>
      <c r="U243" s="18">
        <f t="shared" si="149"/>
        <v>1.0000000006797631</v>
      </c>
      <c r="V243" s="18">
        <f t="shared" si="150"/>
        <v>3.6871754885305429E-5</v>
      </c>
      <c r="W243" s="32" t="str">
        <f t="shared" si="141"/>
        <v>1-0.00893860724897328i</v>
      </c>
      <c r="X243" s="18">
        <f t="shared" si="151"/>
        <v>1.0000399485518323</v>
      </c>
      <c r="Y243" s="18">
        <f t="shared" si="152"/>
        <v>-8.9383691993534242E-3</v>
      </c>
      <c r="Z243" s="32" t="str">
        <f t="shared" si="142"/>
        <v>0.999997976142297+0.00378322631371018i</v>
      </c>
      <c r="AA243" s="18">
        <f t="shared" si="153"/>
        <v>1.000005132531844</v>
      </c>
      <c r="AB243" s="18">
        <f t="shared" si="154"/>
        <v>3.783215920960589E-3</v>
      </c>
      <c r="AC243" s="68" t="str">
        <f t="shared" si="155"/>
        <v>0.367513402695611-7.82853826781949i</v>
      </c>
      <c r="AD243" s="66">
        <f t="shared" si="156"/>
        <v>17.88317431015497</v>
      </c>
      <c r="AE243" s="63">
        <f t="shared" si="157"/>
        <v>-87.312203416904424</v>
      </c>
      <c r="AF243" s="32" t="str">
        <f t="shared" si="143"/>
        <v>-0.434440565864413</v>
      </c>
      <c r="AG243" s="32" t="str">
        <f t="shared" si="144"/>
        <v>0.291622061497753i</v>
      </c>
      <c r="AH243" s="32">
        <f t="shared" si="158"/>
        <v>0.29162206149775299</v>
      </c>
      <c r="AI243" s="32">
        <f t="shared" si="159"/>
        <v>1.5707963267948966</v>
      </c>
      <c r="AJ243" s="32" t="str">
        <f t="shared" si="145"/>
        <v>1+0.00288734714354211i</v>
      </c>
      <c r="AK243" s="32">
        <f t="shared" si="160"/>
        <v>1.000004168378076</v>
      </c>
      <c r="AL243" s="32">
        <f t="shared" si="161"/>
        <v>2.8873391198625011E-3</v>
      </c>
      <c r="AM243" s="32" t="str">
        <f t="shared" si="146"/>
        <v>1+0.291622061497753i</v>
      </c>
      <c r="AN243" s="32">
        <f t="shared" si="162"/>
        <v>1.0416541780995261</v>
      </c>
      <c r="AO243" s="32">
        <f t="shared" si="163"/>
        <v>0.2837530005917932</v>
      </c>
      <c r="AP243" s="60" t="str">
        <f t="shared" si="164"/>
        <v>-0.430135588180196+1.49098029097232i</v>
      </c>
      <c r="AQ243" s="51">
        <f t="shared" si="165"/>
        <v>3.8166348972770701</v>
      </c>
      <c r="AR243" s="63">
        <f t="shared" si="166"/>
        <v>106.09241701249175</v>
      </c>
      <c r="AS243" s="60" t="str">
        <f t="shared" si="167"/>
        <v>11.5141156708089+3.91528815250704i</v>
      </c>
      <c r="AT243" s="66">
        <f t="shared" si="168"/>
        <v>21.699809207432068</v>
      </c>
      <c r="AU243" s="63">
        <f t="shared" si="169"/>
        <v>18.780213595587288</v>
      </c>
      <c r="AX243" s="32">
        <f t="shared" si="170"/>
        <v>0</v>
      </c>
      <c r="AY243" s="32">
        <f t="shared" si="171"/>
        <v>0</v>
      </c>
    </row>
    <row r="244" spans="14:51" x14ac:dyDescent="0.3">
      <c r="N244" s="11">
        <v>26</v>
      </c>
      <c r="O244" s="52">
        <f t="shared" si="172"/>
        <v>1819.7008586099832</v>
      </c>
      <c r="P244" s="50" t="str">
        <f t="shared" si="138"/>
        <v>131.578947368421</v>
      </c>
      <c r="Q244" s="18" t="str">
        <f t="shared" si="139"/>
        <v>1+17.1502765474204i</v>
      </c>
      <c r="R244" s="18">
        <f t="shared" si="147"/>
        <v>17.17940585855629</v>
      </c>
      <c r="S244" s="18">
        <f t="shared" si="148"/>
        <v>1.5125541739451249</v>
      </c>
      <c r="T244" s="18" t="str">
        <f t="shared" si="140"/>
        <v>1+0.000037730608404325i</v>
      </c>
      <c r="U244" s="18">
        <f t="shared" si="149"/>
        <v>1.0000000007117993</v>
      </c>
      <c r="V244" s="18">
        <f t="shared" si="150"/>
        <v>3.7730608386420587E-5</v>
      </c>
      <c r="W244" s="32" t="str">
        <f t="shared" si="141"/>
        <v>1-0.00914681415862424i</v>
      </c>
      <c r="X244" s="18">
        <f t="shared" si="151"/>
        <v>1.0000418312297004</v>
      </c>
      <c r="Y244" s="18">
        <f t="shared" si="152"/>
        <v>-9.1465590844372127E-3</v>
      </c>
      <c r="Z244" s="32" t="str">
        <f t="shared" si="142"/>
        <v>0.999997880760823+0.00387134897503175i</v>
      </c>
      <c r="AA244" s="18">
        <f t="shared" si="153"/>
        <v>1.0000053744200696</v>
      </c>
      <c r="AB244" s="18">
        <f t="shared" si="154"/>
        <v>3.8713378390030011E-3</v>
      </c>
      <c r="AC244" s="68" t="str">
        <f t="shared" si="155"/>
        <v>0.346560782604614-7.65154418764759i</v>
      </c>
      <c r="AD244" s="66">
        <f t="shared" si="156"/>
        <v>17.683882015111664</v>
      </c>
      <c r="AE244" s="63">
        <f t="shared" si="157"/>
        <v>-87.406679199182719</v>
      </c>
      <c r="AF244" s="32" t="str">
        <f t="shared" si="143"/>
        <v>-0.434440565864413</v>
      </c>
      <c r="AG244" s="32" t="str">
        <f t="shared" si="144"/>
        <v>0.298414811925116i</v>
      </c>
      <c r="AH244" s="32">
        <f t="shared" si="158"/>
        <v>0.29841481192511599</v>
      </c>
      <c r="AI244" s="32">
        <f t="shared" si="159"/>
        <v>1.5707963267948966</v>
      </c>
      <c r="AJ244" s="32" t="str">
        <f t="shared" si="145"/>
        <v>1+0.00295460209826848i</v>
      </c>
      <c r="AK244" s="32">
        <f t="shared" si="160"/>
        <v>1.0000043648272536</v>
      </c>
      <c r="AL244" s="32">
        <f t="shared" si="161"/>
        <v>2.9545935007429069E-3</v>
      </c>
      <c r="AM244" s="32" t="str">
        <f t="shared" si="146"/>
        <v>1+0.298414811925116i</v>
      </c>
      <c r="AN244" s="32">
        <f t="shared" si="162"/>
        <v>1.0435762549887297</v>
      </c>
      <c r="AO244" s="32">
        <f t="shared" si="163"/>
        <v>0.29000185974400144</v>
      </c>
      <c r="AP244" s="60" t="str">
        <f t="shared" si="164"/>
        <v>-0.430135419181385+1.45709863455065i</v>
      </c>
      <c r="AQ244" s="51">
        <f t="shared" si="165"/>
        <v>3.6326457641383518</v>
      </c>
      <c r="AR244" s="63">
        <f t="shared" si="166"/>
        <v>106.4465968765067</v>
      </c>
      <c r="AS244" s="60" t="str">
        <f t="shared" si="167"/>
        <v>10.9999865205278+3.79617340966067i</v>
      </c>
      <c r="AT244" s="66">
        <f t="shared" si="168"/>
        <v>21.316527779250016</v>
      </c>
      <c r="AU244" s="63">
        <f t="shared" si="169"/>
        <v>19.039917677323988</v>
      </c>
      <c r="AX244" s="32">
        <f t="shared" si="170"/>
        <v>0</v>
      </c>
      <c r="AY244" s="32">
        <f t="shared" si="171"/>
        <v>0</v>
      </c>
    </row>
    <row r="245" spans="14:51" x14ac:dyDescent="0.3">
      <c r="N245" s="11">
        <v>27</v>
      </c>
      <c r="O245" s="52">
        <f t="shared" si="172"/>
        <v>1862.0871366628687</v>
      </c>
      <c r="P245" s="50" t="str">
        <f t="shared" si="138"/>
        <v>131.578947368421</v>
      </c>
      <c r="Q245" s="18" t="str">
        <f t="shared" si="139"/>
        <v>1+17.5497578066523i</v>
      </c>
      <c r="R245" s="18">
        <f t="shared" si="147"/>
        <v>17.578225139989339</v>
      </c>
      <c r="S245" s="18">
        <f t="shared" si="148"/>
        <v>1.5138770323907995</v>
      </c>
      <c r="T245" s="18" t="str">
        <f t="shared" si="140"/>
        <v>1+0.0000386094671746351i</v>
      </c>
      <c r="U245" s="18">
        <f t="shared" si="149"/>
        <v>1.0000000007453453</v>
      </c>
      <c r="V245" s="18">
        <f t="shared" si="150"/>
        <v>3.860946715545017E-5</v>
      </c>
      <c r="W245" s="32" t="str">
        <f t="shared" si="141"/>
        <v>1-0.00935987083021456i</v>
      </c>
      <c r="X245" s="18">
        <f t="shared" si="151"/>
        <v>1.0000438026316438</v>
      </c>
      <c r="Y245" s="18">
        <f t="shared" si="152"/>
        <v>-9.3595975139454529E-3</v>
      </c>
      <c r="Z245" s="32" t="str">
        <f t="shared" si="142"/>
        <v>0.999997780884157+0.00396152427682327i</v>
      </c>
      <c r="AA245" s="18">
        <f t="shared" si="153"/>
        <v>1.0000056277080815</v>
      </c>
      <c r="AB245" s="18">
        <f t="shared" si="154"/>
        <v>3.9615123443569348E-3</v>
      </c>
      <c r="AC245" s="68" t="str">
        <f t="shared" si="155"/>
        <v>0.32654494309399-7.47849741227567i</v>
      </c>
      <c r="AD245" s="66">
        <f t="shared" si="156"/>
        <v>17.484559284473292</v>
      </c>
      <c r="AE245" s="63">
        <f t="shared" si="157"/>
        <v>-87.499795871576211</v>
      </c>
      <c r="AF245" s="32" t="str">
        <f t="shared" si="143"/>
        <v>-0.434440565864413</v>
      </c>
      <c r="AG245" s="32" t="str">
        <f t="shared" si="144"/>
        <v>0.30536578583575i</v>
      </c>
      <c r="AH245" s="32">
        <f t="shared" si="158"/>
        <v>0.30536578583575003</v>
      </c>
      <c r="AI245" s="32">
        <f t="shared" si="159"/>
        <v>1.5707963267948966</v>
      </c>
      <c r="AJ245" s="32" t="str">
        <f t="shared" si="145"/>
        <v>1+0.00302342362213614i</v>
      </c>
      <c r="AK245" s="32">
        <f t="shared" si="160"/>
        <v>1.0000045705347544</v>
      </c>
      <c r="AL245" s="32">
        <f t="shared" si="161"/>
        <v>3.0234144097237852E-3</v>
      </c>
      <c r="AM245" s="32" t="str">
        <f t="shared" si="146"/>
        <v>1+0.30536578583575i</v>
      </c>
      <c r="AN245" s="32">
        <f t="shared" si="162"/>
        <v>1.0455851295609961</v>
      </c>
      <c r="AO245" s="32">
        <f t="shared" si="163"/>
        <v>0.29637223490012377</v>
      </c>
      <c r="AP245" s="60" t="str">
        <f t="shared" si="164"/>
        <v>-0.430135242218048+1.42398955106491i</v>
      </c>
      <c r="AQ245" s="51">
        <f t="shared" si="165"/>
        <v>3.4493481615111095</v>
      </c>
      <c r="AR245" s="63">
        <f t="shared" si="166"/>
        <v>106.80764933924067</v>
      </c>
      <c r="AS245" s="60" t="str">
        <f t="shared" si="167"/>
        <v>10.5088436845537+3.68176188277517i</v>
      </c>
      <c r="AT245" s="66">
        <f t="shared" si="168"/>
        <v>20.933907445984392</v>
      </c>
      <c r="AU245" s="63">
        <f t="shared" si="169"/>
        <v>19.307853467664497</v>
      </c>
      <c r="AX245" s="32">
        <f t="shared" si="170"/>
        <v>0</v>
      </c>
      <c r="AY245" s="32">
        <f t="shared" si="171"/>
        <v>0</v>
      </c>
    </row>
    <row r="246" spans="14:51" x14ac:dyDescent="0.3">
      <c r="N246" s="11">
        <v>28</v>
      </c>
      <c r="O246" s="52">
        <f t="shared" si="172"/>
        <v>1905.4607179632501</v>
      </c>
      <c r="P246" s="50" t="str">
        <f t="shared" si="138"/>
        <v>131.578947368421</v>
      </c>
      <c r="Q246" s="18" t="str">
        <f t="shared" si="139"/>
        <v>1+17.9585441797719i</v>
      </c>
      <c r="R246" s="18">
        <f t="shared" si="147"/>
        <v>17.986364531411542</v>
      </c>
      <c r="S246" s="18">
        <f t="shared" si="148"/>
        <v>1.5151699716346643</v>
      </c>
      <c r="T246" s="18" t="str">
        <f t="shared" si="140"/>
        <v>1+0.0000395087971954982i</v>
      </c>
      <c r="U246" s="18">
        <f t="shared" si="149"/>
        <v>1.0000000007804726</v>
      </c>
      <c r="V246" s="18">
        <f t="shared" si="150"/>
        <v>3.9508797174941179E-5</v>
      </c>
      <c r="W246" s="32" t="str">
        <f t="shared" si="141"/>
        <v>1-0.00957789022921168i</v>
      </c>
      <c r="X246" s="18">
        <f t="shared" si="151"/>
        <v>1.0000458669387333</v>
      </c>
      <c r="Y246" s="18">
        <f t="shared" si="152"/>
        <v>-9.5775973662783481E-3</v>
      </c>
      <c r="Z246" s="32" t="str">
        <f t="shared" si="142"/>
        <v>0.999997676300449+0.00405380003122336i</v>
      </c>
      <c r="AA246" s="18">
        <f t="shared" si="153"/>
        <v>1.0000058929331321</v>
      </c>
      <c r="AB246" s="18">
        <f t="shared" si="154"/>
        <v>4.0537872453591962E-3</v>
      </c>
      <c r="AC246" s="68" t="str">
        <f t="shared" si="155"/>
        <v>0.307424269446985-7.30931346149979i</v>
      </c>
      <c r="AD246" s="66">
        <f t="shared" si="156"/>
        <v>17.285207540870097</v>
      </c>
      <c r="AE246" s="63">
        <f t="shared" si="157"/>
        <v>-87.591601739457573</v>
      </c>
      <c r="AF246" s="32" t="str">
        <f t="shared" si="143"/>
        <v>-0.434440565864413</v>
      </c>
      <c r="AG246" s="32" t="str">
        <f t="shared" si="144"/>
        <v>0.312478668728031i</v>
      </c>
      <c r="AH246" s="32">
        <f t="shared" si="158"/>
        <v>0.31247866872803098</v>
      </c>
      <c r="AI246" s="32">
        <f t="shared" si="159"/>
        <v>1.5707963267948966</v>
      </c>
      <c r="AJ246" s="32" t="str">
        <f t="shared" si="145"/>
        <v>1+0.00309384820522803i</v>
      </c>
      <c r="AK246" s="32">
        <f t="shared" si="160"/>
        <v>1.0000047859369059</v>
      </c>
      <c r="AL246" s="32">
        <f t="shared" si="161"/>
        <v>3.0938383339528959E-3</v>
      </c>
      <c r="AM246" s="32" t="str">
        <f t="shared" si="146"/>
        <v>1+0.312478668728031i</v>
      </c>
      <c r="AN246" s="32">
        <f t="shared" si="162"/>
        <v>1.0476845510028496</v>
      </c>
      <c r="AO246" s="32">
        <f t="shared" si="163"/>
        <v>0.30286543478498268</v>
      </c>
      <c r="AP246" s="60" t="str">
        <f t="shared" si="164"/>
        <v>-0.430135056914842+1.39163548563742i</v>
      </c>
      <c r="AQ246" s="51">
        <f t="shared" si="165"/>
        <v>3.2667691283642069</v>
      </c>
      <c r="AR246" s="63">
        <f t="shared" si="166"/>
        <v>107.17564729454286</v>
      </c>
      <c r="AS246" s="60" t="str">
        <f t="shared" si="167"/>
        <v>10.0396660330348+3.57181448427922i</v>
      </c>
      <c r="AT246" s="66">
        <f t="shared" si="168"/>
        <v>20.5519766692343</v>
      </c>
      <c r="AU246" s="63">
        <f t="shared" si="169"/>
        <v>19.584045555085314</v>
      </c>
      <c r="AX246" s="32">
        <f t="shared" si="170"/>
        <v>0</v>
      </c>
      <c r="AY246" s="32">
        <f t="shared" si="171"/>
        <v>0</v>
      </c>
    </row>
    <row r="247" spans="14:51" x14ac:dyDescent="0.3">
      <c r="N247" s="11">
        <v>29</v>
      </c>
      <c r="O247" s="52">
        <f t="shared" si="172"/>
        <v>1949.8445997580463</v>
      </c>
      <c r="P247" s="50" t="str">
        <f t="shared" si="138"/>
        <v>131.578947368421</v>
      </c>
      <c r="Q247" s="18" t="str">
        <f t="shared" si="139"/>
        <v>1+18.3768524107248i</v>
      </c>
      <c r="R247" s="18">
        <f t="shared" si="147"/>
        <v>18.404040440228389</v>
      </c>
      <c r="S247" s="18">
        <f t="shared" si="148"/>
        <v>1.5164336599092618</v>
      </c>
      <c r="T247" s="18" t="str">
        <f t="shared" si="140"/>
        <v>1+0.0000404290753035946i</v>
      </c>
      <c r="U247" s="18">
        <f t="shared" si="149"/>
        <v>1.0000000008172549</v>
      </c>
      <c r="V247" s="18">
        <f t="shared" si="150"/>
        <v>4.0429075281567352E-5</v>
      </c>
      <c r="W247" s="32" t="str">
        <f t="shared" si="141"/>
        <v>1-0.00980098795238656i</v>
      </c>
      <c r="X247" s="18">
        <f t="shared" si="151"/>
        <v>1.0000480285290516</v>
      </c>
      <c r="Y247" s="18">
        <f t="shared" si="152"/>
        <v>-9.8006741449136701E-3</v>
      </c>
      <c r="Z247" s="32" t="str">
        <f t="shared" si="142"/>
        <v>0.999997566787864+0.00414822516405834i</v>
      </c>
      <c r="AA247" s="18">
        <f t="shared" si="153"/>
        <v>1.0000061706577916</v>
      </c>
      <c r="AB247" s="18">
        <f t="shared" si="154"/>
        <v>4.1482114637623963E-3</v>
      </c>
      <c r="AC247" s="68" t="str">
        <f t="shared" si="155"/>
        <v>0.289158972123646-7.14390942296792i</v>
      </c>
      <c r="AD247" s="66">
        <f t="shared" si="156"/>
        <v>17.085828146612897</v>
      </c>
      <c r="AE247" s="63">
        <f t="shared" si="157"/>
        <v>-87.682144483282187</v>
      </c>
      <c r="AF247" s="32" t="str">
        <f t="shared" si="143"/>
        <v>-0.434440565864413</v>
      </c>
      <c r="AG247" s="32" t="str">
        <f t="shared" si="144"/>
        <v>0.319757231946612i</v>
      </c>
      <c r="AH247" s="32">
        <f t="shared" si="158"/>
        <v>0.31975723194661199</v>
      </c>
      <c r="AI247" s="32">
        <f t="shared" si="159"/>
        <v>1.5707963267948966</v>
      </c>
      <c r="AJ247" s="32" t="str">
        <f t="shared" si="145"/>
        <v>1+0.00316591318759022i</v>
      </c>
      <c r="AK247" s="32">
        <f t="shared" si="160"/>
        <v>1.0000050114905981</v>
      </c>
      <c r="AL247" s="32">
        <f t="shared" si="161"/>
        <v>3.1659026103312096E-3</v>
      </c>
      <c r="AM247" s="32" t="str">
        <f t="shared" si="146"/>
        <v>1+0.319757231946612i</v>
      </c>
      <c r="AN247" s="32">
        <f t="shared" si="162"/>
        <v>1.0498784155235117</v>
      </c>
      <c r="AO247" s="32">
        <f t="shared" si="163"/>
        <v>0.30948271127099769</v>
      </c>
      <c r="AP247" s="60" t="str">
        <f t="shared" si="164"/>
        <v>-0.430134862878736+1.36001928371085i</v>
      </c>
      <c r="AQ247" s="51">
        <f t="shared" si="165"/>
        <v>3.0849365137214537</v>
      </c>
      <c r="AR247" s="63">
        <f t="shared" si="166"/>
        <v>107.55066033017258</v>
      </c>
      <c r="AS247" s="60" t="str">
        <f t="shared" si="167"/>
        <v>9.59147722149546+3.46610627821258i</v>
      </c>
      <c r="AT247" s="66">
        <f t="shared" si="168"/>
        <v>20.170764660334342</v>
      </c>
      <c r="AU247" s="63">
        <f t="shared" si="169"/>
        <v>19.868515846890372</v>
      </c>
      <c r="AX247" s="32">
        <f t="shared" si="170"/>
        <v>0</v>
      </c>
      <c r="AY247" s="32">
        <f t="shared" si="171"/>
        <v>0</v>
      </c>
    </row>
    <row r="248" spans="14:51" x14ac:dyDescent="0.3">
      <c r="N248" s="11">
        <v>30</v>
      </c>
      <c r="O248" s="52">
        <f t="shared" si="172"/>
        <v>1995.2623149688804</v>
      </c>
      <c r="P248" s="50" t="str">
        <f t="shared" si="138"/>
        <v>131.578947368421</v>
      </c>
      <c r="Q248" s="18" t="str">
        <f t="shared" si="139"/>
        <v>1+18.8049042920724i</v>
      </c>
      <c r="R248" s="18">
        <f t="shared" si="147"/>
        <v>18.831474329802301</v>
      </c>
      <c r="S248" s="18">
        <f t="shared" si="148"/>
        <v>1.5176687510857456</v>
      </c>
      <c r="T248" s="18" t="str">
        <f t="shared" si="140"/>
        <v>1+0.0000413707894425593i</v>
      </c>
      <c r="U248" s="18">
        <f t="shared" si="149"/>
        <v>1.000000000855771</v>
      </c>
      <c r="V248" s="18">
        <f t="shared" si="150"/>
        <v>4.1370789418956682E-5</v>
      </c>
      <c r="W248" s="32" t="str">
        <f t="shared" si="141"/>
        <v>1-0.0100292822891053i</v>
      </c>
      <c r="X248" s="18">
        <f t="shared" si="151"/>
        <v>1.0000502919869754</v>
      </c>
      <c r="Y248" s="18">
        <f t="shared" si="152"/>
        <v>-1.0028946039253247E-2</v>
      </c>
      <c r="Z248" s="32" t="str">
        <f t="shared" si="142"/>
        <v>0.999997452114109+0.00424484974078359i</v>
      </c>
      <c r="AA248" s="18">
        <f t="shared" si="153"/>
        <v>1.0000064614711404</v>
      </c>
      <c r="AB248" s="18">
        <f t="shared" si="154"/>
        <v>4.2448350606568734E-3</v>
      </c>
      <c r="AC248" s="68" t="str">
        <f t="shared" si="155"/>
        <v>0.271711008778083-6.98220393972621i</v>
      </c>
      <c r="AD248" s="66">
        <f t="shared" si="156"/>
        <v>16.886422406475049</v>
      </c>
      <c r="AE248" s="63">
        <f t="shared" si="157"/>
        <v>-87.771471179193526</v>
      </c>
      <c r="AF248" s="32" t="str">
        <f t="shared" si="143"/>
        <v>-0.434440565864413</v>
      </c>
      <c r="AG248" s="32" t="str">
        <f t="shared" si="144"/>
        <v>0.32720533468206i</v>
      </c>
      <c r="AH248" s="32">
        <f t="shared" si="158"/>
        <v>0.32720533468205998</v>
      </c>
      <c r="AI248" s="32">
        <f t="shared" si="159"/>
        <v>1.5707963267948966</v>
      </c>
      <c r="AJ248" s="32" t="str">
        <f t="shared" si="145"/>
        <v>1+0.0032396567790303i</v>
      </c>
      <c r="AK248" s="32">
        <f t="shared" si="160"/>
        <v>1.000005247674254</v>
      </c>
      <c r="AL248" s="32">
        <f t="shared" si="161"/>
        <v>3.2396454452962857E-3</v>
      </c>
      <c r="AM248" s="32" t="str">
        <f t="shared" si="146"/>
        <v>1+0.32720533468206i</v>
      </c>
      <c r="AN248" s="32">
        <f t="shared" si="162"/>
        <v>1.0521707708563277</v>
      </c>
      <c r="AO248" s="32">
        <f t="shared" si="163"/>
        <v>0.31622525402504154</v>
      </c>
      <c r="AP248" s="60" t="str">
        <f t="shared" si="164"/>
        <v>-0.430134659698177+1.32912418195257i</v>
      </c>
      <c r="AQ248" s="51">
        <f t="shared" si="165"/>
        <v>2.9038789793164623</v>
      </c>
      <c r="AR248" s="63">
        <f t="shared" si="166"/>
        <v>107.9327544199529</v>
      </c>
      <c r="AS248" s="60" t="str">
        <f t="shared" si="167"/>
        <v>9.1633437773176+3.36442558782708i</v>
      </c>
      <c r="AT248" s="66">
        <f t="shared" si="168"/>
        <v>19.790301385791512</v>
      </c>
      <c r="AU248" s="63">
        <f t="shared" si="169"/>
        <v>20.161283240759381</v>
      </c>
      <c r="AX248" s="32">
        <f t="shared" si="170"/>
        <v>0</v>
      </c>
      <c r="AY248" s="32">
        <f t="shared" si="171"/>
        <v>0</v>
      </c>
    </row>
    <row r="249" spans="14:51" x14ac:dyDescent="0.3">
      <c r="N249" s="11">
        <v>31</v>
      </c>
      <c r="O249" s="52">
        <f t="shared" si="172"/>
        <v>2041.7379446695318</v>
      </c>
      <c r="P249" s="50" t="str">
        <f t="shared" si="138"/>
        <v>131.578947368421</v>
      </c>
      <c r="Q249" s="18" t="str">
        <f t="shared" si="139"/>
        <v>1+19.2429267825879i</v>
      </c>
      <c r="R249" s="18">
        <f t="shared" si="147"/>
        <v>19.268892836902662</v>
      </c>
      <c r="S249" s="18">
        <f t="shared" si="148"/>
        <v>1.5188758849447002</v>
      </c>
      <c r="T249" s="18" t="str">
        <f t="shared" si="140"/>
        <v>1+0.0000423344389216934i</v>
      </c>
      <c r="U249" s="18">
        <f t="shared" si="149"/>
        <v>1.0000000008961023</v>
      </c>
      <c r="V249" s="18">
        <f t="shared" si="150"/>
        <v>4.233443889640274E-5</v>
      </c>
      <c r="W249" s="32" t="str">
        <f t="shared" si="141"/>
        <v>1-0.0102628942840469i</v>
      </c>
      <c r="X249" s="18">
        <f t="shared" si="151"/>
        <v>1.0000526621128938</v>
      </c>
      <c r="Y249" s="18">
        <f t="shared" si="152"/>
        <v>-1.0262533986863749E-2</v>
      </c>
      <c r="Z249" s="32" t="str">
        <f t="shared" si="142"/>
        <v>0.999997332035946+0.00434372499302861i</v>
      </c>
      <c r="AA249" s="18">
        <f t="shared" si="153"/>
        <v>1.0000067659900231</v>
      </c>
      <c r="AB249" s="18">
        <f t="shared" si="154"/>
        <v>4.3437092629949004E-3</v>
      </c>
      <c r="AC249" s="68" t="str">
        <f t="shared" si="155"/>
        <v>0.255044009424869-6.82411719654705i</v>
      </c>
      <c r="AD249" s="66">
        <f t="shared" si="156"/>
        <v>16.686991570363048</v>
      </c>
      <c r="AE249" s="63">
        <f t="shared" si="157"/>
        <v>-87.859628319610877</v>
      </c>
      <c r="AF249" s="32" t="str">
        <f t="shared" si="143"/>
        <v>-0.434440565864413</v>
      </c>
      <c r="AG249" s="32" t="str">
        <f t="shared" si="144"/>
        <v>0.33482692601703i</v>
      </c>
      <c r="AH249" s="32">
        <f t="shared" si="158"/>
        <v>0.33482692601703001</v>
      </c>
      <c r="AI249" s="32">
        <f t="shared" si="159"/>
        <v>1.5707963267948966</v>
      </c>
      <c r="AJ249" s="32" t="str">
        <f t="shared" si="145"/>
        <v>1+0.00331511807937653i</v>
      </c>
      <c r="AK249" s="32">
        <f t="shared" si="160"/>
        <v>1.0000054949888426</v>
      </c>
      <c r="AL249" s="32">
        <f t="shared" si="161"/>
        <v>3.3151059350653373E-3</v>
      </c>
      <c r="AM249" s="32" t="str">
        <f t="shared" si="146"/>
        <v>1+0.33482692601703i</v>
      </c>
      <c r="AN249" s="32">
        <f t="shared" si="162"/>
        <v>1.0545658207935689</v>
      </c>
      <c r="AO249" s="32">
        <f t="shared" si="163"/>
        <v>0.32309418495200481</v>
      </c>
      <c r="AP249" s="60" t="str">
        <f t="shared" si="164"/>
        <v>-0.43013444694222+1.29893379936654i</v>
      </c>
      <c r="AQ249" s="51">
        <f t="shared" si="165"/>
        <v>2.7236260000870818</v>
      </c>
      <c r="AR249" s="63">
        <f t="shared" si="166"/>
        <v>108.32199160425105</v>
      </c>
      <c r="AS249" s="60" t="str">
        <f t="shared" si="167"/>
        <v>8.75437326349351+3.26657316037358i</v>
      </c>
      <c r="AT249" s="66">
        <f t="shared" si="168"/>
        <v>19.410617570450132</v>
      </c>
      <c r="AU249" s="63">
        <f t="shared" si="169"/>
        <v>20.46236328464019</v>
      </c>
      <c r="AX249" s="32">
        <f t="shared" si="170"/>
        <v>0</v>
      </c>
      <c r="AY249" s="32">
        <f t="shared" si="171"/>
        <v>0</v>
      </c>
    </row>
    <row r="250" spans="14:51" x14ac:dyDescent="0.3">
      <c r="N250" s="11">
        <v>32</v>
      </c>
      <c r="O250" s="52">
        <f t="shared" si="172"/>
        <v>2089.2961308540398</v>
      </c>
      <c r="P250" s="50" t="str">
        <f t="shared" si="138"/>
        <v>131.578947368421</v>
      </c>
      <c r="Q250" s="18" t="str">
        <f t="shared" si="139"/>
        <v>1+19.6911521275939i</v>
      </c>
      <c r="R250" s="18">
        <f t="shared" si="147"/>
        <v>19.716527891899371</v>
      </c>
      <c r="S250" s="18">
        <f t="shared" si="148"/>
        <v>1.5200556874444799</v>
      </c>
      <c r="T250" s="18" t="str">
        <f t="shared" si="140"/>
        <v>1+0.0000433205346807067i</v>
      </c>
      <c r="U250" s="18">
        <f t="shared" si="149"/>
        <v>1.0000000009383343</v>
      </c>
      <c r="V250" s="18">
        <f t="shared" si="150"/>
        <v>4.3320534653607267E-5</v>
      </c>
      <c r="W250" s="32" t="str">
        <f t="shared" si="141"/>
        <v>1-0.0105019478013834i</v>
      </c>
      <c r="X250" s="18">
        <f t="shared" si="151"/>
        <v>1.0000551439333847</v>
      </c>
      <c r="Y250" s="18">
        <f t="shared" si="152"/>
        <v>-1.0501561737145762E-2</v>
      </c>
      <c r="Z250" s="32" t="str">
        <f t="shared" si="142"/>
        <v>0.999997206298674+0.00444490334576097i</v>
      </c>
      <c r="AA250" s="18">
        <f t="shared" si="153"/>
        <v>1.0000070848603553</v>
      </c>
      <c r="AB250" s="18">
        <f t="shared" si="154"/>
        <v>4.4448864907323162E-3</v>
      </c>
      <c r="AC250" s="68" t="str">
        <f t="shared" si="155"/>
        <v>0.239123204643671-6.66957090515981i</v>
      </c>
      <c r="AD250" s="66">
        <f t="shared" si="156"/>
        <v>16.487536835878153</v>
      </c>
      <c r="AE250" s="63">
        <f t="shared" si="157"/>
        <v>-87.946661833791993</v>
      </c>
      <c r="AF250" s="32" t="str">
        <f t="shared" si="143"/>
        <v>-0.434440565864413</v>
      </c>
      <c r="AG250" s="32" t="str">
        <f t="shared" si="144"/>
        <v>0.342626047020135i</v>
      </c>
      <c r="AH250" s="32">
        <f t="shared" si="158"/>
        <v>0.34262604702013499</v>
      </c>
      <c r="AI250" s="32">
        <f t="shared" si="159"/>
        <v>1.5707963267948966</v>
      </c>
      <c r="AJ250" s="32" t="str">
        <f t="shared" si="145"/>
        <v>1+0.00339233709920926i</v>
      </c>
      <c r="AK250" s="32">
        <f t="shared" si="160"/>
        <v>1.0000057539589433</v>
      </c>
      <c r="AL250" s="32">
        <f t="shared" si="161"/>
        <v>3.3923240863494124E-3</v>
      </c>
      <c r="AM250" s="32" t="str">
        <f t="shared" si="146"/>
        <v>1+0.342626047020135i</v>
      </c>
      <c r="AN250" s="32">
        <f t="shared" si="162"/>
        <v>1.0570679297455976</v>
      </c>
      <c r="AO250" s="32">
        <f t="shared" si="163"/>
        <v>0.33009055244167829</v>
      </c>
      <c r="AP250" s="60" t="str">
        <f t="shared" si="164"/>
        <v>-0.430134224159608+1.26943212860784i</v>
      </c>
      <c r="AQ250" s="51">
        <f t="shared" si="165"/>
        <v>2.544207862315135</v>
      </c>
      <c r="AR250" s="63">
        <f t="shared" si="166"/>
        <v>108.7184296591616</v>
      </c>
      <c r="AS250" s="60" t="str">
        <f t="shared" si="167"/>
        <v>8.36371251692997+3.17236138543875i</v>
      </c>
      <c r="AT250" s="66">
        <f t="shared" si="168"/>
        <v>19.031744698193286</v>
      </c>
      <c r="AU250" s="63">
        <f t="shared" si="169"/>
        <v>20.77176782536959</v>
      </c>
      <c r="AX250" s="32">
        <f t="shared" si="170"/>
        <v>0</v>
      </c>
      <c r="AY250" s="32">
        <f t="shared" si="171"/>
        <v>0</v>
      </c>
    </row>
    <row r="251" spans="14:51" x14ac:dyDescent="0.3">
      <c r="N251" s="11">
        <v>33</v>
      </c>
      <c r="O251" s="52">
        <f t="shared" si="172"/>
        <v>2137.9620895022344</v>
      </c>
      <c r="P251" s="50" t="str">
        <f t="shared" si="138"/>
        <v>131.578947368421</v>
      </c>
      <c r="Q251" s="18" t="str">
        <f t="shared" si="139"/>
        <v>1+20.1498179821011i</v>
      </c>
      <c r="R251" s="18">
        <f t="shared" si="147"/>
        <v>20.174616841759473</v>
      </c>
      <c r="S251" s="18">
        <f t="shared" si="148"/>
        <v>1.5212087709868731</v>
      </c>
      <c r="T251" s="18" t="str">
        <f t="shared" si="140"/>
        <v>1+0.0000443295995606224i</v>
      </c>
      <c r="U251" s="18">
        <f t="shared" si="149"/>
        <v>1.0000000009825567</v>
      </c>
      <c r="V251" s="18">
        <f t="shared" si="150"/>
        <v>4.4329599531584834E-5</v>
      </c>
      <c r="W251" s="32" t="str">
        <f t="shared" si="141"/>
        <v>1-0.0107465695904539i</v>
      </c>
      <c r="X251" s="18">
        <f t="shared" si="151"/>
        <v>1.0000577427118709</v>
      </c>
      <c r="Y251" s="18">
        <f t="shared" si="152"/>
        <v>-1.0746155916460221E-2</v>
      </c>
      <c r="Z251" s="32" t="str">
        <f t="shared" si="142"/>
        <v>0.999997074635587+0.00454843844508247i</v>
      </c>
      <c r="AA251" s="18">
        <f t="shared" si="153"/>
        <v>1.0000074187584913</v>
      </c>
      <c r="AB251" s="18">
        <f t="shared" si="154"/>
        <v>4.5484203846007619E-3</v>
      </c>
      <c r="AC251" s="68" t="str">
        <f t="shared" si="155"/>
        <v>0.22391535671394-6.51848828850019i</v>
      </c>
      <c r="AD251" s="66">
        <f t="shared" si="156"/>
        <v>16.288059350775917</v>
      </c>
      <c r="AE251" s="63">
        <f t="shared" si="157"/>
        <v>-88.032617108361762</v>
      </c>
      <c r="AF251" s="32" t="str">
        <f t="shared" si="143"/>
        <v>-0.434440565864413</v>
      </c>
      <c r="AG251" s="32" t="str">
        <f t="shared" si="144"/>
        <v>0.350606832888559i</v>
      </c>
      <c r="AH251" s="32">
        <f t="shared" si="158"/>
        <v>0.35060683288855898</v>
      </c>
      <c r="AI251" s="32">
        <f t="shared" si="159"/>
        <v>1.5707963267948966</v>
      </c>
      <c r="AJ251" s="32" t="str">
        <f t="shared" si="145"/>
        <v>1+0.00347135478107485i</v>
      </c>
      <c r="AK251" s="32">
        <f t="shared" si="160"/>
        <v>1.0000060251338569</v>
      </c>
      <c r="AL251" s="32">
        <f t="shared" si="161"/>
        <v>3.4713408375488444E-3</v>
      </c>
      <c r="AM251" s="32" t="str">
        <f t="shared" si="146"/>
        <v>1+0.350606832888559i</v>
      </c>
      <c r="AN251" s="32">
        <f t="shared" si="162"/>
        <v>1.0596816273146128</v>
      </c>
      <c r="AO251" s="32">
        <f t="shared" si="163"/>
        <v>0.33721532542732369</v>
      </c>
      <c r="AP251" s="60" t="str">
        <f t="shared" si="164"/>
        <v>-0.430133990877823+1.24060352749542i</v>
      </c>
      <c r="AQ251" s="51">
        <f t="shared" si="165"/>
        <v>2.3656556592143509</v>
      </c>
      <c r="AR251" s="63">
        <f t="shared" si="166"/>
        <v>109.12212175487328</v>
      </c>
      <c r="AS251" s="60" t="str">
        <f t="shared" si="167"/>
        <v>7.99054595864872+3.08161356342265i</v>
      </c>
      <c r="AT251" s="66">
        <f t="shared" si="168"/>
        <v>18.653715009990272</v>
      </c>
      <c r="AU251" s="63">
        <f t="shared" si="169"/>
        <v>21.089504646511546</v>
      </c>
      <c r="AX251" s="32">
        <f t="shared" si="170"/>
        <v>0</v>
      </c>
      <c r="AY251" s="32">
        <f t="shared" si="171"/>
        <v>0</v>
      </c>
    </row>
    <row r="252" spans="14:51" x14ac:dyDescent="0.3">
      <c r="N252" s="11">
        <v>34</v>
      </c>
      <c r="O252" s="52">
        <f t="shared" si="172"/>
        <v>2187.7616239495528</v>
      </c>
      <c r="P252" s="50" t="str">
        <f t="shared" si="138"/>
        <v>131.578947368421</v>
      </c>
      <c r="Q252" s="18" t="str">
        <f t="shared" si="139"/>
        <v>1+20.6191675368168i</v>
      </c>
      <c r="R252" s="18">
        <f t="shared" si="147"/>
        <v>20.643402575915626</v>
      </c>
      <c r="S252" s="18">
        <f t="shared" si="148"/>
        <v>1.5223357346799378</v>
      </c>
      <c r="T252" s="18" t="str">
        <f t="shared" si="140"/>
        <v>1+0.000045362168580997i</v>
      </c>
      <c r="U252" s="18">
        <f t="shared" si="149"/>
        <v>1.0000000010288632</v>
      </c>
      <c r="V252" s="18">
        <f t="shared" si="150"/>
        <v>4.5362168549882686E-5</v>
      </c>
      <c r="W252" s="32" t="str">
        <f t="shared" si="141"/>
        <v>1-0.010996889352969i</v>
      </c>
      <c r="X252" s="18">
        <f t="shared" si="151"/>
        <v>1.0000604639597754</v>
      </c>
      <c r="Y252" s="18">
        <f t="shared" si="152"/>
        <v>-1.0996446094746102E-2</v>
      </c>
      <c r="Z252" s="32" t="str">
        <f t="shared" si="142"/>
        <v>0.999996936767409+0.00465438518667326i</v>
      </c>
      <c r="AA252" s="18">
        <f t="shared" si="153"/>
        <v>1.0000077683926598</v>
      </c>
      <c r="AB252" s="18">
        <f t="shared" si="154"/>
        <v>4.654365834526177E-3</v>
      </c>
      <c r="AC252" s="68" t="str">
        <f t="shared" si="155"/>
        <v>0.209388693573633-6.37079406408267i</v>
      </c>
      <c r="AD252" s="66">
        <f t="shared" si="156"/>
        <v>16.088560215325938</v>
      </c>
      <c r="AE252" s="63">
        <f t="shared" si="157"/>
        <v>-88.117539007800744</v>
      </c>
      <c r="AF252" s="32" t="str">
        <f t="shared" si="143"/>
        <v>-0.434440565864413</v>
      </c>
      <c r="AG252" s="32" t="str">
        <f t="shared" si="144"/>
        <v>0.358773515140613i</v>
      </c>
      <c r="AH252" s="32">
        <f t="shared" si="158"/>
        <v>0.35877351514061301</v>
      </c>
      <c r="AI252" s="32">
        <f t="shared" si="159"/>
        <v>1.5707963267948966</v>
      </c>
      <c r="AJ252" s="32" t="str">
        <f t="shared" si="145"/>
        <v>1+0.00355221302119418i</v>
      </c>
      <c r="AK252" s="32">
        <f t="shared" si="160"/>
        <v>1.0000063090887716</v>
      </c>
      <c r="AL252" s="32">
        <f t="shared" si="161"/>
        <v>3.5521980804419724E-3</v>
      </c>
      <c r="AM252" s="32" t="str">
        <f t="shared" si="146"/>
        <v>1+0.358773515140613i</v>
      </c>
      <c r="AN252" s="32">
        <f t="shared" si="162"/>
        <v>1.0624116128725023</v>
      </c>
      <c r="AO252" s="32">
        <f t="shared" si="163"/>
        <v>0.34446938726644938</v>
      </c>
      <c r="AP252" s="60" t="str">
        <f t="shared" si="164"/>
        <v>-0.430133746602078+1.21243271071825i</v>
      </c>
      <c r="AQ252" s="51">
        <f t="shared" si="165"/>
        <v>2.1880012837619645</v>
      </c>
      <c r="AR252" s="63">
        <f t="shared" si="166"/>
        <v>109.5331161038212</v>
      </c>
      <c r="AS252" s="60" t="str">
        <f t="shared" si="167"/>
        <v>7.63409397328055+2.99416322095739i</v>
      </c>
      <c r="AT252" s="66">
        <f t="shared" si="168"/>
        <v>18.276561499087904</v>
      </c>
      <c r="AU252" s="63">
        <f t="shared" si="169"/>
        <v>21.415577096020453</v>
      </c>
      <c r="AX252" s="32">
        <f t="shared" si="170"/>
        <v>0</v>
      </c>
      <c r="AY252" s="32">
        <f t="shared" si="171"/>
        <v>0</v>
      </c>
    </row>
    <row r="253" spans="14:51" x14ac:dyDescent="0.3">
      <c r="N253" s="11">
        <v>35</v>
      </c>
      <c r="O253" s="52">
        <f t="shared" si="172"/>
        <v>2238.7211385683418</v>
      </c>
      <c r="P253" s="50" t="str">
        <f t="shared" si="138"/>
        <v>131.578947368421</v>
      </c>
      <c r="Q253" s="18" t="str">
        <f t="shared" si="139"/>
        <v>1+21.0994496470875i</v>
      </c>
      <c r="R253" s="18">
        <f t="shared" si="147"/>
        <v>21.12313365507071</v>
      </c>
      <c r="S253" s="18">
        <f t="shared" si="148"/>
        <v>1.5234371645978595</v>
      </c>
      <c r="T253" s="18" t="str">
        <f t="shared" si="140"/>
        <v>1+0.0000464187892235925i</v>
      </c>
      <c r="U253" s="18">
        <f t="shared" si="149"/>
        <v>1.000000001077352</v>
      </c>
      <c r="V253" s="18">
        <f t="shared" si="150"/>
        <v>4.6418789190252917E-5</v>
      </c>
      <c r="W253" s="32" t="str">
        <f t="shared" si="141"/>
        <v>1-0.01125303981178i</v>
      </c>
      <c r="X253" s="18">
        <f t="shared" si="151"/>
        <v>1.0000633134482064</v>
      </c>
      <c r="Y253" s="18">
        <f t="shared" si="152"/>
        <v>-1.1252564853660961E-2</v>
      </c>
      <c r="Z253" s="32" t="str">
        <f t="shared" si="142"/>
        <v>0.999996792401705+0.00476279974489811i</v>
      </c>
      <c r="AA253" s="18">
        <f t="shared" si="153"/>
        <v>1.0000081345044691</v>
      </c>
      <c r="AB253" s="18">
        <f t="shared" si="154"/>
        <v>4.7627790087075798E-3</v>
      </c>
      <c r="AC253" s="68" t="str">
        <f t="shared" si="155"/>
        <v>0.195512845498725-6.22641442659618i</v>
      </c>
      <c r="AD253" s="66">
        <f t="shared" si="156"/>
        <v>15.889040484578121</v>
      </c>
      <c r="AE253" s="63">
        <f t="shared" si="157"/>
        <v>-88.201471894888016</v>
      </c>
      <c r="AF253" s="32" t="str">
        <f t="shared" si="143"/>
        <v>-0.434440565864413</v>
      </c>
      <c r="AG253" s="32" t="str">
        <f t="shared" si="144"/>
        <v>0.367130423859323i</v>
      </c>
      <c r="AH253" s="32">
        <f t="shared" si="158"/>
        <v>0.36713042385932299</v>
      </c>
      <c r="AI253" s="32">
        <f t="shared" si="159"/>
        <v>1.5707963267948966</v>
      </c>
      <c r="AJ253" s="32" t="str">
        <f t="shared" si="145"/>
        <v>1+0.00363495469167646i</v>
      </c>
      <c r="AK253" s="32">
        <f t="shared" si="160"/>
        <v>1.0000066064259829</v>
      </c>
      <c r="AL253" s="32">
        <f t="shared" si="161"/>
        <v>3.6349386823777475E-3</v>
      </c>
      <c r="AM253" s="32" t="str">
        <f t="shared" si="146"/>
        <v>1+0.367130423859323i</v>
      </c>
      <c r="AN253" s="32">
        <f t="shared" si="162"/>
        <v>1.0652627601315678</v>
      </c>
      <c r="AO253" s="32">
        <f t="shared" si="163"/>
        <v>0.351853529456368</v>
      </c>
      <c r="AP253" s="60" t="str">
        <f t="shared" si="164"/>
        <v>-0.430133490814268+1.18490474173093i</v>
      </c>
      <c r="AQ253" s="51">
        <f t="shared" si="165"/>
        <v>2.0112774185715345</v>
      </c>
      <c r="AR253" s="63">
        <f t="shared" si="166"/>
        <v>109.95145559934278</v>
      </c>
      <c r="AS253" s="60" t="str">
        <f t="shared" si="167"/>
        <v>7.29361135532229+2.90985347026888i</v>
      </c>
      <c r="AT253" s="66">
        <f t="shared" si="168"/>
        <v>17.900317903149659</v>
      </c>
      <c r="AU253" s="63">
        <f t="shared" si="169"/>
        <v>21.749983704454756</v>
      </c>
      <c r="AX253" s="32">
        <f t="shared" si="170"/>
        <v>0</v>
      </c>
      <c r="AY253" s="32">
        <f t="shared" si="171"/>
        <v>0</v>
      </c>
    </row>
    <row r="254" spans="14:51" x14ac:dyDescent="0.3">
      <c r="N254" s="11">
        <v>36</v>
      </c>
      <c r="O254" s="52">
        <f t="shared" si="172"/>
        <v>2290.8676527677749</v>
      </c>
      <c r="P254" s="50" t="str">
        <f t="shared" si="138"/>
        <v>131.578947368421</v>
      </c>
      <c r="Q254" s="18" t="str">
        <f t="shared" si="139"/>
        <v>1+21.5909189648452i</v>
      </c>
      <c r="R254" s="18">
        <f t="shared" si="147"/>
        <v>21.614064443008221</v>
      </c>
      <c r="S254" s="18">
        <f t="shared" si="148"/>
        <v>1.5245136340377046</v>
      </c>
      <c r="T254" s="18" t="str">
        <f t="shared" si="140"/>
        <v>1+0.0000475000217226596i</v>
      </c>
      <c r="U254" s="18">
        <f t="shared" si="149"/>
        <v>1.000000001128126</v>
      </c>
      <c r="V254" s="18">
        <f t="shared" si="150"/>
        <v>4.7500021686935596E-5</v>
      </c>
      <c r="W254" s="32" t="str">
        <f t="shared" si="141"/>
        <v>1-0.0115151567812508i</v>
      </c>
      <c r="X254" s="18">
        <f t="shared" si="151"/>
        <v>1.0000662972201877</v>
      </c>
      <c r="Y254" s="18">
        <f t="shared" si="152"/>
        <v>-1.1514647856279215E-2</v>
      </c>
      <c r="Z254" s="32" t="str">
        <f t="shared" si="142"/>
        <v>0.999996641232254+0.0048737396025908i</v>
      </c>
      <c r="AA254" s="18">
        <f t="shared" si="153"/>
        <v>1.0000085178704743</v>
      </c>
      <c r="AB254" s="18">
        <f t="shared" si="154"/>
        <v>4.8737173833720603E-3</v>
      </c>
      <c r="AC254" s="68" t="str">
        <f t="shared" si="155"/>
        <v>0.18225878440274-6.08527702981366i</v>
      </c>
      <c r="AD254" s="66">
        <f t="shared" si="156"/>
        <v>15.689501170538701</v>
      </c>
      <c r="AE254" s="63">
        <f t="shared" si="157"/>
        <v>-88.284459651093684</v>
      </c>
      <c r="AF254" s="32" t="str">
        <f t="shared" si="143"/>
        <v>-0.434440565864413</v>
      </c>
      <c r="AG254" s="32" t="str">
        <f t="shared" si="144"/>
        <v>0.375681989988308i</v>
      </c>
      <c r="AH254" s="32">
        <f t="shared" si="158"/>
        <v>0.37568198998830798</v>
      </c>
      <c r="AI254" s="32">
        <f t="shared" si="159"/>
        <v>1.5707963267948966</v>
      </c>
      <c r="AJ254" s="32" t="str">
        <f t="shared" si="145"/>
        <v>1+0.00371962366325057i</v>
      </c>
      <c r="AK254" s="32">
        <f t="shared" si="160"/>
        <v>1.0000069177761703</v>
      </c>
      <c r="AL254" s="32">
        <f t="shared" si="161"/>
        <v>3.719606508984345E-3</v>
      </c>
      <c r="AM254" s="32" t="str">
        <f t="shared" si="146"/>
        <v>1+0.375681989988308i</v>
      </c>
      <c r="AN254" s="32">
        <f t="shared" si="162"/>
        <v>1.0682401216962294</v>
      </c>
      <c r="AO254" s="32">
        <f t="shared" si="163"/>
        <v>0.35936844519956401</v>
      </c>
      <c r="AP254" s="60" t="str">
        <f t="shared" si="164"/>
        <v>-0.430133222971877+1.15800502483409i</v>
      </c>
      <c r="AQ254" s="51">
        <f t="shared" si="165"/>
        <v>1.8355175225979021</v>
      </c>
      <c r="AR254" s="63">
        <f t="shared" si="166"/>
        <v>110.37717744569927</v>
      </c>
      <c r="AS254" s="60" t="str">
        <f t="shared" si="167"/>
        <v>6.9683858196816+2.82853640966901i</v>
      </c>
      <c r="AT254" s="66">
        <f t="shared" si="168"/>
        <v>17.525018693136609</v>
      </c>
      <c r="AU254" s="63">
        <f t="shared" si="169"/>
        <v>22.092717794605623</v>
      </c>
      <c r="AX254" s="32">
        <f t="shared" si="170"/>
        <v>0</v>
      </c>
      <c r="AY254" s="32">
        <f t="shared" si="171"/>
        <v>0</v>
      </c>
    </row>
    <row r="255" spans="14:51" x14ac:dyDescent="0.3">
      <c r="N255" s="11">
        <v>37</v>
      </c>
      <c r="O255" s="52">
        <f t="shared" si="172"/>
        <v>2344.2288153199238</v>
      </c>
      <c r="P255" s="50" t="str">
        <f t="shared" si="138"/>
        <v>131.578947368421</v>
      </c>
      <c r="Q255" s="18" t="str">
        <f t="shared" si="139"/>
        <v>1+22.0938360736278i</v>
      </c>
      <c r="R255" s="18">
        <f t="shared" si="147"/>
        <v>22.116455241478842</v>
      </c>
      <c r="S255" s="18">
        <f t="shared" si="148"/>
        <v>1.525565703772958</v>
      </c>
      <c r="T255" s="18" t="str">
        <f t="shared" si="140"/>
        <v>1+0.0000486064393619812i</v>
      </c>
      <c r="U255" s="18">
        <f t="shared" si="149"/>
        <v>1.0000000011812928</v>
      </c>
      <c r="V255" s="18">
        <f t="shared" si="150"/>
        <v>4.8606439323702236E-5</v>
      </c>
      <c r="W255" s="32" t="str">
        <f t="shared" si="141"/>
        <v>1-0.0117833792392682i</v>
      </c>
      <c r="X255" s="18">
        <f t="shared" si="151"/>
        <v>1.0000694216034687</v>
      </c>
      <c r="Y255" s="18">
        <f t="shared" si="152"/>
        <v>-1.1782833918380692E-2</v>
      </c>
      <c r="Z255" s="32" t="str">
        <f t="shared" si="142"/>
        <v>0.999996482938407+0.00498726358153235i</v>
      </c>
      <c r="AA255" s="18">
        <f t="shared" si="153"/>
        <v>1.0000089193038308</v>
      </c>
      <c r="AB255" s="18">
        <f t="shared" si="154"/>
        <v>4.9872397732214349E-3</v>
      </c>
      <c r="AC255" s="68" t="str">
        <f t="shared" si="155"/>
        <v>0.169598765658257-5.94731096790044i</v>
      </c>
      <c r="AD255" s="66">
        <f t="shared" si="156"/>
        <v>15.489943244260047</v>
      </c>
      <c r="AE255" s="63">
        <f t="shared" si="157"/>
        <v>-88.366545696917427</v>
      </c>
      <c r="AF255" s="32" t="str">
        <f t="shared" si="143"/>
        <v>-0.434440565864413</v>
      </c>
      <c r="AG255" s="32" t="str">
        <f t="shared" si="144"/>
        <v>0.384432747681124i</v>
      </c>
      <c r="AH255" s="32">
        <f t="shared" si="158"/>
        <v>0.38443274768112401</v>
      </c>
      <c r="AI255" s="32">
        <f t="shared" si="159"/>
        <v>1.5707963267948966</v>
      </c>
      <c r="AJ255" s="32" t="str">
        <f t="shared" si="145"/>
        <v>1+0.00380626482852598i</v>
      </c>
      <c r="AK255" s="32">
        <f t="shared" si="160"/>
        <v>1.000007243799736</v>
      </c>
      <c r="AL255" s="32">
        <f t="shared" si="161"/>
        <v>3.8062464474057441E-3</v>
      </c>
      <c r="AM255" s="32" t="str">
        <f t="shared" si="146"/>
        <v>1+0.384432747681124i</v>
      </c>
      <c r="AN255" s="32">
        <f t="shared" si="162"/>
        <v>1.0713489335831061</v>
      </c>
      <c r="AO255" s="32">
        <f t="shared" si="163"/>
        <v>0.36701472283626146</v>
      </c>
      <c r="AP255" s="60" t="str">
        <f t="shared" si="164"/>
        <v>-0.43013294250682+1.1317192974355i</v>
      </c>
      <c r="AQ255" s="51">
        <f t="shared" si="165"/>
        <v>1.6607558144683137</v>
      </c>
      <c r="AR255" s="63">
        <f t="shared" si="166"/>
        <v>110.81031278045843</v>
      </c>
      <c r="AS255" s="60" t="str">
        <f t="shared" si="167"/>
        <v>6.65773657410462+2.75007256254279i</v>
      </c>
      <c r="AT255" s="66">
        <f t="shared" si="168"/>
        <v>17.150699058728364</v>
      </c>
      <c r="AU255" s="63">
        <f t="shared" si="169"/>
        <v>22.443767083541001</v>
      </c>
      <c r="AX255" s="32">
        <f t="shared" si="170"/>
        <v>0</v>
      </c>
      <c r="AY255" s="32">
        <f t="shared" si="171"/>
        <v>0</v>
      </c>
    </row>
    <row r="256" spans="14:51" x14ac:dyDescent="0.3">
      <c r="N256" s="11">
        <v>38</v>
      </c>
      <c r="O256" s="52">
        <f t="shared" si="172"/>
        <v>2398.8329190194918</v>
      </c>
      <c r="P256" s="50" t="str">
        <f t="shared" si="138"/>
        <v>131.578947368421</v>
      </c>
      <c r="Q256" s="18" t="str">
        <f t="shared" si="139"/>
        <v>1+22.608467626743i</v>
      </c>
      <c r="R256" s="18">
        <f t="shared" si="147"/>
        <v>22.630572428232703</v>
      </c>
      <c r="S256" s="18">
        <f t="shared" si="148"/>
        <v>1.5265939223037455</v>
      </c>
      <c r="T256" s="18" t="str">
        <f t="shared" si="140"/>
        <v>1+0.0000497386287788346i</v>
      </c>
      <c r="U256" s="18">
        <f t="shared" si="149"/>
        <v>1.0000000012369656</v>
      </c>
      <c r="V256" s="18">
        <f t="shared" si="150"/>
        <v>4.9738628737817951E-5</v>
      </c>
      <c r="W256" s="32" t="str">
        <f t="shared" si="141"/>
        <v>1-0.0120578494009296i</v>
      </c>
      <c r="X256" s="18">
        <f t="shared" si="151"/>
        <v>1.0000726932239352</v>
      </c>
      <c r="Y256" s="18">
        <f t="shared" si="152"/>
        <v>-1.2057265081364989E-2</v>
      </c>
      <c r="Z256" s="32" t="str">
        <f t="shared" si="142"/>
        <v>0.999996317184401+0.00510343187363906i</v>
      </c>
      <c r="AA256" s="18">
        <f t="shared" si="153"/>
        <v>1.0000093396560124</v>
      </c>
      <c r="AB256" s="18">
        <f t="shared" si="154"/>
        <v>5.1034063625865333E-3</v>
      </c>
      <c r="AC256" s="68" t="str">
        <f t="shared" si="155"/>
        <v>0.157506272345089-5.81244675620072i</v>
      </c>
      <c r="AD256" s="66">
        <f t="shared" si="156"/>
        <v>15.290367637849238</v>
      </c>
      <c r="AE256" s="63">
        <f t="shared" si="157"/>
        <v>-88.447773012170558</v>
      </c>
      <c r="AF256" s="32" t="str">
        <f t="shared" si="143"/>
        <v>-0.434440565864413</v>
      </c>
      <c r="AG256" s="32" t="str">
        <f t="shared" si="144"/>
        <v>0.393387336705328i</v>
      </c>
      <c r="AH256" s="32">
        <f t="shared" si="158"/>
        <v>0.39338733670532799</v>
      </c>
      <c r="AI256" s="32">
        <f t="shared" si="159"/>
        <v>1.5707963267948966</v>
      </c>
      <c r="AJ256" s="32" t="str">
        <f t="shared" si="145"/>
        <v>1+0.00389492412579533i</v>
      </c>
      <c r="AK256" s="32">
        <f t="shared" si="160"/>
        <v>1.0000075851882053</v>
      </c>
      <c r="AL256" s="32">
        <f t="shared" si="161"/>
        <v>3.8949044300782137E-3</v>
      </c>
      <c r="AM256" s="32" t="str">
        <f t="shared" si="146"/>
        <v>1+0.393387336705328i</v>
      </c>
      <c r="AN256" s="32">
        <f t="shared" si="162"/>
        <v>1.0745946196962419</v>
      </c>
      <c r="AO256" s="32">
        <f t="shared" si="163"/>
        <v>0.37479283916421513</v>
      </c>
      <c r="AP256" s="60" t="str">
        <f t="shared" si="164"/>
        <v>-0.430132648824244+1.10603362248784i</v>
      </c>
      <c r="AQ256" s="51">
        <f t="shared" si="165"/>
        <v>1.4870272522355723</v>
      </c>
      <c r="AR256" s="63">
        <f t="shared" si="166"/>
        <v>111.2508862903847</v>
      </c>
      <c r="AS256" s="60" t="str">
        <f t="shared" si="167"/>
        <v>6.36101295114815+2.6743303523609i</v>
      </c>
      <c r="AT256" s="66">
        <f t="shared" si="168"/>
        <v>16.77739489008481</v>
      </c>
      <c r="AU256" s="63">
        <f t="shared" si="169"/>
        <v>22.80311327821417</v>
      </c>
      <c r="AX256" s="32">
        <f t="shared" si="170"/>
        <v>0</v>
      </c>
      <c r="AY256" s="32">
        <f t="shared" si="171"/>
        <v>0</v>
      </c>
    </row>
    <row r="257" spans="14:51" x14ac:dyDescent="0.3">
      <c r="N257" s="11">
        <v>39</v>
      </c>
      <c r="O257" s="52">
        <f t="shared" si="172"/>
        <v>2454.7089156850338</v>
      </c>
      <c r="P257" s="50" t="str">
        <f t="shared" si="138"/>
        <v>131.578947368421</v>
      </c>
      <c r="Q257" s="18" t="str">
        <f t="shared" si="139"/>
        <v>1+23.1350864886523i</v>
      </c>
      <c r="R257" s="18">
        <f t="shared" si="147"/>
        <v>23.156688598273764</v>
      </c>
      <c r="S257" s="18">
        <f t="shared" si="148"/>
        <v>1.5275988261036564</v>
      </c>
      <c r="T257" s="18" t="str">
        <f t="shared" si="140"/>
        <v>1+0.0000508971902750352i</v>
      </c>
      <c r="U257" s="18">
        <f t="shared" si="149"/>
        <v>1.0000000012952619</v>
      </c>
      <c r="V257" s="18">
        <f t="shared" si="150"/>
        <v>5.0897190231085073E-5</v>
      </c>
      <c r="W257" s="32" t="str">
        <f t="shared" si="141"/>
        <v>1-0.0123387127939479i</v>
      </c>
      <c r="X257" s="18">
        <f t="shared" si="151"/>
        <v>1.0000761190196532</v>
      </c>
      <c r="Y257" s="18">
        <f t="shared" si="152"/>
        <v>-1.233808668682777E-2</v>
      </c>
      <c r="Z257" s="32" t="str">
        <f t="shared" si="142"/>
        <v>0.999996143618649+0.00522230607287708i</v>
      </c>
      <c r="AA257" s="18">
        <f t="shared" si="153"/>
        <v>1.0000097798186218</v>
      </c>
      <c r="AB257" s="18">
        <f t="shared" si="154"/>
        <v>5.2222787373055407E-3</v>
      </c>
      <c r="AC257" s="68" t="str">
        <f t="shared" si="155"/>
        <v>0.145955961832466-5.68061631157384i</v>
      </c>
      <c r="AD257" s="66">
        <f t="shared" si="156"/>
        <v>15.090775246397625</v>
      </c>
      <c r="AE257" s="63">
        <f t="shared" si="157"/>
        <v>-88.528184156199458</v>
      </c>
      <c r="AF257" s="32" t="str">
        <f t="shared" si="143"/>
        <v>-0.434440565864413</v>
      </c>
      <c r="AG257" s="32" t="str">
        <f t="shared" si="144"/>
        <v>0.402550504902551i</v>
      </c>
      <c r="AH257" s="32">
        <f t="shared" si="158"/>
        <v>0.40255050490255101</v>
      </c>
      <c r="AI257" s="32">
        <f t="shared" si="159"/>
        <v>1.5707963267948966</v>
      </c>
      <c r="AJ257" s="32" t="str">
        <f t="shared" si="145"/>
        <v>1+0.0039856485633916i</v>
      </c>
      <c r="AK257" s="32">
        <f t="shared" si="160"/>
        <v>1.0000079426656925</v>
      </c>
      <c r="AL257" s="32">
        <f t="shared" si="161"/>
        <v>3.9856274590595328E-3</v>
      </c>
      <c r="AM257" s="32" t="str">
        <f t="shared" si="146"/>
        <v>1+0.402550504902551i</v>
      </c>
      <c r="AN257" s="32">
        <f t="shared" si="162"/>
        <v>1.0779827962436592</v>
      </c>
      <c r="AO257" s="32">
        <f t="shared" si="163"/>
        <v>0.38270315266844923</v>
      </c>
      <c r="AP257" s="60" t="str">
        <f t="shared" si="164"/>
        <v>-0.430132341301265+1.08093438109906i</v>
      </c>
      <c r="AQ257" s="51">
        <f t="shared" si="165"/>
        <v>1.314367509352268</v>
      </c>
      <c r="AR257" s="63">
        <f t="shared" si="166"/>
        <v>111.69891582213742</v>
      </c>
      <c r="AS257" s="60" t="str">
        <f t="shared" si="167"/>
        <v>6.07759309742242+2.60118561140251i</v>
      </c>
      <c r="AT257" s="66">
        <f t="shared" si="168"/>
        <v>16.405142755749896</v>
      </c>
      <c r="AU257" s="63">
        <f t="shared" si="169"/>
        <v>23.170731665937996</v>
      </c>
      <c r="AX257" s="32">
        <f t="shared" si="170"/>
        <v>0</v>
      </c>
      <c r="AY257" s="32">
        <f t="shared" si="171"/>
        <v>0</v>
      </c>
    </row>
    <row r="258" spans="14:51" x14ac:dyDescent="0.3">
      <c r="N258" s="11">
        <v>40</v>
      </c>
      <c r="O258" s="52">
        <f t="shared" si="172"/>
        <v>2511.8864315095811</v>
      </c>
      <c r="P258" s="50" t="str">
        <f t="shared" si="138"/>
        <v>131.578947368421</v>
      </c>
      <c r="Q258" s="18" t="str">
        <f t="shared" si="139"/>
        <v>1+23.6739718796472i</v>
      </c>
      <c r="R258" s="18">
        <f t="shared" si="147"/>
        <v>23.695082708408645</v>
      </c>
      <c r="S258" s="18">
        <f t="shared" si="148"/>
        <v>1.5285809398630956</v>
      </c>
      <c r="T258" s="18" t="str">
        <f t="shared" si="140"/>
        <v>1+0.0000520827381352238i</v>
      </c>
      <c r="U258" s="18">
        <f t="shared" si="149"/>
        <v>1.0000000013563057</v>
      </c>
      <c r="V258" s="18">
        <f t="shared" si="150"/>
        <v>5.2082738088130389E-5</v>
      </c>
      <c r="W258" s="32" t="str">
        <f t="shared" si="141"/>
        <v>1-0.0126261183358118i</v>
      </c>
      <c r="X258" s="18">
        <f t="shared" si="151"/>
        <v>1.0000797062555713</v>
      </c>
      <c r="Y258" s="18">
        <f t="shared" si="152"/>
        <v>-1.2625447452833231E-2</v>
      </c>
      <c r="Z258" s="32" t="str">
        <f t="shared" si="142"/>
        <v>0.999995961872995+0.00534394920792036i</v>
      </c>
      <c r="AA258" s="18">
        <f t="shared" si="153"/>
        <v>1.0000102407252804</v>
      </c>
      <c r="AB258" s="18">
        <f t="shared" si="154"/>
        <v>5.3439199173431528E-3</v>
      </c>
      <c r="AC258" s="68" t="str">
        <f t="shared" si="155"/>
        <v>0.134923614605415-5.55175293234864i</v>
      </c>
      <c r="AD258" s="66">
        <f t="shared" si="156"/>
        <v>14.89116692983651</v>
      </c>
      <c r="AE258" s="63">
        <f t="shared" si="157"/>
        <v>-88.607821288049351</v>
      </c>
      <c r="AF258" s="32" t="str">
        <f t="shared" si="143"/>
        <v>-0.434440565864413</v>
      </c>
      <c r="AG258" s="32" t="str">
        <f t="shared" si="144"/>
        <v>0.411927110705862i</v>
      </c>
      <c r="AH258" s="32">
        <f t="shared" si="158"/>
        <v>0.41192711070586202</v>
      </c>
      <c r="AI258" s="32">
        <f t="shared" si="159"/>
        <v>1.5707963267948966</v>
      </c>
      <c r="AJ258" s="32" t="str">
        <f t="shared" si="145"/>
        <v>1+0.00407848624461249i</v>
      </c>
      <c r="AK258" s="32">
        <f t="shared" si="160"/>
        <v>1.0000083169904377</v>
      </c>
      <c r="AL258" s="32">
        <f t="shared" si="161"/>
        <v>4.0784636309234134E-3</v>
      </c>
      <c r="AM258" s="32" t="str">
        <f t="shared" si="146"/>
        <v>1+0.411927110705862i</v>
      </c>
      <c r="AN258" s="32">
        <f t="shared" si="162"/>
        <v>1.0815192760808656</v>
      </c>
      <c r="AO258" s="32">
        <f t="shared" si="163"/>
        <v>0.39074589668643078</v>
      </c>
      <c r="AP258" s="60" t="str">
        <f t="shared" si="164"/>
        <v>-0.430132019285645+1.05640826531143i</v>
      </c>
      <c r="AQ258" s="51">
        <f t="shared" si="165"/>
        <v>1.1428129466721351</v>
      </c>
      <c r="AR258" s="63">
        <f t="shared" si="166"/>
        <v>112.15441198923796</v>
      </c>
      <c r="AS258" s="60" t="str">
        <f t="shared" si="167"/>
        <v>5.80688271790053+2.53052112102098i</v>
      </c>
      <c r="AT258" s="66">
        <f t="shared" si="168"/>
        <v>16.033979876508649</v>
      </c>
      <c r="AU258" s="63">
        <f t="shared" si="169"/>
        <v>23.546590701188638</v>
      </c>
      <c r="AX258" s="32">
        <f t="shared" si="170"/>
        <v>0</v>
      </c>
      <c r="AY258" s="32">
        <f t="shared" si="171"/>
        <v>0</v>
      </c>
    </row>
    <row r="259" spans="14:51" x14ac:dyDescent="0.3">
      <c r="N259" s="11">
        <v>41</v>
      </c>
      <c r="O259" s="52">
        <f t="shared" si="172"/>
        <v>2570.3957827688669</v>
      </c>
      <c r="P259" s="50" t="str">
        <f t="shared" si="138"/>
        <v>131.578947368421</v>
      </c>
      <c r="Q259" s="18" t="str">
        <f t="shared" si="139"/>
        <v>1+24.2254095238945i</v>
      </c>
      <c r="R259" s="18">
        <f t="shared" si="147"/>
        <v>24.246040225166627</v>
      </c>
      <c r="S259" s="18">
        <f t="shared" si="148"/>
        <v>1.5295407767290974</v>
      </c>
      <c r="T259" s="18" t="str">
        <f t="shared" si="140"/>
        <v>1+0.000053295900952568i</v>
      </c>
      <c r="U259" s="18">
        <f t="shared" si="149"/>
        <v>1.0000000014202264</v>
      </c>
      <c r="V259" s="18">
        <f t="shared" si="150"/>
        <v>5.32959009021065E-5</v>
      </c>
      <c r="W259" s="32" t="str">
        <f t="shared" si="141"/>
        <v>1-0.0129202184127438i</v>
      </c>
      <c r="X259" s="18">
        <f t="shared" si="151"/>
        <v>1.0000834625389188</v>
      </c>
      <c r="Y259" s="18">
        <f t="shared" si="152"/>
        <v>-1.2919499551920835E-2</v>
      </c>
      <c r="Z259" s="32" t="str">
        <f t="shared" si="142"/>
        <v>0.999995771561933+0.00546842577556918i</v>
      </c>
      <c r="AA259" s="18">
        <f t="shared" si="153"/>
        <v>1.0000107233536091</v>
      </c>
      <c r="AB259" s="18">
        <f t="shared" si="154"/>
        <v>5.4683943901675343E-3</v>
      </c>
      <c r="AC259" s="68" t="str">
        <f t="shared" si="155"/>
        <v>0.124386085248214-5.42579127795796i</v>
      </c>
      <c r="AD259" s="66">
        <f t="shared" si="156"/>
        <v>14.691543514722323</v>
      </c>
      <c r="AE259" s="63">
        <f t="shared" si="157"/>
        <v>-88.686726186567839</v>
      </c>
      <c r="AF259" s="32" t="str">
        <f t="shared" si="143"/>
        <v>-0.434440565864413</v>
      </c>
      <c r="AG259" s="32" t="str">
        <f t="shared" si="144"/>
        <v>0.421522125715766i</v>
      </c>
      <c r="AH259" s="32">
        <f t="shared" si="158"/>
        <v>0.42152212571576603</v>
      </c>
      <c r="AI259" s="32">
        <f t="shared" si="159"/>
        <v>1.5707963267948966</v>
      </c>
      <c r="AJ259" s="32" t="str">
        <f t="shared" si="145"/>
        <v>1+0.0041734863932254i</v>
      </c>
      <c r="AK259" s="32">
        <f t="shared" si="160"/>
        <v>1.0000087089564142</v>
      </c>
      <c r="AL259" s="32">
        <f t="shared" si="161"/>
        <v>4.1734621622323892E-3</v>
      </c>
      <c r="AM259" s="32" t="str">
        <f t="shared" si="146"/>
        <v>1+0.421522125715766i</v>
      </c>
      <c r="AN259" s="32">
        <f t="shared" si="162"/>
        <v>1.0852100729664915</v>
      </c>
      <c r="AO259" s="32">
        <f t="shared" si="163"/>
        <v>0.39892117253705695</v>
      </c>
      <c r="AP259" s="60" t="str">
        <f t="shared" si="164"/>
        <v>-0.430131682094414+1.03244227104548i</v>
      </c>
      <c r="AQ259" s="51">
        <f t="shared" si="165"/>
        <v>0.97240058029347809</v>
      </c>
      <c r="AR259" s="63">
        <f t="shared" si="166"/>
        <v>112.61737777693004</v>
      </c>
      <c r="AS259" s="60" t="str">
        <f t="shared" si="167"/>
        <v>5.54831387315672+2.46222618142138i</v>
      </c>
      <c r="AT259" s="66">
        <f t="shared" si="168"/>
        <v>15.663944095015802</v>
      </c>
      <c r="AU259" s="63">
        <f t="shared" si="169"/>
        <v>23.930651590362203</v>
      </c>
      <c r="AX259" s="32">
        <f t="shared" si="170"/>
        <v>0</v>
      </c>
      <c r="AY259" s="32">
        <f t="shared" si="171"/>
        <v>0</v>
      </c>
    </row>
    <row r="260" spans="14:51" x14ac:dyDescent="0.3">
      <c r="N260" s="11">
        <v>42</v>
      </c>
      <c r="O260" s="52">
        <f t="shared" si="172"/>
        <v>2630.2679918953822</v>
      </c>
      <c r="P260" s="50" t="str">
        <f t="shared" si="138"/>
        <v>131.578947368421</v>
      </c>
      <c r="Q260" s="18" t="str">
        <f t="shared" si="139"/>
        <v>1+24.7896918009327i</v>
      </c>
      <c r="R260" s="18">
        <f t="shared" si="147"/>
        <v>24.809853276172955</v>
      </c>
      <c r="S260" s="18">
        <f t="shared" si="148"/>
        <v>1.5304788385415617</v>
      </c>
      <c r="T260" s="18" t="str">
        <f t="shared" si="140"/>
        <v>1+0.000054537321962052i</v>
      </c>
      <c r="U260" s="18">
        <f t="shared" si="149"/>
        <v>1.0000000014871597</v>
      </c>
      <c r="V260" s="18">
        <f t="shared" si="150"/>
        <v>5.4537321907981529E-5</v>
      </c>
      <c r="W260" s="32" t="str">
        <f t="shared" si="141"/>
        <v>1-0.0132211689604974i</v>
      </c>
      <c r="X260" s="18">
        <f t="shared" si="151"/>
        <v>1.0000873958353249</v>
      </c>
      <c r="Y260" s="18">
        <f t="shared" si="152"/>
        <v>-1.3220398690883256E-2</v>
      </c>
      <c r="Z260" s="32" t="str">
        <f t="shared" si="142"/>
        <v>0.999995572281786+0.00559580177494738i</v>
      </c>
      <c r="AA260" s="18">
        <f t="shared" si="153"/>
        <v>1.0000112287272984</v>
      </c>
      <c r="AB260" s="18">
        <f t="shared" si="154"/>
        <v>5.5957681449030228E-3</v>
      </c>
      <c r="AC260" s="68" t="str">
        <f t="shared" si="155"/>
        <v>0.114321255500425-5.30266734830961i</v>
      </c>
      <c r="AD260" s="66">
        <f t="shared" si="156"/>
        <v>14.491905795953073</v>
      </c>
      <c r="AE260" s="63">
        <f t="shared" si="157"/>
        <v>-88.764940270448946</v>
      </c>
      <c r="AF260" s="32" t="str">
        <f t="shared" si="143"/>
        <v>-0.434440565864413</v>
      </c>
      <c r="AG260" s="32" t="str">
        <f t="shared" si="144"/>
        <v>0.431340637336229i</v>
      </c>
      <c r="AH260" s="32">
        <f t="shared" si="158"/>
        <v>0.43134063733622902</v>
      </c>
      <c r="AI260" s="32">
        <f t="shared" si="159"/>
        <v>1.5707963267948966</v>
      </c>
      <c r="AJ260" s="32" t="str">
        <f t="shared" si="145"/>
        <v>1+0.00427069937956663i</v>
      </c>
      <c r="AK260" s="32">
        <f t="shared" si="160"/>
        <v>1.0000091193950136</v>
      </c>
      <c r="AL260" s="32">
        <f t="shared" si="161"/>
        <v>4.2706734156026218E-3</v>
      </c>
      <c r="AM260" s="32" t="str">
        <f t="shared" si="146"/>
        <v>1+0.431340637336229i</v>
      </c>
      <c r="AN260" s="32">
        <f t="shared" si="162"/>
        <v>1.0890614057148589</v>
      </c>
      <c r="AO260" s="32">
        <f t="shared" si="163"/>
        <v>0.4072289426447675</v>
      </c>
      <c r="AP260" s="60" t="str">
        <f t="shared" si="164"/>
        <v>-0.430131329012416+1.00902369120495i</v>
      </c>
      <c r="AQ260" s="51">
        <f t="shared" si="165"/>
        <v>0.80316804506994566</v>
      </c>
      <c r="AR260" s="63">
        <f t="shared" si="166"/>
        <v>113.08780814672741</v>
      </c>
      <c r="AS260" s="60" t="str">
        <f t="shared" si="167"/>
        <v>5.30134382746056+2.39619620904738i</v>
      </c>
      <c r="AT260" s="66">
        <f t="shared" si="168"/>
        <v>15.295073841023019</v>
      </c>
      <c r="AU260" s="63">
        <f t="shared" si="169"/>
        <v>24.322867876278472</v>
      </c>
      <c r="AX260" s="32">
        <f t="shared" si="170"/>
        <v>0</v>
      </c>
      <c r="AY260" s="32">
        <f t="shared" si="171"/>
        <v>0</v>
      </c>
    </row>
    <row r="261" spans="14:51" x14ac:dyDescent="0.3">
      <c r="N261" s="11">
        <v>43</v>
      </c>
      <c r="O261" s="52">
        <f t="shared" si="172"/>
        <v>2691.5348039269184</v>
      </c>
      <c r="P261" s="50" t="str">
        <f t="shared" si="138"/>
        <v>131.578947368421</v>
      </c>
      <c r="Q261" s="18" t="str">
        <f t="shared" si="139"/>
        <v>1+25.3671179006941i</v>
      </c>
      <c r="R261" s="18">
        <f t="shared" si="147"/>
        <v>25.386820805049911</v>
      </c>
      <c r="S261" s="18">
        <f t="shared" si="148"/>
        <v>1.5313956160658591</v>
      </c>
      <c r="T261" s="18" t="str">
        <f t="shared" si="140"/>
        <v>1+0.0000558076593815271i</v>
      </c>
      <c r="U261" s="18">
        <f t="shared" si="149"/>
        <v>1.0000000015572474</v>
      </c>
      <c r="V261" s="18">
        <f t="shared" si="150"/>
        <v>5.5807659323589543E-5</v>
      </c>
      <c r="W261" s="32" t="str">
        <f t="shared" si="141"/>
        <v>1-0.0135291295470369i</v>
      </c>
      <c r="X261" s="18">
        <f t="shared" si="151"/>
        <v>1.0000915144856997</v>
      </c>
      <c r="Y261" s="18">
        <f t="shared" si="152"/>
        <v>-1.3528304192354094E-2</v>
      </c>
      <c r="Z261" s="32" t="str">
        <f t="shared" si="142"/>
        <v>0.999995363609856+0.00572614474249587i</v>
      </c>
      <c r="AA261" s="18">
        <f t="shared" si="153"/>
        <v>1.0000117579182857</v>
      </c>
      <c r="AB261" s="18">
        <f t="shared" si="154"/>
        <v>5.7261087072758782E-3</v>
      </c>
      <c r="AC261" s="68" t="str">
        <f t="shared" si="155"/>
        <v>0.104707989303964-5.18231846294861i</v>
      </c>
      <c r="AD261" s="66">
        <f t="shared" si="156"/>
        <v>14.29225453842227</v>
      </c>
      <c r="AE261" s="63">
        <f t="shared" si="157"/>
        <v>-88.842504618217632</v>
      </c>
      <c r="AF261" s="32" t="str">
        <f t="shared" si="143"/>
        <v>-0.434440565864413</v>
      </c>
      <c r="AG261" s="32" t="str">
        <f t="shared" si="144"/>
        <v>0.441387851472078i</v>
      </c>
      <c r="AH261" s="32">
        <f t="shared" si="158"/>
        <v>0.44138785147207799</v>
      </c>
      <c r="AI261" s="32">
        <f t="shared" si="159"/>
        <v>1.5707963267948966</v>
      </c>
      <c r="AJ261" s="32" t="str">
        <f t="shared" si="145"/>
        <v>1+0.0043701767472483i</v>
      </c>
      <c r="AK261" s="32">
        <f t="shared" si="160"/>
        <v>1.0000095491768077</v>
      </c>
      <c r="AL261" s="32">
        <f t="shared" si="161"/>
        <v>4.3701489263739722E-3</v>
      </c>
      <c r="AM261" s="32" t="str">
        <f t="shared" si="146"/>
        <v>1+0.441387851472078i</v>
      </c>
      <c r="AN261" s="32">
        <f t="shared" si="162"/>
        <v>1.0930797022299596</v>
      </c>
      <c r="AO261" s="32">
        <f t="shared" si="163"/>
        <v>0.41566902369296066</v>
      </c>
      <c r="AP261" s="60" t="str">
        <f t="shared" si="164"/>
        <v>-0.430130959290797+0.986140108939323i</v>
      </c>
      <c r="AQ261" s="51">
        <f t="shared" si="165"/>
        <v>0.63515355363099812</v>
      </c>
      <c r="AR261" s="63">
        <f t="shared" si="166"/>
        <v>113.56568964260522</v>
      </c>
      <c r="AS261" s="60" t="str">
        <f t="shared" si="167"/>
        <v>5.06545394572568+2.33233235979752i</v>
      </c>
      <c r="AT261" s="66">
        <f t="shared" si="168"/>
        <v>14.927408092053264</v>
      </c>
      <c r="AU261" s="63">
        <f t="shared" si="169"/>
        <v>24.72318502438759</v>
      </c>
      <c r="AX261" s="32">
        <f t="shared" si="170"/>
        <v>0</v>
      </c>
      <c r="AY261" s="32">
        <f t="shared" si="171"/>
        <v>0</v>
      </c>
    </row>
    <row r="262" spans="14:51" x14ac:dyDescent="0.3">
      <c r="N262" s="11">
        <v>44</v>
      </c>
      <c r="O262" s="52">
        <f t="shared" si="172"/>
        <v>2754.228703338169</v>
      </c>
      <c r="P262" s="50" t="str">
        <f t="shared" si="138"/>
        <v>131.578947368421</v>
      </c>
      <c r="Q262" s="18" t="str">
        <f t="shared" si="139"/>
        <v>1+25.95799398214i</v>
      </c>
      <c r="R262" s="18">
        <f t="shared" si="147"/>
        <v>25.977248729933208</v>
      </c>
      <c r="S262" s="18">
        <f t="shared" si="148"/>
        <v>1.5322915892217788</v>
      </c>
      <c r="T262" s="18" t="str">
        <f t="shared" si="140"/>
        <v>1+0.0000571075867607081i</v>
      </c>
      <c r="U262" s="18">
        <f t="shared" si="149"/>
        <v>1.0000000016306381</v>
      </c>
      <c r="V262" s="18">
        <f t="shared" si="150"/>
        <v>5.7107586698626897E-5</v>
      </c>
      <c r="W262" s="32" t="str">
        <f t="shared" si="141"/>
        <v>1-0.0138442634571414i</v>
      </c>
      <c r="X262" s="18">
        <f t="shared" si="151"/>
        <v>1.0000958272239069</v>
      </c>
      <c r="Y262" s="18">
        <f t="shared" si="152"/>
        <v>-1.3843379078241749E-2</v>
      </c>
      <c r="Z262" s="32" t="str">
        <f t="shared" si="142"/>
        <v>0.99999514510352+0.00585952378778132i</v>
      </c>
      <c r="AA262" s="18">
        <f t="shared" si="153"/>
        <v>1.0000123120490216</v>
      </c>
      <c r="AB262" s="18">
        <f t="shared" si="154"/>
        <v>5.8594851753718648E-3</v>
      </c>
      <c r="AC262" s="68" t="str">
        <f t="shared" si="155"/>
        <v>0.095526089762075-5.06468324005795i</v>
      </c>
      <c r="AD262" s="66">
        <f t="shared" si="156"/>
        <v>14.092590478611237</v>
      </c>
      <c r="AE262" s="63">
        <f t="shared" si="157"/>
        <v>-88.919459988156774</v>
      </c>
      <c r="AF262" s="32" t="str">
        <f t="shared" si="143"/>
        <v>-0.434440565864413</v>
      </c>
      <c r="AG262" s="32" t="str">
        <f t="shared" si="144"/>
        <v>0.451669095289237i</v>
      </c>
      <c r="AH262" s="32">
        <f t="shared" si="158"/>
        <v>0.45166909528923699</v>
      </c>
      <c r="AI262" s="32">
        <f t="shared" si="159"/>
        <v>1.5707963267948966</v>
      </c>
      <c r="AJ262" s="32" t="str">
        <f t="shared" si="145"/>
        <v>1+0.0044719712404875i</v>
      </c>
      <c r="AK262" s="32">
        <f t="shared" si="160"/>
        <v>1.0000099992133957</v>
      </c>
      <c r="AL262" s="32">
        <f t="shared" si="161"/>
        <v>4.4719414298996681E-3</v>
      </c>
      <c r="AM262" s="32" t="str">
        <f t="shared" si="146"/>
        <v>1+0.451669095289237i</v>
      </c>
      <c r="AN262" s="32">
        <f t="shared" si="162"/>
        <v>1.0972716034051906</v>
      </c>
      <c r="AO262" s="32">
        <f t="shared" si="163"/>
        <v>0.42424107984388099</v>
      </c>
      <c r="AP262" s="60" t="str">
        <f t="shared" si="164"/>
        <v>-0.430130572145417+0.963779391060237i</v>
      </c>
      <c r="AQ262" s="51">
        <f t="shared" si="165"/>
        <v>0.46839585076937723</v>
      </c>
      <c r="AR262" s="63">
        <f t="shared" si="166"/>
        <v>114.05100000096401</v>
      </c>
      <c r="AS262" s="60" t="str">
        <f t="shared" si="167"/>
        <v>4.84014863737186+2.27054117640269i</v>
      </c>
      <c r="AT262" s="66">
        <f t="shared" si="168"/>
        <v>14.560986329380611</v>
      </c>
      <c r="AU262" s="63">
        <f t="shared" si="169"/>
        <v>25.13154001280725</v>
      </c>
      <c r="AX262" s="32">
        <f t="shared" si="170"/>
        <v>0</v>
      </c>
      <c r="AY262" s="32">
        <f t="shared" si="171"/>
        <v>0</v>
      </c>
    </row>
    <row r="263" spans="14:51" x14ac:dyDescent="0.3">
      <c r="N263" s="11">
        <v>45</v>
      </c>
      <c r="O263" s="52">
        <f t="shared" si="172"/>
        <v>2818.3829312644561</v>
      </c>
      <c r="P263" s="50" t="str">
        <f t="shared" si="138"/>
        <v>131.578947368421</v>
      </c>
      <c r="Q263" s="18" t="str">
        <f t="shared" si="139"/>
        <v>1+26.5626333355899i</v>
      </c>
      <c r="R263" s="18">
        <f t="shared" si="147"/>
        <v>26.58145010568445</v>
      </c>
      <c r="S263" s="18">
        <f t="shared" si="148"/>
        <v>1.5331672273087977</v>
      </c>
      <c r="T263" s="18" t="str">
        <f t="shared" si="140"/>
        <v>1+0.0000584377933382978i</v>
      </c>
      <c r="U263" s="18">
        <f t="shared" si="149"/>
        <v>1.0000000017074877</v>
      </c>
      <c r="V263" s="18">
        <f t="shared" si="150"/>
        <v>5.8437793271776585E-5</v>
      </c>
      <c r="W263" s="32" t="str">
        <f t="shared" si="141"/>
        <v>1-0.0141667377789813i</v>
      </c>
      <c r="X263" s="18">
        <f t="shared" si="151"/>
        <v>1.0001003431952709</v>
      </c>
      <c r="Y263" s="18">
        <f t="shared" si="152"/>
        <v>-1.4165790155052193E-2</v>
      </c>
      <c r="Z263" s="32" t="str">
        <f t="shared" si="142"/>
        <v>0.999994916299298+0.005996009630139i</v>
      </c>
      <c r="AA263" s="18">
        <f t="shared" si="153"/>
        <v>1.0000128922948568</v>
      </c>
      <c r="AB263" s="18">
        <f t="shared" si="154"/>
        <v>5.9959682562242588E-3</v>
      </c>
      <c r="AC263" s="68" t="str">
        <f t="shared" si="155"/>
        <v>0.0867562579338759-4.94970157534333i</v>
      </c>
      <c r="AD263" s="66">
        <f t="shared" si="156"/>
        <v>13.892914326123837</v>
      </c>
      <c r="AE263" s="63">
        <f t="shared" si="157"/>
        <v>-88.995846838178636</v>
      </c>
      <c r="AF263" s="32" t="str">
        <f t="shared" si="143"/>
        <v>-0.434440565864413</v>
      </c>
      <c r="AG263" s="32" t="str">
        <f t="shared" si="144"/>
        <v>0.462189820039265i</v>
      </c>
      <c r="AH263" s="32">
        <f t="shared" si="158"/>
        <v>0.46218982003926501</v>
      </c>
      <c r="AI263" s="32">
        <f t="shared" si="159"/>
        <v>1.5707963267948966</v>
      </c>
      <c r="AJ263" s="32" t="str">
        <f t="shared" si="145"/>
        <v>1+0.00457613683207193i</v>
      </c>
      <c r="AK263" s="32">
        <f t="shared" si="160"/>
        <v>1.0000104704593378</v>
      </c>
      <c r="AL263" s="32">
        <f t="shared" si="161"/>
        <v>4.5761048894696317E-3</v>
      </c>
      <c r="AM263" s="32" t="str">
        <f t="shared" si="146"/>
        <v>1+0.462189820039265i</v>
      </c>
      <c r="AN263" s="32">
        <f t="shared" si="162"/>
        <v>1.1016439668731128</v>
      </c>
      <c r="AO263" s="32">
        <f t="shared" si="163"/>
        <v>0.43294461606498935</v>
      </c>
      <c r="AP263" s="60" t="str">
        <f t="shared" si="164"/>
        <v>-0.430130166755184+0.941929681608191i</v>
      </c>
      <c r="AQ263" s="51">
        <f t="shared" si="165"/>
        <v>0.3029341630736887</v>
      </c>
      <c r="AR263" s="63">
        <f t="shared" si="166"/>
        <v>114.54370776665992</v>
      </c>
      <c r="AS263" s="60" t="str">
        <f t="shared" si="167"/>
        <v>4.62495434522655+2.210734258404i</v>
      </c>
      <c r="AT263" s="66">
        <f t="shared" si="168"/>
        <v>14.195848489197525</v>
      </c>
      <c r="AU263" s="63">
        <f t="shared" si="169"/>
        <v>25.547860928481317</v>
      </c>
      <c r="AX263" s="32">
        <f t="shared" si="170"/>
        <v>0</v>
      </c>
      <c r="AY263" s="32">
        <f t="shared" si="171"/>
        <v>0</v>
      </c>
    </row>
    <row r="264" spans="14:51" x14ac:dyDescent="0.3">
      <c r="N264" s="11">
        <v>46</v>
      </c>
      <c r="O264" s="52">
        <f t="shared" si="172"/>
        <v>2884.0315031266077</v>
      </c>
      <c r="P264" s="50" t="str">
        <f t="shared" si="138"/>
        <v>131.578947368421</v>
      </c>
      <c r="Q264" s="18" t="str">
        <f t="shared" si="139"/>
        <v>1+27.1813565488323i</v>
      </c>
      <c r="R264" s="18">
        <f t="shared" si="147"/>
        <v>27.199745289887343</v>
      </c>
      <c r="S264" s="18">
        <f t="shared" si="148"/>
        <v>1.5340229892276462</v>
      </c>
      <c r="T264" s="18" t="str">
        <f t="shared" si="140"/>
        <v>1+0.0000597989844074311i</v>
      </c>
      <c r="U264" s="18">
        <f t="shared" si="149"/>
        <v>1.0000000017879591</v>
      </c>
      <c r="V264" s="18">
        <f t="shared" si="150"/>
        <v>5.9798984336152334E-5</v>
      </c>
      <c r="W264" s="32" t="str">
        <f t="shared" si="141"/>
        <v>1-0.0144967234927106i</v>
      </c>
      <c r="X264" s="18">
        <f t="shared" si="151"/>
        <v>1.0001050719759521</v>
      </c>
      <c r="Y264" s="18">
        <f t="shared" si="152"/>
        <v>-1.449570810113796E-2</v>
      </c>
      <c r="Z264" s="32" t="str">
        <f t="shared" si="142"/>
        <v>0.999994676711865+0.00613567463616916i</v>
      </c>
      <c r="AA264" s="18">
        <f t="shared" si="153"/>
        <v>1.0000134998865309</v>
      </c>
      <c r="AB264" s="18">
        <f t="shared" si="154"/>
        <v>6.1356303032515415E-3</v>
      </c>
      <c r="AC264" s="68" t="str">
        <f t="shared" si="155"/>
        <v>0.0783800533906974-4.8373146208429i</v>
      </c>
      <c r="AD264" s="66">
        <f t="shared" si="156"/>
        <v>13.693226765166305</v>
      </c>
      <c r="AE264" s="63">
        <f t="shared" si="157"/>
        <v>-89.071705345642741</v>
      </c>
      <c r="AF264" s="32" t="str">
        <f t="shared" si="143"/>
        <v>-0.434440565864413</v>
      </c>
      <c r="AG264" s="32" t="str">
        <f t="shared" si="144"/>
        <v>0.472955603949682i</v>
      </c>
      <c r="AH264" s="32">
        <f t="shared" si="158"/>
        <v>0.472955603949682</v>
      </c>
      <c r="AI264" s="32">
        <f t="shared" si="159"/>
        <v>1.5707963267948966</v>
      </c>
      <c r="AJ264" s="32" t="str">
        <f t="shared" si="145"/>
        <v>1+0.00468272875197705i</v>
      </c>
      <c r="AK264" s="32">
        <f t="shared" si="160"/>
        <v>1.0000109639141785</v>
      </c>
      <c r="AL264" s="32">
        <f t="shared" si="161"/>
        <v>4.682694524882295E-3</v>
      </c>
      <c r="AM264" s="32" t="str">
        <f t="shared" si="146"/>
        <v>1+0.472955603949682i</v>
      </c>
      <c r="AN264" s="32">
        <f t="shared" si="162"/>
        <v>1.1062038705895982</v>
      </c>
      <c r="AO264" s="32">
        <f t="shared" si="163"/>
        <v>0.44177897160458607</v>
      </c>
      <c r="AP264" s="60" t="str">
        <f t="shared" si="164"/>
        <v>-0.430129742260317+0.920579395566348i</v>
      </c>
      <c r="AQ264" s="51">
        <f t="shared" si="165"/>
        <v>0.13880814371056202</v>
      </c>
      <c r="AR264" s="63">
        <f t="shared" si="166"/>
        <v>115.04377191754789</v>
      </c>
      <c r="AS264" s="60" t="str">
        <f t="shared" si="167"/>
        <v>4.41941857765652+2.15282795327009i</v>
      </c>
      <c r="AT264" s="66">
        <f t="shared" si="168"/>
        <v>13.832034908876864</v>
      </c>
      <c r="AU264" s="63">
        <f t="shared" si="169"/>
        <v>25.972066571905213</v>
      </c>
      <c r="AX264" s="32">
        <f t="shared" si="170"/>
        <v>0</v>
      </c>
      <c r="AY264" s="32">
        <f t="shared" si="171"/>
        <v>0</v>
      </c>
    </row>
    <row r="265" spans="14:51" x14ac:dyDescent="0.3">
      <c r="N265" s="11">
        <v>47</v>
      </c>
      <c r="O265" s="52">
        <f t="shared" si="172"/>
        <v>2951.2092266663876</v>
      </c>
      <c r="P265" s="50" t="str">
        <f t="shared" si="138"/>
        <v>131.578947368421</v>
      </c>
      <c r="Q265" s="18" t="str">
        <f t="shared" si="139"/>
        <v>1+27.8144916771046i</v>
      </c>
      <c r="R265" s="18">
        <f t="shared" si="147"/>
        <v>27.832462112715092</v>
      </c>
      <c r="S265" s="18">
        <f t="shared" si="148"/>
        <v>1.5348593236981685</v>
      </c>
      <c r="T265" s="18" t="str">
        <f t="shared" si="140"/>
        <v>1+0.0000611918816896302i</v>
      </c>
      <c r="U265" s="18">
        <f t="shared" si="149"/>
        <v>1.000000001872223</v>
      </c>
      <c r="V265" s="18">
        <f t="shared" si="150"/>
        <v>6.1191881613253637E-5</v>
      </c>
      <c r="W265" s="32" t="str">
        <f t="shared" si="141"/>
        <v>1-0.0148343955611225i</v>
      </c>
      <c r="X265" s="18">
        <f t="shared" si="151"/>
        <v>1.0001100235932365</v>
      </c>
      <c r="Y265" s="18">
        <f t="shared" si="152"/>
        <v>-1.4833307555914466E-2</v>
      </c>
      <c r="Z265" s="32" t="str">
        <f t="shared" si="142"/>
        <v>0.999994425833024+0.00627859285810666i</v>
      </c>
      <c r="AA265" s="18">
        <f t="shared" si="153"/>
        <v>1.0000141361127837</v>
      </c>
      <c r="AB265" s="18">
        <f t="shared" si="154"/>
        <v>6.2785453545640873E-3</v>
      </c>
      <c r="AC265" s="68" t="str">
        <f t="shared" si="155"/>
        <v>0.0703798564630212-4.72746476370031i</v>
      </c>
      <c r="AD265" s="66">
        <f t="shared" si="156"/>
        <v>13.493528455976001</v>
      </c>
      <c r="AE265" s="63">
        <f t="shared" si="157"/>
        <v>-89.147075427123426</v>
      </c>
      <c r="AF265" s="32" t="str">
        <f t="shared" si="143"/>
        <v>-0.434440565864413</v>
      </c>
      <c r="AG265" s="32" t="str">
        <f t="shared" si="144"/>
        <v>0.483972155181621i</v>
      </c>
      <c r="AH265" s="32">
        <f t="shared" si="158"/>
        <v>0.48397215518162101</v>
      </c>
      <c r="AI265" s="32">
        <f t="shared" si="159"/>
        <v>1.5707963267948966</v>
      </c>
      <c r="AJ265" s="32" t="str">
        <f t="shared" si="145"/>
        <v>1+0.00479180351664972i</v>
      </c>
      <c r="AK265" s="32">
        <f t="shared" si="160"/>
        <v>1.0000114806245688</v>
      </c>
      <c r="AL265" s="32">
        <f t="shared" si="161"/>
        <v>4.7917668416796681E-3</v>
      </c>
      <c r="AM265" s="32" t="str">
        <f t="shared" si="146"/>
        <v>1+0.483972155181621i</v>
      </c>
      <c r="AN265" s="32">
        <f t="shared" si="162"/>
        <v>1.1109586162369609</v>
      </c>
      <c r="AO265" s="32">
        <f t="shared" si="163"/>
        <v>0.45074331366210679</v>
      </c>
      <c r="AP265" s="60" t="str">
        <f t="shared" si="164"/>
        <v>-0.430129297760521+0.899717212717936i</v>
      </c>
      <c r="AQ265" s="51">
        <f t="shared" si="165"/>
        <v>-2.3942187714587369E-2</v>
      </c>
      <c r="AR265" s="63">
        <f t="shared" si="166"/>
        <v>115.5511415001412</v>
      </c>
      <c r="AS265" s="60" t="str">
        <f t="shared" si="167"/>
        <v>4.22310898218177+2.09674306728642i</v>
      </c>
      <c r="AT265" s="66">
        <f t="shared" si="168"/>
        <v>13.469586268261409</v>
      </c>
      <c r="AU265" s="63">
        <f t="shared" si="169"/>
        <v>26.404066073017809</v>
      </c>
      <c r="AX265" s="32">
        <f t="shared" si="170"/>
        <v>0</v>
      </c>
      <c r="AY265" s="32">
        <f t="shared" si="171"/>
        <v>0</v>
      </c>
    </row>
    <row r="266" spans="14:51" x14ac:dyDescent="0.3">
      <c r="N266" s="11">
        <v>48</v>
      </c>
      <c r="O266" s="52">
        <f t="shared" si="172"/>
        <v>3019.9517204020176</v>
      </c>
      <c r="P266" s="50" t="str">
        <f t="shared" si="138"/>
        <v>131.578947368421</v>
      </c>
      <c r="Q266" s="18" t="str">
        <f t="shared" si="139"/>
        <v>1+28.4623744170325i</v>
      </c>
      <c r="R266" s="18">
        <f t="shared" si="147"/>
        <v>28.47993605075942</v>
      </c>
      <c r="S266" s="18">
        <f t="shared" si="148"/>
        <v>1.5356766694734705</v>
      </c>
      <c r="T266" s="18" t="str">
        <f t="shared" si="140"/>
        <v>1+0.0000626172237174716i</v>
      </c>
      <c r="U266" s="18">
        <f t="shared" si="149"/>
        <v>1.0000000019604582</v>
      </c>
      <c r="V266" s="18">
        <f t="shared" si="150"/>
        <v>6.2617223635632636E-5</v>
      </c>
      <c r="W266" s="32" t="str">
        <f t="shared" si="141"/>
        <v>1-0.0151799330224174i</v>
      </c>
      <c r="X266" s="18">
        <f t="shared" si="151"/>
        <v>1.0001152085467779</v>
      </c>
      <c r="Y266" s="18">
        <f t="shared" si="152"/>
        <v>-1.5178767211085891E-2</v>
      </c>
      <c r="Z266" s="32" t="str">
        <f t="shared" si="142"/>
        <v>0.999994163130628+0.00642484007308454i</v>
      </c>
      <c r="AA266" s="18">
        <f t="shared" si="153"/>
        <v>1.0000148023230906</v>
      </c>
      <c r="AB266" s="18">
        <f t="shared" si="154"/>
        <v>6.4247891721603279E-3</v>
      </c>
      <c r="AC266" s="68" t="str">
        <f t="shared" si="155"/>
        <v>0.0627388321092606-4.62009560493486i</v>
      </c>
      <c r="AD266" s="66">
        <f t="shared" si="156"/>
        <v>13.293820036200358</v>
      </c>
      <c r="AE266" s="63">
        <f t="shared" si="157"/>
        <v>-89.221996758130331</v>
      </c>
      <c r="AF266" s="32" t="str">
        <f t="shared" si="143"/>
        <v>-0.434440565864413</v>
      </c>
      <c r="AG266" s="32" t="str">
        <f t="shared" si="144"/>
        <v>0.495245314856367i</v>
      </c>
      <c r="AH266" s="32">
        <f t="shared" si="158"/>
        <v>0.49524531485636702</v>
      </c>
      <c r="AI266" s="32">
        <f t="shared" si="159"/>
        <v>1.5707963267948966</v>
      </c>
      <c r="AJ266" s="32" t="str">
        <f t="shared" si="145"/>
        <v>1+0.00490341895897393i</v>
      </c>
      <c r="AK266" s="32">
        <f t="shared" si="160"/>
        <v>1.0000120216864832</v>
      </c>
      <c r="AL266" s="32">
        <f t="shared" si="161"/>
        <v>4.9033796610610161E-3</v>
      </c>
      <c r="AM266" s="32" t="str">
        <f t="shared" si="146"/>
        <v>1+0.495245314856367i</v>
      </c>
      <c r="AN266" s="32">
        <f t="shared" si="162"/>
        <v>1.1159157324310747</v>
      </c>
      <c r="AO266" s="32">
        <f t="shared" si="163"/>
        <v>0.45983663130093994</v>
      </c>
      <c r="AP266" s="60" t="str">
        <f t="shared" si="164"/>
        <v>-0.43012883231308+0.879332071644055i</v>
      </c>
      <c r="AQ266" s="51">
        <f t="shared" si="165"/>
        <v>-0.18527651025666045</v>
      </c>
      <c r="AR266" s="63">
        <f t="shared" si="166"/>
        <v>116.06575527912817</v>
      </c>
      <c r="AS266" s="60" t="str">
        <f t="shared" si="167"/>
        <v>4.03561245888512+2.04240459493659i</v>
      </c>
      <c r="AT266" s="66">
        <f t="shared" si="168"/>
        <v>13.108543525943697</v>
      </c>
      <c r="AU266" s="63">
        <f t="shared" si="169"/>
        <v>26.843758520997856</v>
      </c>
      <c r="AX266" s="32">
        <f t="shared" si="170"/>
        <v>0</v>
      </c>
      <c r="AY266" s="32">
        <f t="shared" si="171"/>
        <v>0</v>
      </c>
    </row>
    <row r="267" spans="14:51" x14ac:dyDescent="0.3">
      <c r="N267" s="11">
        <v>49</v>
      </c>
      <c r="O267" s="52">
        <f t="shared" si="172"/>
        <v>3090.295432513592</v>
      </c>
      <c r="P267" s="50" t="str">
        <f t="shared" si="138"/>
        <v>131.578947368421</v>
      </c>
      <c r="Q267" s="18" t="str">
        <f t="shared" si="139"/>
        <v>1+29.1253482846204i</v>
      </c>
      <c r="R267" s="18">
        <f t="shared" si="147"/>
        <v>29.14251040491262</v>
      </c>
      <c r="S267" s="18">
        <f t="shared" si="148"/>
        <v>1.5364754555503559</v>
      </c>
      <c r="T267" s="18" t="str">
        <f t="shared" si="140"/>
        <v>1+0.0000640757662261649i</v>
      </c>
      <c r="U267" s="18">
        <f t="shared" si="149"/>
        <v>1.0000000020528519</v>
      </c>
      <c r="V267" s="18">
        <f t="shared" si="150"/>
        <v>6.4075766138472866E-5</v>
      </c>
      <c r="W267" s="32" t="str">
        <f t="shared" si="141"/>
        <v>1-0.0155335190851309i</v>
      </c>
      <c r="X267" s="18">
        <f t="shared" si="151"/>
        <v>1.0001206378308409</v>
      </c>
      <c r="Y267" s="18">
        <f t="shared" si="152"/>
        <v>-1.5532269903920912E-2</v>
      </c>
      <c r="Z267" s="32" t="str">
        <f t="shared" si="142"/>
        <v>0.999993888047449+0.00657449382331197i</v>
      </c>
      <c r="AA267" s="18">
        <f t="shared" si="153"/>
        <v>1.0000154999305195</v>
      </c>
      <c r="AB267" s="18">
        <f t="shared" si="154"/>
        <v>6.5744392820324708E-3</v>
      </c>
      <c r="AC267" s="68" t="str">
        <f t="shared" si="155"/>
        <v>0.0554408953401867-4.5151519382415i</v>
      </c>
      <c r="AD267" s="66">
        <f t="shared" si="156"/>
        <v>13.094102122230741</v>
      </c>
      <c r="AE267" s="63">
        <f t="shared" si="157"/>
        <v>-89.296508792785332</v>
      </c>
      <c r="AF267" s="32" t="str">
        <f t="shared" si="143"/>
        <v>-0.434440565864413</v>
      </c>
      <c r="AG267" s="32" t="str">
        <f t="shared" si="144"/>
        <v>0.506781060152395i</v>
      </c>
      <c r="AH267" s="32">
        <f t="shared" si="158"/>
        <v>0.50678106015239499</v>
      </c>
      <c r="AI267" s="32">
        <f t="shared" si="159"/>
        <v>1.5707963267948966</v>
      </c>
      <c r="AJ267" s="32" t="str">
        <f t="shared" si="145"/>
        <v>1+0.00501763425893461i</v>
      </c>
      <c r="AK267" s="32">
        <f t="shared" si="160"/>
        <v>1.0000125882475461</v>
      </c>
      <c r="AL267" s="32">
        <f t="shared" si="161"/>
        <v>5.0175921504908945E-3</v>
      </c>
      <c r="AM267" s="32" t="str">
        <f t="shared" si="146"/>
        <v>1+0.506781060152395i</v>
      </c>
      <c r="AN267" s="32">
        <f t="shared" si="162"/>
        <v>1.1210829777180571</v>
      </c>
      <c r="AO267" s="32">
        <f t="shared" si="163"/>
        <v>0.46905772965382708</v>
      </c>
      <c r="AP267" s="60" t="str">
        <f t="shared" si="164"/>
        <v>-0.430128344930856+0.859413163858729i</v>
      </c>
      <c r="AQ267" s="51">
        <f t="shared" si="165"/>
        <v>-0.34515427169438939</v>
      </c>
      <c r="AR267" s="63">
        <f t="shared" si="166"/>
        <v>116.58754140361157</v>
      </c>
      <c r="AS267" s="60" t="str">
        <f t="shared" si="167"/>
        <v>3.85653431199284+1.98974146557863i</v>
      </c>
      <c r="AT267" s="66">
        <f t="shared" si="168"/>
        <v>12.748947850536345</v>
      </c>
      <c r="AU267" s="63">
        <f t="shared" si="169"/>
        <v>27.291032610826203</v>
      </c>
      <c r="AX267" s="32">
        <f t="shared" si="170"/>
        <v>0</v>
      </c>
      <c r="AY267" s="32">
        <f t="shared" si="171"/>
        <v>0</v>
      </c>
    </row>
    <row r="268" spans="14:51" x14ac:dyDescent="0.3">
      <c r="N268" s="11">
        <v>50</v>
      </c>
      <c r="O268" s="52">
        <f t="shared" si="172"/>
        <v>3162.2776601683804</v>
      </c>
      <c r="P268" s="50" t="str">
        <f t="shared" si="138"/>
        <v>131.578947368421</v>
      </c>
      <c r="Q268" s="18" t="str">
        <f t="shared" si="139"/>
        <v>1+29.8037647973883i</v>
      </c>
      <c r="R268" s="18">
        <f t="shared" si="147"/>
        <v>29.820536482398204</v>
      </c>
      <c r="S268" s="18">
        <f t="shared" si="148"/>
        <v>1.5372561013760642</v>
      </c>
      <c r="T268" s="18" t="str">
        <f t="shared" si="140"/>
        <v>1+0.0000655682825542543i</v>
      </c>
      <c r="U268" s="18">
        <f t="shared" si="149"/>
        <v>1.0000000021495998</v>
      </c>
      <c r="V268" s="18">
        <f t="shared" si="150"/>
        <v>6.5568282460290597E-5</v>
      </c>
      <c r="W268" s="32" t="str">
        <f t="shared" si="141"/>
        <v>1-0.0158953412252738i</v>
      </c>
      <c r="X268" s="18">
        <f t="shared" si="151"/>
        <v>1.0001263229575892</v>
      </c>
      <c r="Y268" s="18">
        <f t="shared" si="152"/>
        <v>-1.5894002712622386E-2</v>
      </c>
      <c r="Z268" s="32" t="str">
        <f t="shared" si="142"/>
        <v>0.9999936+0.00672763345718823i</v>
      </c>
      <c r="AA268" s="18">
        <f t="shared" si="153"/>
        <v>1.0000162304147342</v>
      </c>
      <c r="AB268" s="18">
        <f t="shared" si="154"/>
        <v>6.7275750152030597E-3</v>
      </c>
      <c r="AC268" s="68" t="str">
        <f t="shared" si="155"/>
        <v>0.0484706781350811-4.41257972884849i</v>
      </c>
      <c r="AD268" s="66">
        <f t="shared" si="156"/>
        <v>12.894375310491704</v>
      </c>
      <c r="AE268" s="63">
        <f t="shared" si="157"/>
        <v>-89.37065078346015</v>
      </c>
      <c r="AF268" s="32" t="str">
        <f t="shared" si="143"/>
        <v>-0.434440565864413</v>
      </c>
      <c r="AG268" s="32" t="str">
        <f t="shared" si="144"/>
        <v>0.518585507474557i</v>
      </c>
      <c r="AH268" s="32">
        <f t="shared" si="158"/>
        <v>0.51858550747455701</v>
      </c>
      <c r="AI268" s="32">
        <f t="shared" si="159"/>
        <v>1.5707963267948966</v>
      </c>
      <c r="AJ268" s="32" t="str">
        <f t="shared" si="145"/>
        <v>1+0.00513450997499561i</v>
      </c>
      <c r="AK268" s="32">
        <f t="shared" si="160"/>
        <v>1.0000131815094655</v>
      </c>
      <c r="AL268" s="32">
        <f t="shared" si="161"/>
        <v>5.1344648550173773E-3</v>
      </c>
      <c r="AM268" s="32" t="str">
        <f t="shared" si="146"/>
        <v>1+0.518585507474557i</v>
      </c>
      <c r="AN268" s="32">
        <f t="shared" si="162"/>
        <v>1.126468343346871</v>
      </c>
      <c r="AO268" s="32">
        <f t="shared" si="163"/>
        <v>0.47840522447280803</v>
      </c>
      <c r="AP268" s="60" t="str">
        <f t="shared" si="164"/>
        <v>-0.4301278345802+0.839949928077993i</v>
      </c>
      <c r="AQ268" s="51">
        <f t="shared" si="165"/>
        <v>-0.50353476352614379</v>
      </c>
      <c r="AR268" s="63">
        <f t="shared" si="166"/>
        <v>117.11641709305</v>
      </c>
      <c r="AS268" s="60" t="str">
        <f t="shared" si="167"/>
        <v>3.68549743805782+1.93868630629554i</v>
      </c>
      <c r="AT268" s="66">
        <f t="shared" si="168"/>
        <v>12.390840546965556</v>
      </c>
      <c r="AU268" s="63">
        <f t="shared" si="169"/>
        <v>27.745766309589865</v>
      </c>
      <c r="AX268" s="32">
        <f t="shared" si="170"/>
        <v>0</v>
      </c>
      <c r="AY268" s="32">
        <f t="shared" si="171"/>
        <v>0</v>
      </c>
    </row>
    <row r="269" spans="14:51" x14ac:dyDescent="0.3">
      <c r="N269" s="11">
        <v>51</v>
      </c>
      <c r="O269" s="52">
        <f t="shared" si="172"/>
        <v>3235.9365692962833</v>
      </c>
      <c r="P269" s="50" t="str">
        <f t="shared" si="138"/>
        <v>131.578947368421</v>
      </c>
      <c r="Q269" s="18" t="str">
        <f t="shared" si="139"/>
        <v>1+30.4979836607512i</v>
      </c>
      <c r="R269" s="18">
        <f t="shared" si="147"/>
        <v>30.514373783046036</v>
      </c>
      <c r="S269" s="18">
        <f t="shared" si="148"/>
        <v>1.5380190170513164</v>
      </c>
      <c r="T269" s="18" t="str">
        <f t="shared" si="140"/>
        <v>1+0.0000670955640536528i</v>
      </c>
      <c r="U269" s="18">
        <f t="shared" si="149"/>
        <v>1.0000000022509072</v>
      </c>
      <c r="V269" s="18">
        <f t="shared" si="150"/>
        <v>6.7095563952968872E-5</v>
      </c>
      <c r="W269" s="32" t="str">
        <f t="shared" si="141"/>
        <v>1-0.016265591285734i</v>
      </c>
      <c r="X269" s="18">
        <f t="shared" si="151"/>
        <v>1.0001322759814697</v>
      </c>
      <c r="Y269" s="18">
        <f t="shared" si="152"/>
        <v>-1.6264157053832488E-2</v>
      </c>
      <c r="Z269" s="32" t="str">
        <f t="shared" si="142"/>
        <v>0.999993298377292+0.00688434017137426i</v>
      </c>
      <c r="AA269" s="18">
        <f t="shared" si="153"/>
        <v>1.000016995325125</v>
      </c>
      <c r="AB269" s="18">
        <f t="shared" si="154"/>
        <v>6.8842775497136134E-3</v>
      </c>
      <c r="AC269" s="68" t="str">
        <f t="shared" si="155"/>
        <v>0.041813497788143-4.31232609246005i</v>
      </c>
      <c r="AD269" s="66">
        <f t="shared" si="156"/>
        <v>12.694640178690111</v>
      </c>
      <c r="AE269" s="63">
        <f t="shared" si="157"/>
        <v>-89.444461800379045</v>
      </c>
      <c r="AF269" s="32" t="str">
        <f t="shared" si="143"/>
        <v>-0.434440565864413</v>
      </c>
      <c r="AG269" s="32" t="str">
        <f t="shared" si="144"/>
        <v>0.530664915697072i</v>
      </c>
      <c r="AH269" s="32">
        <f t="shared" si="158"/>
        <v>0.53066491569707197</v>
      </c>
      <c r="AI269" s="32">
        <f t="shared" si="159"/>
        <v>1.5707963267948966</v>
      </c>
      <c r="AJ269" s="32" t="str">
        <f t="shared" si="145"/>
        <v>1+0.00525410807620864i</v>
      </c>
      <c r="AK269" s="32">
        <f t="shared" si="160"/>
        <v>1.0000138027305807</v>
      </c>
      <c r="AL269" s="32">
        <f t="shared" si="161"/>
        <v>5.2540597293169516E-3</v>
      </c>
      <c r="AM269" s="32" t="str">
        <f t="shared" si="146"/>
        <v>1+0.530664915697072i</v>
      </c>
      <c r="AN269" s="32">
        <f t="shared" si="162"/>
        <v>1.1320800558051451</v>
      </c>
      <c r="AO269" s="32">
        <f t="shared" si="163"/>
        <v>0.48787753707718812</v>
      </c>
      <c r="AP269" s="60" t="str">
        <f t="shared" si="164"/>
        <v>-0.430127300178756+0.820932044620131i</v>
      </c>
      <c r="AQ269" s="51">
        <f t="shared" si="165"/>
        <v>-0.6603772008232287</v>
      </c>
      <c r="AR269" s="63">
        <f t="shared" si="166"/>
        <v>117.65228834596068</v>
      </c>
      <c r="AS269" s="60" t="str">
        <f t="shared" si="167"/>
        <v>3.52214154923732+1.88917521987219i</v>
      </c>
      <c r="AT269" s="66">
        <f t="shared" si="168"/>
        <v>12.034262977866879</v>
      </c>
      <c r="AU269" s="63">
        <f t="shared" si="169"/>
        <v>28.207826545581735</v>
      </c>
      <c r="AX269" s="32">
        <f t="shared" si="170"/>
        <v>0</v>
      </c>
      <c r="AY269" s="32">
        <f t="shared" si="171"/>
        <v>0</v>
      </c>
    </row>
    <row r="270" spans="14:51" x14ac:dyDescent="0.3">
      <c r="N270" s="11">
        <v>52</v>
      </c>
      <c r="O270" s="52">
        <f t="shared" si="172"/>
        <v>3311.3112148259115</v>
      </c>
      <c r="P270" s="50" t="str">
        <f t="shared" si="138"/>
        <v>131.578947368421</v>
      </c>
      <c r="Q270" s="18" t="str">
        <f t="shared" si="139"/>
        <v>1+31.2083729587398i</v>
      </c>
      <c r="R270" s="18">
        <f t="shared" si="147"/>
        <v>31.224390189910864</v>
      </c>
      <c r="S270" s="18">
        <f t="shared" si="148"/>
        <v>1.53876460352969</v>
      </c>
      <c r="T270" s="18" t="str">
        <f t="shared" si="140"/>
        <v>1+0.0000686584205092276i</v>
      </c>
      <c r="U270" s="18">
        <f t="shared" si="149"/>
        <v>1.0000000023569893</v>
      </c>
      <c r="V270" s="18">
        <f t="shared" si="150"/>
        <v>6.8658420401342826E-5</v>
      </c>
      <c r="W270" s="32" t="str">
        <f t="shared" si="141"/>
        <v>1-0.0166444655779946i</v>
      </c>
      <c r="X270" s="18">
        <f t="shared" si="151"/>
        <v>1.0001385095247444</v>
      </c>
      <c r="Y270" s="18">
        <f t="shared" si="152"/>
        <v>-1.6642928782318586E-2</v>
      </c>
      <c r="Z270" s="32" t="str">
        <f t="shared" si="142"/>
        <v>0.999992982539545+0.00704469705384419i</v>
      </c>
      <c r="AA270" s="18">
        <f t="shared" si="153"/>
        <v>1.0000177962841039</v>
      </c>
      <c r="AB270" s="18">
        <f t="shared" si="154"/>
        <v>7.0446299535872449E-3</v>
      </c>
      <c r="AC270" s="68" t="str">
        <f>(IMDIV(IMPRODUCT(P270,T270,W270),IMPRODUCT(Q270,Z270)))</f>
        <v>0.0354553266258912-4.21433927430744i</v>
      </c>
      <c r="AD270" s="66">
        <f t="shared" si="156"/>
        <v>12.494897287025466</v>
      </c>
      <c r="AE270" s="63">
        <f t="shared" si="157"/>
        <v>-89.517980751191274</v>
      </c>
      <c r="AF270" s="32" t="str">
        <f t="shared" si="143"/>
        <v>-0.434440565864413</v>
      </c>
      <c r="AG270" s="32" t="str">
        <f t="shared" si="144"/>
        <v>0.543025689482073i</v>
      </c>
      <c r="AH270" s="32">
        <f t="shared" si="158"/>
        <v>0.54302568948207297</v>
      </c>
      <c r="AI270" s="32">
        <f t="shared" si="159"/>
        <v>1.5707963267948966</v>
      </c>
      <c r="AJ270" s="32" t="str">
        <f t="shared" si="145"/>
        <v>1+0.00537649197507003i</v>
      </c>
      <c r="AK270" s="32">
        <f t="shared" si="160"/>
        <v>1.0000144532285311</v>
      </c>
      <c r="AL270" s="32">
        <f t="shared" si="161"/>
        <v>5.3764401704826754E-3</v>
      </c>
      <c r="AM270" s="32" t="str">
        <f t="shared" si="146"/>
        <v>1+0.543025689482073i</v>
      </c>
      <c r="AN270" s="32">
        <f t="shared" si="162"/>
        <v>1.1379265791067017</v>
      </c>
      <c r="AO270" s="32">
        <f t="shared" si="163"/>
        <v>0.49747288975418774</v>
      </c>
      <c r="AP270" s="60" t="str">
        <f t="shared" si="164"/>
        <v>-0.430126740593171+0.802349429933919i</v>
      </c>
      <c r="AQ270" s="51">
        <f t="shared" si="165"/>
        <v>-0.81564080682462525</v>
      </c>
      <c r="AR270" s="63">
        <f t="shared" si="166"/>
        <v>118.19504967451861</v>
      </c>
      <c r="AS270" s="60" t="str">
        <f t="shared" si="167"/>
        <v>3.36612243021044+1.84114757691805i</v>
      </c>
      <c r="AT270" s="66">
        <f t="shared" si="168"/>
        <v>11.679256480200838</v>
      </c>
      <c r="AU270" s="63">
        <f t="shared" si="169"/>
        <v>28.677068923327319</v>
      </c>
      <c r="AX270" s="32">
        <f t="shared" si="170"/>
        <v>0</v>
      </c>
      <c r="AY270" s="32">
        <f t="shared" si="171"/>
        <v>0</v>
      </c>
    </row>
    <row r="271" spans="14:51" x14ac:dyDescent="0.3">
      <c r="N271" s="11">
        <v>53</v>
      </c>
      <c r="O271" s="52">
        <f t="shared" si="172"/>
        <v>3388.4415613920314</v>
      </c>
      <c r="P271" s="50" t="str">
        <f t="shared" si="138"/>
        <v>131.578947368421</v>
      </c>
      <c r="Q271" s="18" t="str">
        <f t="shared" si="139"/>
        <v>1+31.9353093491626i</v>
      </c>
      <c r="R271" s="18">
        <f t="shared" si="147"/>
        <v>31.950962164334147</v>
      </c>
      <c r="S271" s="18">
        <f t="shared" si="148"/>
        <v>1.5394932528133418</v>
      </c>
      <c r="T271" s="18" t="str">
        <f t="shared" si="140"/>
        <v>1+0.0000702576805681578i</v>
      </c>
      <c r="U271" s="18">
        <f t="shared" si="149"/>
        <v>1.0000000024680709</v>
      </c>
      <c r="V271" s="18">
        <f t="shared" si="150"/>
        <v>7.0257680452557176E-5</v>
      </c>
      <c r="W271" s="32" t="str">
        <f t="shared" si="141"/>
        <v>1-0.0170321649862201i</v>
      </c>
      <c r="X271" s="18">
        <f t="shared" si="151"/>
        <v>1.0001450368042215</v>
      </c>
      <c r="Y271" s="18">
        <f t="shared" si="152"/>
        <v>-1.7030518292882005E-2</v>
      </c>
      <c r="Z271" s="32" t="str">
        <f t="shared" si="142"/>
        <v>0.999992651816822+0.00720878912793964i</v>
      </c>
      <c r="AA271" s="18">
        <f t="shared" si="153"/>
        <v>1.000018634990534</v>
      </c>
      <c r="AB271" s="18">
        <f t="shared" si="154"/>
        <v>7.2087172287878011E-3</v>
      </c>
      <c r="AC271" s="68" t="str">
        <f t="shared" si="155"/>
        <v>0.0293827630385654-4.11856862833069i</v>
      </c>
      <c r="AD271" s="66">
        <f t="shared" si="156"/>
        <v>12.295147179364871</v>
      </c>
      <c r="AE271" s="63">
        <f t="shared" si="157"/>
        <v>-89.591246400518088</v>
      </c>
      <c r="AF271" s="32" t="str">
        <f t="shared" si="143"/>
        <v>-0.434440565864413</v>
      </c>
      <c r="AG271" s="32" t="str">
        <f t="shared" si="144"/>
        <v>0.555674382675431i</v>
      </c>
      <c r="AH271" s="32">
        <f t="shared" si="158"/>
        <v>0.55567438267543101</v>
      </c>
      <c r="AI271" s="32">
        <f t="shared" si="159"/>
        <v>1.5707963267948966</v>
      </c>
      <c r="AJ271" s="32" t="str">
        <f t="shared" si="145"/>
        <v>1+0.00550172656114288i</v>
      </c>
      <c r="AK271" s="32">
        <f t="shared" si="160"/>
        <v>1.0000151343830521</v>
      </c>
      <c r="AL271" s="32">
        <f t="shared" si="161"/>
        <v>5.5016710515728021E-3</v>
      </c>
      <c r="AM271" s="32" t="str">
        <f t="shared" si="146"/>
        <v>1+0.555674382675431i</v>
      </c>
      <c r="AN271" s="32">
        <f t="shared" si="162"/>
        <v>1.1440166168206305</v>
      </c>
      <c r="AO271" s="32">
        <f t="shared" si="163"/>
        <v>0.50718930166752962</v>
      </c>
      <c r="AP271" s="60" t="str">
        <f t="shared" si="164"/>
        <v>-0.430126154636691+0.784192231252166i</v>
      </c>
      <c r="AQ271" s="51">
        <f t="shared" si="165"/>
        <v>-0.96928490210776364</v>
      </c>
      <c r="AR271" s="63">
        <f t="shared" si="166"/>
        <v>118.74458386821252</v>
      </c>
      <c r="AS271" s="60" t="str">
        <f t="shared" si="167"/>
        <v>3.21711122733744+1.79454582121876i</v>
      </c>
      <c r="AT271" s="66">
        <f t="shared" si="168"/>
        <v>11.325862277257118</v>
      </c>
      <c r="AU271" s="63">
        <f t="shared" si="169"/>
        <v>29.15333746769446</v>
      </c>
      <c r="AX271" s="32">
        <f t="shared" si="170"/>
        <v>0</v>
      </c>
      <c r="AY271" s="32">
        <f t="shared" si="171"/>
        <v>0</v>
      </c>
    </row>
    <row r="272" spans="14:51" x14ac:dyDescent="0.3">
      <c r="N272" s="11">
        <v>54</v>
      </c>
      <c r="O272" s="52">
        <f t="shared" si="172"/>
        <v>3467.3685045253224</v>
      </c>
      <c r="P272" s="50" t="str">
        <f t="shared" si="138"/>
        <v>131.578947368421</v>
      </c>
      <c r="Q272" s="18" t="str">
        <f t="shared" si="139"/>
        <v>1+32.6791782633162i</v>
      </c>
      <c r="R272" s="18">
        <f t="shared" si="147"/>
        <v>32.694474945556138</v>
      </c>
      <c r="S272" s="18">
        <f t="shared" si="148"/>
        <v>1.5402053481451041</v>
      </c>
      <c r="T272" s="18" t="str">
        <f t="shared" si="140"/>
        <v>1+0.0000718941921792956i</v>
      </c>
      <c r="U272" s="18">
        <f t="shared" si="149"/>
        <v>1.0000000025843874</v>
      </c>
      <c r="V272" s="18">
        <f t="shared" si="150"/>
        <v>7.1894192055427307E-5</v>
      </c>
      <c r="W272" s="32" t="str">
        <f t="shared" si="141"/>
        <v>1-0.0174288950737686i</v>
      </c>
      <c r="X272" s="18">
        <f t="shared" si="151"/>
        <v>1.0001518716592457</v>
      </c>
      <c r="Y272" s="18">
        <f t="shared" si="152"/>
        <v>-1.7427130624537376E-2</v>
      </c>
      <c r="Z272" s="32" t="str">
        <f t="shared" si="142"/>
        <v>0.999992305507618+0.00737670339745032i</v>
      </c>
      <c r="AA272" s="18">
        <f t="shared" si="153"/>
        <v>1.0000195132233447</v>
      </c>
      <c r="AB272" s="18">
        <f t="shared" si="154"/>
        <v>7.3766263561983545E-3</v>
      </c>
      <c r="AC272" s="68" t="str">
        <f t="shared" si="155"/>
        <v>0.0235830037706327-4.02496459651i</v>
      </c>
      <c r="AD272" s="66">
        <f t="shared" si="156"/>
        <v>12.095390384383531</v>
      </c>
      <c r="AE272" s="63">
        <f t="shared" si="157"/>
        <v>-89.664297389480112</v>
      </c>
      <c r="AF272" s="32" t="str">
        <f t="shared" si="143"/>
        <v>-0.434440565864413</v>
      </c>
      <c r="AG272" s="32" t="str">
        <f t="shared" si="144"/>
        <v>0.568617701781702i</v>
      </c>
      <c r="AH272" s="32">
        <f t="shared" si="158"/>
        <v>0.56861770178170201</v>
      </c>
      <c r="AI272" s="32">
        <f t="shared" si="159"/>
        <v>1.5707963267948966</v>
      </c>
      <c r="AJ272" s="32" t="str">
        <f t="shared" si="145"/>
        <v>1+0.0056298782354624i</v>
      </c>
      <c r="AK272" s="32">
        <f t="shared" si="160"/>
        <v>1.0000158476388992</v>
      </c>
      <c r="AL272" s="32">
        <f t="shared" si="161"/>
        <v>5.6298187559373448E-3</v>
      </c>
      <c r="AM272" s="32" t="str">
        <f t="shared" si="146"/>
        <v>1+0.568617701781702i</v>
      </c>
      <c r="AN272" s="32">
        <f t="shared" si="162"/>
        <v>1.1503591138333735</v>
      </c>
      <c r="AO272" s="32">
        <f t="shared" si="163"/>
        <v>0.51702458532942053</v>
      </c>
      <c r="AP272" s="60" t="str">
        <f t="shared" si="164"/>
        <v>-0.430125541066644+0.766450821367501i</v>
      </c>
      <c r="AQ272" s="51">
        <f t="shared" si="165"/>
        <v>-1.1212689981243713</v>
      </c>
      <c r="AR272" s="63">
        <f t="shared" si="166"/>
        <v>119.30076178973843</v>
      </c>
      <c r="AS272" s="60" t="str">
        <f t="shared" si="167"/>
        <v>3.07479376871338+1.74931528745826i</v>
      </c>
      <c r="AT272" s="66">
        <f t="shared" si="168"/>
        <v>10.974121386259149</v>
      </c>
      <c r="AU272" s="63">
        <f t="shared" si="169"/>
        <v>29.63646440025828</v>
      </c>
      <c r="AX272" s="32">
        <f t="shared" si="170"/>
        <v>0</v>
      </c>
      <c r="AY272" s="32">
        <f t="shared" si="171"/>
        <v>0</v>
      </c>
    </row>
    <row r="273" spans="14:51" x14ac:dyDescent="0.3">
      <c r="N273" s="11">
        <v>55</v>
      </c>
      <c r="O273" s="52">
        <f t="shared" si="172"/>
        <v>3548.1338923357539</v>
      </c>
      <c r="P273" s="50" t="str">
        <f t="shared" si="138"/>
        <v>131.578947368421</v>
      </c>
      <c r="Q273" s="18" t="str">
        <f t="shared" si="139"/>
        <v>1+33.4403741103448i</v>
      </c>
      <c r="R273" s="18">
        <f t="shared" si="147"/>
        <v>33.455322754979044</v>
      </c>
      <c r="S273" s="18">
        <f t="shared" si="148"/>
        <v>1.5409012641969819</v>
      </c>
      <c r="T273" s="18" t="str">
        <f t="shared" si="140"/>
        <v>1+0.0000735688230427587i</v>
      </c>
      <c r="U273" s="18">
        <f t="shared" si="149"/>
        <v>1.0000000027061857</v>
      </c>
      <c r="V273" s="18">
        <f t="shared" si="150"/>
        <v>7.3568822910031429E-5</v>
      </c>
      <c r="W273" s="32" t="str">
        <f t="shared" si="141"/>
        <v>1-0.0178348661921839i</v>
      </c>
      <c r="X273" s="18">
        <f t="shared" si="151"/>
        <v>1.0001590285810018</v>
      </c>
      <c r="Y273" s="18">
        <f t="shared" si="152"/>
        <v>-1.7832975567005211E-2</v>
      </c>
      <c r="Z273" s="32" t="str">
        <f t="shared" si="142"/>
        <v>0.999991942877364+0.00754852889274451i</v>
      </c>
      <c r="AA273" s="18">
        <f t="shared" si="153"/>
        <v>1.0000204328452944</v>
      </c>
      <c r="AB273" s="18">
        <f t="shared" si="154"/>
        <v>7.5484463416424161E-3</v>
      </c>
      <c r="AC273" s="68" t="str">
        <f t="shared" si="155"/>
        <v>0.018043817417682-3.93347868836536i</v>
      </c>
      <c r="AD273" s="66">
        <f t="shared" si="156"/>
        <v>11.895627416674643</v>
      </c>
      <c r="AE273" s="63">
        <f t="shared" si="157"/>
        <v>-89.737172255209984</v>
      </c>
      <c r="AF273" s="32" t="str">
        <f t="shared" si="143"/>
        <v>-0.434440565864413</v>
      </c>
      <c r="AG273" s="32" t="str">
        <f t="shared" si="144"/>
        <v>0.581862509520001i</v>
      </c>
      <c r="AH273" s="32">
        <f t="shared" si="158"/>
        <v>0.58186250952000096</v>
      </c>
      <c r="AI273" s="32">
        <f t="shared" si="159"/>
        <v>1.5707963267948966</v>
      </c>
      <c r="AJ273" s="32" t="str">
        <f t="shared" si="145"/>
        <v>1+0.00576101494574258i</v>
      </c>
      <c r="AK273" s="32">
        <f t="shared" si="160"/>
        <v>1.0000165945089137</v>
      </c>
      <c r="AL273" s="32">
        <f t="shared" si="161"/>
        <v>5.7609512123403374E-3</v>
      </c>
      <c r="AM273" s="32" t="str">
        <f t="shared" si="146"/>
        <v>1+0.581862509520001i</v>
      </c>
      <c r="AN273" s="32">
        <f t="shared" si="162"/>
        <v>1.156963257837047</v>
      </c>
      <c r="AO273" s="32">
        <f t="shared" si="163"/>
        <v>0.52697634369086499</v>
      </c>
      <c r="AP273" s="60" t="str">
        <f t="shared" si="164"/>
        <v>-0.430124898581807+0.749115793527828i</v>
      </c>
      <c r="AQ273" s="51">
        <f t="shared" si="165"/>
        <v>-1.271552894836355</v>
      </c>
      <c r="AR273" s="63">
        <f t="shared" si="166"/>
        <v>119.86344220627426</v>
      </c>
      <c r="AS273" s="60" t="str">
        <f t="shared" si="167"/>
        <v>2.93886991382281+1.70540403050997i</v>
      </c>
      <c r="AT273" s="66">
        <f t="shared" si="168"/>
        <v>10.624074521838295</v>
      </c>
      <c r="AU273" s="63">
        <f t="shared" si="169"/>
        <v>30.126269951064291</v>
      </c>
      <c r="AX273" s="32">
        <f t="shared" si="170"/>
        <v>0</v>
      </c>
      <c r="AY273" s="32">
        <f t="shared" si="171"/>
        <v>0</v>
      </c>
    </row>
    <row r="274" spans="14:51" x14ac:dyDescent="0.3">
      <c r="N274" s="11">
        <v>56</v>
      </c>
      <c r="O274" s="52">
        <f t="shared" si="172"/>
        <v>3630.7805477010188</v>
      </c>
      <c r="P274" s="50" t="str">
        <f t="shared" si="138"/>
        <v>131.578947368421</v>
      </c>
      <c r="Q274" s="18" t="str">
        <f t="shared" si="139"/>
        <v>1+34.2193004863627i</v>
      </c>
      <c r="R274" s="18">
        <f t="shared" si="147"/>
        <v>34.233909005195166</v>
      </c>
      <c r="S274" s="18">
        <f t="shared" si="148"/>
        <v>1.5415813672550831</v>
      </c>
      <c r="T274" s="18" t="str">
        <f t="shared" si="140"/>
        <v>1+0.0000752824610699981i</v>
      </c>
      <c r="U274" s="18">
        <f t="shared" si="149"/>
        <v>1.0000000028337244</v>
      </c>
      <c r="V274" s="18">
        <f t="shared" si="150"/>
        <v>7.5282460927778261E-5</v>
      </c>
      <c r="W274" s="32" t="str">
        <f t="shared" si="141"/>
        <v>1-0.0182502935927268i</v>
      </c>
      <c r="X274" s="18">
        <f t="shared" si="151"/>
        <v>1.0001665227431984</v>
      </c>
      <c r="Y274" s="18">
        <f t="shared" si="152"/>
        <v>-1.8248267769565219E-2</v>
      </c>
      <c r="Z274" s="32" t="str">
        <f t="shared" si="142"/>
        <v>0.999991563156873+0.00772435671797428i</v>
      </c>
      <c r="AA274" s="18">
        <f t="shared" si="153"/>
        <v>1.0000213958069262</v>
      </c>
      <c r="AB274" s="18">
        <f t="shared" si="154"/>
        <v>7.7242682629719795E-3</v>
      </c>
      <c r="AC274" s="68" t="str">
        <f t="shared" si="155"/>
        <v>0.0127535190789512-3.84406346063997i</v>
      </c>
      <c r="AD274" s="66">
        <f t="shared" si="156"/>
        <v>11.695858777830077</v>
      </c>
      <c r="AE274" s="63">
        <f t="shared" si="157"/>
        <v>-89.809909450356557</v>
      </c>
      <c r="AF274" s="32" t="str">
        <f t="shared" si="143"/>
        <v>-0.434440565864413</v>
      </c>
      <c r="AG274" s="32" t="str">
        <f t="shared" si="144"/>
        <v>0.595415828462712i</v>
      </c>
      <c r="AH274" s="32">
        <f t="shared" si="158"/>
        <v>0.59541582846271202</v>
      </c>
      <c r="AI274" s="32">
        <f t="shared" si="159"/>
        <v>1.5707963267948966</v>
      </c>
      <c r="AJ274" s="32" t="str">
        <f t="shared" si="145"/>
        <v>1+0.00589520622240309i</v>
      </c>
      <c r="AK274" s="32">
        <f t="shared" si="160"/>
        <v>1.0000173765772296</v>
      </c>
      <c r="AL274" s="32">
        <f t="shared" si="161"/>
        <v>5.895137930896288E-3</v>
      </c>
      <c r="AM274" s="32" t="str">
        <f t="shared" si="146"/>
        <v>1+0.595415828462712i</v>
      </c>
      <c r="AN274" s="32">
        <f t="shared" si="162"/>
        <v>1.1638384805392619</v>
      </c>
      <c r="AO274" s="32">
        <f t="shared" si="163"/>
        <v>0.53704196790421432</v>
      </c>
      <c r="AP274" s="60" t="str">
        <f t="shared" si="164"/>
        <v>-0.430124225819651+0.732177956448645i</v>
      </c>
      <c r="AQ274" s="51">
        <f t="shared" si="165"/>
        <v>-1.4200967821369184</v>
      </c>
      <c r="AR274" s="63">
        <f t="shared" si="166"/>
        <v>120.43247165922384</v>
      </c>
      <c r="AS274" s="60" t="str">
        <f t="shared" si="167"/>
        <v>2.80905293154997+1.66276266554613i</v>
      </c>
      <c r="AT274" s="66">
        <f t="shared" si="168"/>
        <v>10.275761995693159</v>
      </c>
      <c r="AU274" s="63">
        <f t="shared" si="169"/>
        <v>30.622562208867286</v>
      </c>
      <c r="AX274" s="32">
        <f t="shared" si="170"/>
        <v>0</v>
      </c>
      <c r="AY274" s="32">
        <f t="shared" si="171"/>
        <v>0</v>
      </c>
    </row>
    <row r="275" spans="14:51" x14ac:dyDescent="0.3">
      <c r="N275" s="11">
        <v>57</v>
      </c>
      <c r="O275" s="52">
        <f t="shared" si="172"/>
        <v>3715.352290971724</v>
      </c>
      <c r="P275" s="50" t="str">
        <f t="shared" ref="P275:P338" si="173">COMPLEX(Adc,0)</f>
        <v>131.578947368421</v>
      </c>
      <c r="Q275" s="18" t="str">
        <f t="shared" ref="Q275:Q338" si="174">IMSUM(COMPLEX(1,0),IMDIV(COMPLEX(0,2*PI()*O275),COMPLEX(wp_lf,0)))</f>
        <v>1+35.0163703884444i</v>
      </c>
      <c r="R275" s="18">
        <f t="shared" si="147"/>
        <v>35.030646513884463</v>
      </c>
      <c r="S275" s="18">
        <f t="shared" si="148"/>
        <v>1.5422460154010114</v>
      </c>
      <c r="T275" s="18" t="str">
        <f t="shared" ref="T275:T338" si="175">IMSUM(COMPLEX(1,0),IMDIV(COMPLEX(0,2*PI()*O275),COMPLEX(wz_esr,0)))</f>
        <v>1+0.0000770360148545777i</v>
      </c>
      <c r="U275" s="18">
        <f t="shared" si="149"/>
        <v>1.0000000029672738</v>
      </c>
      <c r="V275" s="18">
        <f t="shared" si="150"/>
        <v>7.7036014702186407E-5</v>
      </c>
      <c r="W275" s="32" t="str">
        <f t="shared" ref="W275:W338" si="176">IMSUB(COMPLEX(1,0),IMDIV(COMPLEX(0,2*PI()*O275),COMPLEX(wz_rhp,0)))</f>
        <v>1-0.0186753975405037i</v>
      </c>
      <c r="X275" s="18">
        <f t="shared" si="151"/>
        <v>1.0001743700341934</v>
      </c>
      <c r="Y275" s="18">
        <f t="shared" si="152"/>
        <v>-1.8673226852315702E-2</v>
      </c>
      <c r="Z275" s="32" t="str">
        <f t="shared" ref="Z275:Z338" si="177">IMSUM(COMPLEX(1,0),IMDIV(COMPLEX(0,2*PI()*O275),COMPLEX(Q*(wsl/2),0)),IMDIV(IMPOWER(COMPLEX(0,2*PI()*O275),2),IMPOWER(COMPLEX(wsl/2,0),2)))</f>
        <v>0.999991165540707+0.00790428009937984i</v>
      </c>
      <c r="AA275" s="18">
        <f t="shared" si="153"/>
        <v>1.0000224041507026</v>
      </c>
      <c r="AB275" s="18">
        <f t="shared" si="154"/>
        <v>7.9041853182463557E-3</v>
      </c>
      <c r="AC275" s="68" t="str">
        <f t="shared" si="155"/>
        <v>0.00770094611675748-3.75667249718197i</v>
      </c>
      <c r="AD275" s="66">
        <f t="shared" si="156"/>
        <v>11.496084957494295</v>
      </c>
      <c r="AE275" s="63">
        <f t="shared" si="157"/>
        <v>-89.88254736258601</v>
      </c>
      <c r="AF275" s="32" t="str">
        <f t="shared" ref="AF275:AF338" si="178">COMPLEX(Adc_ea,0)</f>
        <v>-0.434440565864413</v>
      </c>
      <c r="AG275" s="32" t="str">
        <f t="shared" ref="AG275:AG338" si="179">IMDIV(COMPLEX(0,2*PI()*O275),COMPLEX(wp0_ea,0))</f>
        <v>0.609284844758933i</v>
      </c>
      <c r="AH275" s="32">
        <f t="shared" si="158"/>
        <v>0.60928484475893296</v>
      </c>
      <c r="AI275" s="32">
        <f t="shared" si="159"/>
        <v>1.5707963267948966</v>
      </c>
      <c r="AJ275" s="32" t="str">
        <f t="shared" ref="AJ275:AJ338" si="180">IMSUM(COMPLEX(1,0),IMDIV(COMPLEX(0,2*PI()*O275),COMPLEX(wp1_ea,0)))</f>
        <v>1+0.00603252321543498i</v>
      </c>
      <c r="AK275" s="32">
        <f t="shared" si="160"/>
        <v>1.0000181955026342</v>
      </c>
      <c r="AL275" s="32">
        <f t="shared" si="161"/>
        <v>6.032450039838968E-3</v>
      </c>
      <c r="AM275" s="32" t="str">
        <f t="shared" ref="AM275:AM338" si="181">IMSUM(COMPLEX(1,0),IMDIV(COMPLEX(0,2*PI()*O275),COMPLEX(wz_ea,0)))</f>
        <v>1+0.609284844758933i</v>
      </c>
      <c r="AN275" s="32">
        <f t="shared" si="162"/>
        <v>1.1709944585918914</v>
      </c>
      <c r="AO275" s="32">
        <f t="shared" si="163"/>
        <v>0.54721863581005581</v>
      </c>
      <c r="AP275" s="60" t="str">
        <f t="shared" si="164"/>
        <v>-0.430123521353446+0.715628329439575i</v>
      </c>
      <c r="AQ275" s="51">
        <f t="shared" si="165"/>
        <v>-1.5668613446885751</v>
      </c>
      <c r="AR275" s="63">
        <f t="shared" si="166"/>
        <v>121.00768437541629</v>
      </c>
      <c r="AS275" s="60" t="str">
        <f t="shared" si="167"/>
        <v>2.68506890534844+1.62134421826419i</v>
      </c>
      <c r="AT275" s="66">
        <f t="shared" si="168"/>
        <v>9.9292236128057212</v>
      </c>
      <c r="AU275" s="63">
        <f t="shared" si="169"/>
        <v>31.125137012830248</v>
      </c>
      <c r="AX275" s="32">
        <f t="shared" si="170"/>
        <v>0</v>
      </c>
      <c r="AY275" s="32">
        <f t="shared" si="171"/>
        <v>0</v>
      </c>
    </row>
    <row r="276" spans="14:51" x14ac:dyDescent="0.3">
      <c r="N276" s="11">
        <v>58</v>
      </c>
      <c r="O276" s="52">
        <f t="shared" si="172"/>
        <v>3801.8939632056172</v>
      </c>
      <c r="P276" s="50" t="str">
        <f t="shared" si="173"/>
        <v>131.578947368421</v>
      </c>
      <c r="Q276" s="18" t="str">
        <f t="shared" si="174"/>
        <v>1+35.8320064336024i</v>
      </c>
      <c r="R276" s="18">
        <f t="shared" ref="R276:R339" si="182">IMABS(Q276)</f>
        <v>35.845957722701783</v>
      </c>
      <c r="S276" s="18">
        <f t="shared" ref="S276:S339" si="183">IMARGUMENT(Q276)</f>
        <v>1.5428955586897621</v>
      </c>
      <c r="T276" s="18" t="str">
        <f t="shared" si="175"/>
        <v>1+0.0000788304141539254i</v>
      </c>
      <c r="U276" s="18">
        <f t="shared" ref="U276:U339" si="184">IMABS(T276)</f>
        <v>1.000000003107117</v>
      </c>
      <c r="V276" s="18">
        <f t="shared" ref="V276:V339" si="185">IMARGUMENT(T276)</f>
        <v>7.8830413990635192E-5</v>
      </c>
      <c r="W276" s="32" t="str">
        <f t="shared" si="176"/>
        <v>1-0.0191104034312546i</v>
      </c>
      <c r="X276" s="18">
        <f t="shared" ref="X276:X339" si="186">IMABS(W276)</f>
        <v>1.0001825870906298</v>
      </c>
      <c r="Y276" s="18">
        <f t="shared" ref="Y276:Y339" si="187">IMARGUMENT(W276)</f>
        <v>-1.9108077519887506E-2</v>
      </c>
      <c r="Z276" s="32" t="str">
        <f t="shared" si="177"/>
        <v>0.999990749185467+0.00808839443471961i</v>
      </c>
      <c r="AA276" s="18">
        <f t="shared" ref="AA276:AA339" si="188">IMABS(Z276)</f>
        <v>1.0000234600153353</v>
      </c>
      <c r="AB276" s="18">
        <f t="shared" ref="AB276:AB339" si="189">IMARGUMENT(Z276)</f>
        <v>8.0882928750277625E-3</v>
      </c>
      <c r="AC276" s="68" t="str">
        <f t="shared" ref="AC276:AC339" si="190">(IMDIV(IMPRODUCT(P276,T276,W276),IMPRODUCT(Q276,Z276)))</f>
        <v>0.00287543497596666-3.67126038903739i</v>
      </c>
      <c r="AD276" s="66">
        <f t="shared" ref="AD276:AD339" si="191">20*LOG(IMABS(AC276))</f>
        <v>11.296306434393896</v>
      </c>
      <c r="AE276" s="63">
        <f t="shared" ref="AE276:AE339" si="192">(180/PI())*IMARGUMENT(AC276)</f>
        <v>-89.955124334086833</v>
      </c>
      <c r="AF276" s="32" t="str">
        <f t="shared" si="178"/>
        <v>-0.434440565864413</v>
      </c>
      <c r="AG276" s="32" t="str">
        <f t="shared" si="179"/>
        <v>0.623476911944683i</v>
      </c>
      <c r="AH276" s="32">
        <f t="shared" ref="AH276:AH339" si="193">IMABS(AG276)</f>
        <v>0.62347691194468302</v>
      </c>
      <c r="AI276" s="32">
        <f t="shared" ref="AI276:AI339" si="194">IMARGUMENT(AG276)</f>
        <v>1.5707963267948966</v>
      </c>
      <c r="AJ276" s="32" t="str">
        <f t="shared" si="180"/>
        <v>1+0.00617303873212558i</v>
      </c>
      <c r="AK276" s="32">
        <f t="shared" ref="AK276:AK339" si="195">IMABS(AJ276)</f>
        <v>1.0000190530220854</v>
      </c>
      <c r="AL276" s="32">
        <f t="shared" ref="AL276:AL339" si="196">IMARGUMENT(AJ276)</f>
        <v>6.1729603231424649E-3</v>
      </c>
      <c r="AM276" s="32" t="str">
        <f t="shared" si="181"/>
        <v>1+0.623476911944683i</v>
      </c>
      <c r="AN276" s="32">
        <f t="shared" ref="AN276:AN339" si="197">IMABS(AM276)</f>
        <v>1.1784411142386699</v>
      </c>
      <c r="AO276" s="32">
        <f t="shared" ref="AO276:AO339" si="198">IMARGUMENT(AM276)</f>
        <v>0.55750331119814311</v>
      </c>
      <c r="AP276" s="60" t="str">
        <f t="shared" ref="AP276:AP339" si="199">IMPRODUCT(AF276,IMDIV(AM276,IMPRODUCT(AG276,AJ276)))</f>
        <v>-0.430122783689245+0.699458137642577i</v>
      </c>
      <c r="AQ276" s="51">
        <f t="shared" ref="AQ276:AQ339" si="200">20*LOG(IMABS(AP276))</f>
        <v>-1.7118078697559391</v>
      </c>
      <c r="AR276" s="63">
        <f t="shared" ref="AR276:AR339" si="201">(180/PI())*IMARGUMENT(AP276)</f>
        <v>121.58890222260436</v>
      </c>
      <c r="AS276" s="60" t="str">
        <f t="shared" ref="AS276:AS339" si="202">IMPRODUCT(AC276,AP276)</f>
        <v>2.56665616442088+1.58110398457402i</v>
      </c>
      <c r="AT276" s="66">
        <f t="shared" ref="AT276:AT339" si="203">20*LOG(IMABS(AS276))</f>
        <v>9.584498564637963</v>
      </c>
      <c r="AU276" s="63">
        <f t="shared" ref="AU276:AU339" si="204">(180/PI())*IMARGUMENT(AS276)</f>
        <v>31.6337778885174</v>
      </c>
      <c r="AX276" s="32">
        <f t="shared" ref="AX276:AX339" si="205">SUM((AT277&lt;0)*(AT276&gt;0))*O276</f>
        <v>0</v>
      </c>
      <c r="AY276" s="32">
        <f t="shared" ref="AY276:AY339" si="206">IF(AX276&gt;0,AU276,0)</f>
        <v>0</v>
      </c>
    </row>
    <row r="277" spans="14:51" x14ac:dyDescent="0.3">
      <c r="N277" s="11">
        <v>59</v>
      </c>
      <c r="O277" s="52">
        <f t="shared" si="172"/>
        <v>3890.451449942811</v>
      </c>
      <c r="P277" s="50" t="str">
        <f t="shared" si="173"/>
        <v>131.578947368421</v>
      </c>
      <c r="Q277" s="18" t="str">
        <f t="shared" si="174"/>
        <v>1+36.6666410828643i</v>
      </c>
      <c r="R277" s="18">
        <f t="shared" si="182"/>
        <v>36.680274921265145</v>
      </c>
      <c r="S277" s="18">
        <f t="shared" si="183"/>
        <v>1.543530339324158</v>
      </c>
      <c r="T277" s="18" t="str">
        <f t="shared" si="175"/>
        <v>1+0.0000806666103823015i</v>
      </c>
      <c r="U277" s="18">
        <f t="shared" si="184"/>
        <v>1.000000003253551</v>
      </c>
      <c r="V277" s="18">
        <f t="shared" si="185"/>
        <v>8.0666610207332881E-5</v>
      </c>
      <c r="W277" s="32" t="str">
        <f t="shared" si="176"/>
        <v>1-0.019555541910861i</v>
      </c>
      <c r="X277" s="18">
        <f t="shared" si="186"/>
        <v>1.0001911913326509</v>
      </c>
      <c r="Y277" s="18">
        <f t="shared" si="187"/>
        <v>-1.9553049677658394E-2</v>
      </c>
      <c r="Z277" s="32" t="str">
        <f t="shared" si="177"/>
        <v>0.99999031320801+0.00827679734385123i</v>
      </c>
      <c r="AA277" s="18">
        <f t="shared" si="188"/>
        <v>1.0000245656403273</v>
      </c>
      <c r="AB277" s="18">
        <f t="shared" si="189"/>
        <v>8.2766885208181672E-3</v>
      </c>
      <c r="AC277" s="68" t="str">
        <f t="shared" si="190"/>
        <v>-0.00173320098147958-3.58778271476524i</v>
      </c>
      <c r="AD277" s="66">
        <f t="shared" si="191"/>
        <v>11.096523677343752</v>
      </c>
      <c r="AE277" s="63">
        <f t="shared" si="192"/>
        <v>-90.027678681084296</v>
      </c>
      <c r="AF277" s="32" t="str">
        <f t="shared" si="178"/>
        <v>-0.434440565864413</v>
      </c>
      <c r="AG277" s="32" t="str">
        <f t="shared" si="179"/>
        <v>0.637999554841839i</v>
      </c>
      <c r="AH277" s="32">
        <f t="shared" si="193"/>
        <v>0.63799955484183901</v>
      </c>
      <c r="AI277" s="32">
        <f t="shared" si="194"/>
        <v>1.5707963267948966</v>
      </c>
      <c r="AJ277" s="32" t="str">
        <f t="shared" si="180"/>
        <v>1+0.00631682727566178i</v>
      </c>
      <c r="AK277" s="32">
        <f t="shared" si="195"/>
        <v>1.000019950954395</v>
      </c>
      <c r="AL277" s="32">
        <f t="shared" si="196"/>
        <v>6.3167432590131968E-3</v>
      </c>
      <c r="AM277" s="32" t="str">
        <f t="shared" si="181"/>
        <v>1+0.637999554841839i</v>
      </c>
      <c r="AN277" s="32">
        <f t="shared" si="197"/>
        <v>1.1861886156840256</v>
      </c>
      <c r="AO277" s="32">
        <f t="shared" si="198"/>
        <v>0.56789274388878175</v>
      </c>
      <c r="AP277" s="60" t="str">
        <f t="shared" si="199"/>
        <v>-0.430122011262713+0.683658807379271i</v>
      </c>
      <c r="AQ277" s="51">
        <f t="shared" si="200"/>
        <v>-1.8548983575598679</v>
      </c>
      <c r="AR277" s="63">
        <f t="shared" si="201"/>
        <v>122.17593471192185</v>
      </c>
      <c r="AS277" s="60" t="str">
        <f t="shared" si="202"/>
        <v>2.45356473980444+1.54199939913247i</v>
      </c>
      <c r="AT277" s="66">
        <f t="shared" si="203"/>
        <v>9.2416253197838696</v>
      </c>
      <c r="AU277" s="63">
        <f t="shared" si="204"/>
        <v>32.148256030837508</v>
      </c>
      <c r="AX277" s="32">
        <f t="shared" si="205"/>
        <v>0</v>
      </c>
      <c r="AY277" s="32">
        <f t="shared" si="206"/>
        <v>0</v>
      </c>
    </row>
    <row r="278" spans="14:51" x14ac:dyDescent="0.3">
      <c r="N278" s="11">
        <v>60</v>
      </c>
      <c r="O278" s="52">
        <f t="shared" si="172"/>
        <v>3981.0717055349769</v>
      </c>
      <c r="P278" s="50" t="str">
        <f t="shared" si="173"/>
        <v>131.578947368421</v>
      </c>
      <c r="Q278" s="18" t="str">
        <f t="shared" si="174"/>
        <v>1+37.5207168705685i</v>
      </c>
      <c r="R278" s="18">
        <f t="shared" si="182"/>
        <v>37.534040476364432</v>
      </c>
      <c r="S278" s="18">
        <f t="shared" si="183"/>
        <v>1.544150691825861</v>
      </c>
      <c r="T278" s="18" t="str">
        <f t="shared" si="175"/>
        <v>1+0.0000825455771152508i</v>
      </c>
      <c r="U278" s="18">
        <f t="shared" si="184"/>
        <v>1.0000000034068861</v>
      </c>
      <c r="V278" s="18">
        <f t="shared" si="185"/>
        <v>8.2545576927768542E-5</v>
      </c>
      <c r="W278" s="32" t="str">
        <f t="shared" si="176"/>
        <v>1-0.0200110489976366i</v>
      </c>
      <c r="X278" s="18">
        <f t="shared" si="186"/>
        <v>1.0002002010007727</v>
      </c>
      <c r="Y278" s="18">
        <f t="shared" si="187"/>
        <v>-2.0008378550515106E-2</v>
      </c>
      <c r="Z278" s="32" t="str">
        <f t="shared" si="177"/>
        <v>0.999989856683568+0.00846958872049091i</v>
      </c>
      <c r="AA278" s="18">
        <f t="shared" si="188"/>
        <v>1.0000257233707126</v>
      </c>
      <c r="AB278" s="18">
        <f t="shared" si="189"/>
        <v>8.4694721146642837E-3</v>
      </c>
      <c r="AC278" s="68" t="str">
        <f t="shared" si="190"/>
        <v>-0.00613469267017194-3.5061960209857i</v>
      </c>
      <c r="AD278" s="66">
        <f t="shared" si="191"/>
        <v>10.89673714623375</v>
      </c>
      <c r="AE278" s="63">
        <f t="shared" si="192"/>
        <v>-90.100248713371215</v>
      </c>
      <c r="AF278" s="32" t="str">
        <f t="shared" si="178"/>
        <v>-0.434440565864413</v>
      </c>
      <c r="AG278" s="32" t="str">
        <f t="shared" si="179"/>
        <v>0.652860473547893i</v>
      </c>
      <c r="AH278" s="32">
        <f t="shared" si="193"/>
        <v>0.65286047354789301</v>
      </c>
      <c r="AI278" s="32">
        <f t="shared" si="194"/>
        <v>1.5707963267948966</v>
      </c>
      <c r="AJ278" s="32" t="str">
        <f t="shared" si="180"/>
        <v>1+0.00646396508463261i</v>
      </c>
      <c r="AK278" s="32">
        <f t="shared" si="195"/>
        <v>1.0000208912040864</v>
      </c>
      <c r="AL278" s="32">
        <f t="shared" si="196"/>
        <v>6.4638750592732651E-3</v>
      </c>
      <c r="AM278" s="32" t="str">
        <f t="shared" si="181"/>
        <v>1+0.652860473547893i</v>
      </c>
      <c r="AN278" s="32">
        <f t="shared" si="197"/>
        <v>1.1942473771883191</v>
      </c>
      <c r="AO278" s="32">
        <f t="shared" si="198"/>
        <v>0.57838347067718388</v>
      </c>
      <c r="AP278" s="60" t="str">
        <f t="shared" si="199"/>
        <v>-0.430121202435814+0.668221961604927i</v>
      </c>
      <c r="AQ278" s="51">
        <f t="shared" si="200"/>
        <v>-1.9960956336279065</v>
      </c>
      <c r="AR278" s="63">
        <f t="shared" si="201"/>
        <v>122.768579049735</v>
      </c>
      <c r="AS278" s="60" t="str">
        <f t="shared" si="202"/>
        <v>2.34555584430232+1.50398991215213i</v>
      </c>
      <c r="AT278" s="66">
        <f t="shared" si="203"/>
        <v>8.9006415126058371</v>
      </c>
      <c r="AU278" s="63">
        <f t="shared" si="204"/>
        <v>32.668330336363795</v>
      </c>
      <c r="AX278" s="32">
        <f t="shared" si="205"/>
        <v>0</v>
      </c>
      <c r="AY278" s="32">
        <f t="shared" si="206"/>
        <v>0</v>
      </c>
    </row>
    <row r="279" spans="14:51" x14ac:dyDescent="0.3">
      <c r="N279" s="11">
        <v>61</v>
      </c>
      <c r="O279" s="52">
        <f t="shared" si="172"/>
        <v>4073.8027780411317</v>
      </c>
      <c r="P279" s="50" t="str">
        <f t="shared" si="173"/>
        <v>131.578947368421</v>
      </c>
      <c r="Q279" s="18" t="str">
        <f t="shared" si="174"/>
        <v>1+38.3946866390031i</v>
      </c>
      <c r="R279" s="18">
        <f t="shared" si="182"/>
        <v>38.407707066515215</v>
      </c>
      <c r="S279" s="18">
        <f t="shared" si="183"/>
        <v>1.5447569432030079</v>
      </c>
      <c r="T279" s="18" t="str">
        <f t="shared" si="175"/>
        <v>1+0.0000844683106058068i</v>
      </c>
      <c r="U279" s="18">
        <f t="shared" si="184"/>
        <v>1.0000000035674477</v>
      </c>
      <c r="V279" s="18">
        <f t="shared" si="185"/>
        <v>8.4468310404915941E-5</v>
      </c>
      <c r="W279" s="32" t="str">
        <f t="shared" si="176"/>
        <v>1-0.0204771662074683i</v>
      </c>
      <c r="X279" s="18">
        <f t="shared" si="186"/>
        <v>1.0002096351944869</v>
      </c>
      <c r="Y279" s="18">
        <f t="shared" si="187"/>
        <v>-2.0474304804213868E-2</v>
      </c>
      <c r="Z279" s="32" t="str">
        <f t="shared" si="177"/>
        <v>0.999989378643792+0.00866687078517847i</v>
      </c>
      <c r="AA279" s="18">
        <f t="shared" si="188"/>
        <v>1.000026935662037</v>
      </c>
      <c r="AB279" s="18">
        <f t="shared" si="189"/>
        <v>8.6667458399570969E-3</v>
      </c>
      <c r="AC279" s="68" t="str">
        <f t="shared" si="190"/>
        <v>-0.0103383355444762-3.4264578031694i</v>
      </c>
      <c r="AD279" s="66">
        <f t="shared" si="191"/>
        <v>10.696947292996144</v>
      </c>
      <c r="AE279" s="63">
        <f t="shared" si="192"/>
        <v>-90.172872753861753</v>
      </c>
      <c r="AF279" s="32" t="str">
        <f t="shared" si="178"/>
        <v>-0.434440565864413</v>
      </c>
      <c r="AG279" s="32" t="str">
        <f t="shared" si="179"/>
        <v>0.668067547518654i</v>
      </c>
      <c r="AH279" s="32">
        <f t="shared" si="193"/>
        <v>0.66806754751865405</v>
      </c>
      <c r="AI279" s="32">
        <f t="shared" si="194"/>
        <v>1.5707963267948966</v>
      </c>
      <c r="AJ279" s="32" t="str">
        <f t="shared" si="180"/>
        <v>1+0.00661453017345203i</v>
      </c>
      <c r="AK279" s="32">
        <f t="shared" si="195"/>
        <v>1.0000218757654331</v>
      </c>
      <c r="AL279" s="32">
        <f t="shared" si="196"/>
        <v>6.6144337096554987E-3</v>
      </c>
      <c r="AM279" s="32" t="str">
        <f t="shared" si="181"/>
        <v>1+0.668067547518654i</v>
      </c>
      <c r="AN279" s="32">
        <f t="shared" si="197"/>
        <v>1.2026280588975085</v>
      </c>
      <c r="AO279" s="32">
        <f t="shared" si="198"/>
        <v>0.58897181717857716</v>
      </c>
      <c r="AP279" s="60" t="str">
        <f t="shared" si="199"/>
        <v>-0.430120355493338+0.65313941546668i</v>
      </c>
      <c r="AQ279" s="51">
        <f t="shared" si="200"/>
        <v>-2.1353634625677573</v>
      </c>
      <c r="AR279" s="63">
        <f t="shared" si="201"/>
        <v>123.36662024105081</v>
      </c>
      <c r="AS279" s="60" t="str">
        <f t="shared" si="202"/>
        <v>2.24240137524291+1.46703687394773i</v>
      </c>
      <c r="AT279" s="66">
        <f t="shared" si="203"/>
        <v>8.5615838304284058</v>
      </c>
      <c r="AU279" s="63">
        <f t="shared" si="204"/>
        <v>33.193747487189064</v>
      </c>
      <c r="AX279" s="32">
        <f t="shared" si="205"/>
        <v>0</v>
      </c>
      <c r="AY279" s="32">
        <f t="shared" si="206"/>
        <v>0</v>
      </c>
    </row>
    <row r="280" spans="14:51" x14ac:dyDescent="0.3">
      <c r="N280" s="11">
        <v>62</v>
      </c>
      <c r="O280" s="52">
        <f t="shared" si="172"/>
        <v>4168.6938347033583</v>
      </c>
      <c r="P280" s="50" t="str">
        <f t="shared" si="173"/>
        <v>131.578947368421</v>
      </c>
      <c r="Q280" s="18" t="str">
        <f t="shared" si="174"/>
        <v>1+39.2890137785074i</v>
      </c>
      <c r="R280" s="18">
        <f t="shared" si="182"/>
        <v>39.301737921976738</v>
      </c>
      <c r="S280" s="18">
        <f t="shared" si="183"/>
        <v>1.5453494131145058</v>
      </c>
      <c r="T280" s="18" t="str">
        <f t="shared" si="175"/>
        <v>1+0.0000864358303127164i</v>
      </c>
      <c r="U280" s="18">
        <f t="shared" si="184"/>
        <v>1.0000000037355763</v>
      </c>
      <c r="V280" s="18">
        <f t="shared" si="185"/>
        <v>8.643583009745797E-5</v>
      </c>
      <c r="W280" s="32" t="str">
        <f t="shared" si="176"/>
        <v>1-0.0209541406818706i</v>
      </c>
      <c r="X280" s="18">
        <f t="shared" si="186"/>
        <v>1.0002195139126788</v>
      </c>
      <c r="Y280" s="18">
        <f t="shared" si="187"/>
        <v>-2.0951074669384423E-2</v>
      </c>
      <c r="Z280" s="32" t="str">
        <f t="shared" si="177"/>
        <v>0.999988878074696+0.00886874813947595i</v>
      </c>
      <c r="AA280" s="18">
        <f t="shared" si="188"/>
        <v>1.000028205085562</v>
      </c>
      <c r="AB280" s="18">
        <f t="shared" si="189"/>
        <v>8.8686142584532123E-3</v>
      </c>
      <c r="AC280" s="68" t="str">
        <f t="shared" si="190"/>
        <v>-0.0143530089711896-3.34852648667629i</v>
      </c>
      <c r="AD280" s="66">
        <f t="shared" si="191"/>
        <v>10.497154562557311</v>
      </c>
      <c r="AE280" s="63">
        <f t="shared" si="192"/>
        <v>-90.245589158174681</v>
      </c>
      <c r="AF280" s="32" t="str">
        <f t="shared" si="178"/>
        <v>-0.434440565864413</v>
      </c>
      <c r="AG280" s="32" t="str">
        <f t="shared" si="179"/>
        <v>0.68362883974603i</v>
      </c>
      <c r="AH280" s="32">
        <f t="shared" si="193"/>
        <v>0.68362883974602995</v>
      </c>
      <c r="AI280" s="32">
        <f t="shared" si="194"/>
        <v>1.5707963267948966</v>
      </c>
      <c r="AJ280" s="32" t="str">
        <f t="shared" si="180"/>
        <v>1+0.00676860237372307i</v>
      </c>
      <c r="AK280" s="32">
        <f t="shared" si="195"/>
        <v>1.0000229067266877</v>
      </c>
      <c r="AL280" s="32">
        <f t="shared" si="196"/>
        <v>6.768499011030704E-3</v>
      </c>
      <c r="AM280" s="32" t="str">
        <f t="shared" si="181"/>
        <v>1+0.68362883974603i</v>
      </c>
      <c r="AN280" s="32">
        <f t="shared" si="197"/>
        <v>1.2113415664182019</v>
      </c>
      <c r="AO280" s="32">
        <f t="shared" si="198"/>
        <v>0.59965390060636214</v>
      </c>
      <c r="AP280" s="60" t="str">
        <f t="shared" si="199"/>
        <v>-0.430119468639267+0.638403171963675i</v>
      </c>
      <c r="AQ280" s="51">
        <f t="shared" si="200"/>
        <v>-2.2726666626443195</v>
      </c>
      <c r="AR280" s="63">
        <f t="shared" si="201"/>
        <v>123.96983124633135</v>
      </c>
      <c r="AS280" s="60" t="str">
        <f t="shared" si="202"/>
        <v>2.14388343909059+1.43110342671929i</v>
      </c>
      <c r="AT280" s="66">
        <f t="shared" si="203"/>
        <v>8.2244878999130062</v>
      </c>
      <c r="AU280" s="63">
        <f t="shared" si="204"/>
        <v>33.7242420881567</v>
      </c>
      <c r="AX280" s="32">
        <f t="shared" si="205"/>
        <v>0</v>
      </c>
      <c r="AY280" s="32">
        <f t="shared" si="206"/>
        <v>0</v>
      </c>
    </row>
    <row r="281" spans="14:51" x14ac:dyDescent="0.3">
      <c r="N281" s="11">
        <v>63</v>
      </c>
      <c r="O281" s="52">
        <f t="shared" si="172"/>
        <v>4265.7951880159299</v>
      </c>
      <c r="P281" s="50" t="str">
        <f t="shared" si="173"/>
        <v>131.578947368421</v>
      </c>
      <c r="Q281" s="18" t="str">
        <f t="shared" si="174"/>
        <v>1+40.2041724731686i</v>
      </c>
      <c r="R281" s="18">
        <f t="shared" si="182"/>
        <v>40.216607070366933</v>
      </c>
      <c r="S281" s="18">
        <f t="shared" si="183"/>
        <v>1.5459284140310383</v>
      </c>
      <c r="T281" s="18" t="str">
        <f t="shared" si="175"/>
        <v>1+0.000088449179440971i</v>
      </c>
      <c r="U281" s="18">
        <f t="shared" si="184"/>
        <v>1.0000000039116286</v>
      </c>
      <c r="V281" s="18">
        <f t="shared" si="185"/>
        <v>8.8449179210317436E-5</v>
      </c>
      <c r="W281" s="32" t="str">
        <f t="shared" si="176"/>
        <v>1-0.0214422253190233i</v>
      </c>
      <c r="X281" s="18">
        <f t="shared" si="186"/>
        <v>1.0002298580959437</v>
      </c>
      <c r="Y281" s="18">
        <f t="shared" si="187"/>
        <v>-2.1438940068228378E-2</v>
      </c>
      <c r="Z281" s="32" t="str">
        <f t="shared" si="177"/>
        <v>0.999988353914505+0.00907532782142871i</v>
      </c>
      <c r="AA281" s="18">
        <f t="shared" si="188"/>
        <v>1.0000295343337156</v>
      </c>
      <c r="AB281" s="18">
        <f t="shared" si="189"/>
        <v>9.0751843655459841E-3</v>
      </c>
      <c r="AC281" s="68" t="str">
        <f t="shared" si="190"/>
        <v>-0.0181871947498249-3.27236140805011i</v>
      </c>
      <c r="AD281" s="66">
        <f t="shared" si="191"/>
        <v>10.297359393774105</v>
      </c>
      <c r="AE281" s="63">
        <f t="shared" si="192"/>
        <v>-90.318436334253548</v>
      </c>
      <c r="AF281" s="32" t="str">
        <f t="shared" si="178"/>
        <v>-0.434440565864413</v>
      </c>
      <c r="AG281" s="32" t="str">
        <f t="shared" si="179"/>
        <v>0.699552601033135i</v>
      </c>
      <c r="AH281" s="32">
        <f t="shared" si="193"/>
        <v>0.69955260103313499</v>
      </c>
      <c r="AI281" s="32">
        <f t="shared" si="194"/>
        <v>1.5707963267948966</v>
      </c>
      <c r="AJ281" s="32" t="str">
        <f t="shared" si="180"/>
        <v>1+0.00692626337656569i</v>
      </c>
      <c r="AK281" s="32">
        <f t="shared" si="195"/>
        <v>1.0000239862745099</v>
      </c>
      <c r="AL281" s="32">
        <f t="shared" si="196"/>
        <v>6.9261526215888556E-3</v>
      </c>
      <c r="AM281" s="32" t="str">
        <f t="shared" si="181"/>
        <v>1+0.699552601033135i</v>
      </c>
      <c r="AN281" s="32">
        <f t="shared" si="197"/>
        <v>1.2203990501521313</v>
      </c>
      <c r="AO281" s="32">
        <f t="shared" si="198"/>
        <v>0.61042563350946288</v>
      </c>
      <c r="AP281" s="60" t="str">
        <f t="shared" si="199"/>
        <v>-0.430118539992972+0.624005417706787i</v>
      </c>
      <c r="AQ281" s="51">
        <f t="shared" si="200"/>
        <v>-2.4079712205003614</v>
      </c>
      <c r="AR281" s="63">
        <f t="shared" si="201"/>
        <v>124.57797319321134</v>
      </c>
      <c r="AS281" s="60" t="str">
        <f t="shared" si="202"/>
        <v>2.04979389697024+1.39615440310308i</v>
      </c>
      <c r="AT281" s="66">
        <f t="shared" si="203"/>
        <v>7.8893881732737405</v>
      </c>
      <c r="AU281" s="63">
        <f t="shared" si="204"/>
        <v>34.259536858957787</v>
      </c>
      <c r="AX281" s="32">
        <f t="shared" si="205"/>
        <v>0</v>
      </c>
      <c r="AY281" s="32">
        <f t="shared" si="206"/>
        <v>0</v>
      </c>
    </row>
    <row r="282" spans="14:51" x14ac:dyDescent="0.3">
      <c r="N282" s="11">
        <v>64</v>
      </c>
      <c r="O282" s="52">
        <f t="shared" si="172"/>
        <v>4365.1583224016631</v>
      </c>
      <c r="P282" s="50" t="str">
        <f t="shared" si="173"/>
        <v>131.578947368421</v>
      </c>
      <c r="Q282" s="18" t="str">
        <f t="shared" si="174"/>
        <v>1+41.1406479522402i</v>
      </c>
      <c r="R282" s="18">
        <f t="shared" si="182"/>
        <v>41.152799588000882</v>
      </c>
      <c r="S282" s="18">
        <f t="shared" si="183"/>
        <v>1.5464942513928217</v>
      </c>
      <c r="T282" s="18" t="str">
        <f t="shared" si="175"/>
        <v>1+0.0000905094254949285i</v>
      </c>
      <c r="U282" s="18">
        <f t="shared" si="184"/>
        <v>1.000000004095978</v>
      </c>
      <c r="V282" s="18">
        <f t="shared" si="185"/>
        <v>9.050942524777876E-5</v>
      </c>
      <c r="W282" s="32" t="str">
        <f t="shared" si="176"/>
        <v>1-0.0219416789078614i</v>
      </c>
      <c r="X282" s="18">
        <f t="shared" si="186"/>
        <v>1.0002406896708891</v>
      </c>
      <c r="Y282" s="18">
        <f t="shared" si="187"/>
        <v>-2.1938158743960021E-2</v>
      </c>
      <c r="Z282" s="32" t="str">
        <f t="shared" si="177"/>
        <v>0.999987805051405+0.00928671936231854i</v>
      </c>
      <c r="AA282" s="18">
        <f t="shared" si="188"/>
        <v>1.0000309262258049</v>
      </c>
      <c r="AB282" s="18">
        <f t="shared" si="189"/>
        <v>9.2865656468150582E-3</v>
      </c>
      <c r="AC282" s="68" t="str">
        <f t="shared" si="190"/>
        <v>-0.0218489948171507-3.1979227965748i</v>
      </c>
      <c r="AD282" s="66">
        <f t="shared" si="191"/>
        <v>10.097562220358274</v>
      </c>
      <c r="AE282" s="63">
        <f t="shared" si="192"/>
        <v>-90.39145276203017</v>
      </c>
      <c r="AF282" s="32" t="str">
        <f t="shared" si="178"/>
        <v>-0.434440565864413</v>
      </c>
      <c r="AG282" s="32" t="str">
        <f t="shared" si="179"/>
        <v>0.71584727436898i</v>
      </c>
      <c r="AH282" s="32">
        <f t="shared" si="193"/>
        <v>0.71584727436897999</v>
      </c>
      <c r="AI282" s="32">
        <f t="shared" si="194"/>
        <v>1.5707963267948966</v>
      </c>
      <c r="AJ282" s="32" t="str">
        <f t="shared" si="180"/>
        <v>1+0.0070875967759305i</v>
      </c>
      <c r="AK282" s="32">
        <f t="shared" si="195"/>
        <v>1.0000251166986047</v>
      </c>
      <c r="AL282" s="32">
        <f t="shared" si="196"/>
        <v>7.0874780999956527E-3</v>
      </c>
      <c r="AM282" s="32" t="str">
        <f t="shared" si="181"/>
        <v>1+0.71584727436898i</v>
      </c>
      <c r="AN282" s="32">
        <f t="shared" si="197"/>
        <v>1.2298119044071323</v>
      </c>
      <c r="AO282" s="32">
        <f t="shared" si="198"/>
        <v>0.62128272848811572</v>
      </c>
      <c r="AP282" s="60" t="str">
        <f t="shared" si="199"/>
        <v>-0.430117567585223+0.609938518775663i</v>
      </c>
      <c r="AQ282" s="51">
        <f t="shared" si="200"/>
        <v>-2.5412444053242682</v>
      </c>
      <c r="AR282" s="63">
        <f t="shared" si="201"/>
        <v>125.19079564422009</v>
      </c>
      <c r="AS282" s="60" t="str">
        <f t="shared" si="202"/>
        <v>1.95993393020669+1.36215623105258i</v>
      </c>
      <c r="AT282" s="66">
        <f t="shared" si="203"/>
        <v>7.5563178150340011</v>
      </c>
      <c r="AU282" s="63">
        <f t="shared" si="204"/>
        <v>34.799342882190039</v>
      </c>
      <c r="AX282" s="32">
        <f t="shared" si="205"/>
        <v>0</v>
      </c>
      <c r="AY282" s="32">
        <f t="shared" si="206"/>
        <v>0</v>
      </c>
    </row>
    <row r="283" spans="14:51" x14ac:dyDescent="0.3">
      <c r="N283" s="11">
        <v>65</v>
      </c>
      <c r="O283" s="52">
        <f t="shared" si="172"/>
        <v>4466.8359215096343</v>
      </c>
      <c r="P283" s="50" t="str">
        <f t="shared" si="173"/>
        <v>131.578947368421</v>
      </c>
      <c r="Q283" s="18" t="str">
        <f t="shared" si="174"/>
        <v>1+42.0989367474169i</v>
      </c>
      <c r="R283" s="18">
        <f t="shared" si="182"/>
        <v>42.110811857087356</v>
      </c>
      <c r="S283" s="18">
        <f t="shared" si="183"/>
        <v>1.5470472237641633</v>
      </c>
      <c r="T283" s="18" t="str">
        <f t="shared" si="175"/>
        <v>1+0.0000926176608443173i</v>
      </c>
      <c r="U283" s="18">
        <f t="shared" si="184"/>
        <v>1.0000000042890156</v>
      </c>
      <c r="V283" s="18">
        <f t="shared" si="185"/>
        <v>9.2617660579491577E-5</v>
      </c>
      <c r="W283" s="32" t="str">
        <f t="shared" si="176"/>
        <v>1-0.022452766265289i</v>
      </c>
      <c r="X283" s="18">
        <f t="shared" si="186"/>
        <v>1.0002520315965191</v>
      </c>
      <c r="Y283" s="18">
        <f t="shared" si="187"/>
        <v>-2.2448994393039469E-2</v>
      </c>
      <c r="Z283" s="32" t="str">
        <f t="shared" si="177"/>
        <v>0.999987230321184+0.00950303484473856i</v>
      </c>
      <c r="AA283" s="18">
        <f t="shared" si="188"/>
        <v>1.0000323837139939</v>
      </c>
      <c r="AB283" s="18">
        <f t="shared" si="189"/>
        <v>9.5028701358831867E-3</v>
      </c>
      <c r="AC283" s="68" t="str">
        <f t="shared" si="190"/>
        <v>-0.0253461481711304-3.12517175609736i</v>
      </c>
      <c r="AD283" s="66">
        <f t="shared" si="191"/>
        <v>9.8977634717899825</v>
      </c>
      <c r="AE283" s="63">
        <f t="shared" si="192"/>
        <v>-90.464677013139067</v>
      </c>
      <c r="AF283" s="32" t="str">
        <f t="shared" si="178"/>
        <v>-0.434440565864413</v>
      </c>
      <c r="AG283" s="32" t="str">
        <f t="shared" si="179"/>
        <v>0.732521499405056i</v>
      </c>
      <c r="AH283" s="32">
        <f t="shared" si="193"/>
        <v>0.73252149940505595</v>
      </c>
      <c r="AI283" s="32">
        <f t="shared" si="194"/>
        <v>1.5707963267948966</v>
      </c>
      <c r="AJ283" s="32" t="str">
        <f t="shared" si="180"/>
        <v>1+0.00725268811292134i</v>
      </c>
      <c r="AK283" s="32">
        <f t="shared" si="195"/>
        <v>1.0000263003965764</v>
      </c>
      <c r="AL283" s="32">
        <f t="shared" si="196"/>
        <v>7.2525609495467085E-3</v>
      </c>
      <c r="AM283" s="32" t="str">
        <f t="shared" si="181"/>
        <v>1+0.732521499405056i</v>
      </c>
      <c r="AN283" s="32">
        <f t="shared" si="197"/>
        <v>1.2395917663047911</v>
      </c>
      <c r="AO283" s="32">
        <f t="shared" si="198"/>
        <v>0.63222070389983387</v>
      </c>
      <c r="AP283" s="60" t="str">
        <f t="shared" si="199"/>
        <v>-0.430116549354021+0.596195016670917i</v>
      </c>
      <c r="AQ283" s="51">
        <f t="shared" si="200"/>
        <v>-2.6724548817372771</v>
      </c>
      <c r="AR283" s="63">
        <f t="shared" si="201"/>
        <v>125.80803692118026</v>
      </c>
      <c r="AS283" s="60" t="str">
        <f t="shared" si="202"/>
        <v>1.87411362501673+1.32907684463981i</v>
      </c>
      <c r="AT283" s="66">
        <f t="shared" si="203"/>
        <v>7.225308590052709</v>
      </c>
      <c r="AU283" s="63">
        <f t="shared" si="204"/>
        <v>35.343359908041108</v>
      </c>
      <c r="AX283" s="32">
        <f t="shared" si="205"/>
        <v>0</v>
      </c>
      <c r="AY283" s="32">
        <f t="shared" si="206"/>
        <v>0</v>
      </c>
    </row>
    <row r="284" spans="14:51" x14ac:dyDescent="0.3">
      <c r="N284" s="11">
        <v>66</v>
      </c>
      <c r="O284" s="52">
        <f t="shared" ref="O284:O318" si="207">10^(3+(N284/100))</f>
        <v>4570.8818961487532</v>
      </c>
      <c r="P284" s="50" t="str">
        <f t="shared" si="173"/>
        <v>131.578947368421</v>
      </c>
      <c r="Q284" s="18" t="str">
        <f t="shared" si="174"/>
        <v>1+43.0795469561025i</v>
      </c>
      <c r="R284" s="18">
        <f t="shared" si="182"/>
        <v>43.091151828920047</v>
      </c>
      <c r="S284" s="18">
        <f t="shared" si="183"/>
        <v>1.547587622984862</v>
      </c>
      <c r="T284" s="18" t="str">
        <f t="shared" si="175"/>
        <v>1+0.0000947750033034255i</v>
      </c>
      <c r="U284" s="18">
        <f t="shared" si="184"/>
        <v>1.0000000044911506</v>
      </c>
      <c r="V284" s="18">
        <f t="shared" si="185"/>
        <v>9.4775003019659622E-5</v>
      </c>
      <c r="W284" s="32" t="str">
        <f t="shared" si="176"/>
        <v>1-0.022975758376588i</v>
      </c>
      <c r="X284" s="18">
        <f t="shared" si="186"/>
        <v>1.0002639079127964</v>
      </c>
      <c r="Y284" s="18">
        <f t="shared" si="187"/>
        <v>-2.2971716800245227E-2</v>
      </c>
      <c r="Z284" s="32" t="str">
        <f t="shared" si="177"/>
        <v>0.999986628504762+0.00972438896202079i</v>
      </c>
      <c r="AA284" s="18">
        <f t="shared" si="188"/>
        <v>1.0000339098895625</v>
      </c>
      <c r="AB284" s="18">
        <f t="shared" si="189"/>
        <v>9.7242124736100811E-3</v>
      </c>
      <c r="AC284" s="68" t="str">
        <f t="shared" si="190"/>
        <v>-0.0286860470479544-3.05407024712118i</v>
      </c>
      <c r="AD284" s="66">
        <f t="shared" si="191"/>
        <v>9.6979635742221877</v>
      </c>
      <c r="AE284" s="63">
        <f t="shared" si="192"/>
        <v>-90.538147770689605</v>
      </c>
      <c r="AF284" s="32" t="str">
        <f t="shared" si="178"/>
        <v>-0.434440565864413</v>
      </c>
      <c r="AG284" s="32" t="str">
        <f t="shared" si="179"/>
        <v>0.749584117036184i</v>
      </c>
      <c r="AH284" s="32">
        <f t="shared" si="193"/>
        <v>0.74958411703618399</v>
      </c>
      <c r="AI284" s="32">
        <f t="shared" si="194"/>
        <v>1.5707963267948966</v>
      </c>
      <c r="AJ284" s="32" t="str">
        <f t="shared" si="180"/>
        <v>1+0.00742162492115034i</v>
      </c>
      <c r="AK284" s="32">
        <f t="shared" si="195"/>
        <v>1.0000275398790126</v>
      </c>
      <c r="AL284" s="32">
        <f t="shared" si="196"/>
        <v>7.4214886633421672E-3</v>
      </c>
      <c r="AM284" s="32" t="str">
        <f t="shared" si="181"/>
        <v>1+0.749584117036184i</v>
      </c>
      <c r="AN284" s="32">
        <f t="shared" si="197"/>
        <v>1.2497505145079619</v>
      </c>
      <c r="AO284" s="32">
        <f t="shared" si="198"/>
        <v>0.64323489055922856</v>
      </c>
      <c r="AP284" s="60" t="str">
        <f t="shared" si="199"/>
        <v>-0.430115483140228+0.582767624359363i</v>
      </c>
      <c r="AQ284" s="51">
        <f t="shared" si="200"/>
        <v>-2.801572820648945</v>
      </c>
      <c r="AR284" s="63">
        <f t="shared" si="201"/>
        <v>126.42942448648948</v>
      </c>
      <c r="AS284" s="60" t="str">
        <f t="shared" si="202"/>
        <v>1.79215157552684+1.29688560039432i</v>
      </c>
      <c r="AT284" s="66">
        <f t="shared" si="203"/>
        <v>6.8963907535732449</v>
      </c>
      <c r="AU284" s="63">
        <f t="shared" si="204"/>
        <v>35.891276715799727</v>
      </c>
      <c r="AX284" s="32">
        <f t="shared" si="205"/>
        <v>0</v>
      </c>
      <c r="AY284" s="32">
        <f t="shared" si="206"/>
        <v>0</v>
      </c>
    </row>
    <row r="285" spans="14:51" x14ac:dyDescent="0.3">
      <c r="N285" s="11">
        <v>67</v>
      </c>
      <c r="O285" s="52">
        <f t="shared" si="207"/>
        <v>4677.3514128719844</v>
      </c>
      <c r="P285" s="50" t="str">
        <f t="shared" si="173"/>
        <v>131.578947368421</v>
      </c>
      <c r="Q285" s="18" t="str">
        <f t="shared" si="174"/>
        <v>1+44.0829985108093i</v>
      </c>
      <c r="R285" s="18">
        <f t="shared" si="182"/>
        <v>44.094339293201962</v>
      </c>
      <c r="S285" s="18">
        <f t="shared" si="183"/>
        <v>1.5481157343185066</v>
      </c>
      <c r="T285" s="18" t="str">
        <f t="shared" si="175"/>
        <v>1+0.0000969825967237806i</v>
      </c>
      <c r="U285" s="18">
        <f t="shared" si="184"/>
        <v>1.0000000047028119</v>
      </c>
      <c r="V285" s="18">
        <f t="shared" si="185"/>
        <v>9.6982596419719995E-5</v>
      </c>
      <c r="W285" s="32" t="str">
        <f t="shared" si="176"/>
        <v>1-0.0235109325390983i</v>
      </c>
      <c r="X285" s="18">
        <f t="shared" si="186"/>
        <v>1.0002763437914834</v>
      </c>
      <c r="Y285" s="18">
        <f t="shared" si="187"/>
        <v>-2.3506601976637658E-2</v>
      </c>
      <c r="Z285" s="32" t="str">
        <f t="shared" si="177"/>
        <v>0.999985998325607+0.00995089907904819i</v>
      </c>
      <c r="AA285" s="18">
        <f t="shared" si="188"/>
        <v>1.0000355079894625</v>
      </c>
      <c r="AB285" s="18">
        <f t="shared" si="189"/>
        <v>9.9507099686540514E-3</v>
      </c>
      <c r="AC285" s="68" t="str">
        <f t="shared" si="190"/>
        <v>-0.0318757523844677-2.9845810691735i</v>
      </c>
      <c r="AD285" s="66">
        <f t="shared" si="191"/>
        <v>9.4981629513789176</v>
      </c>
      <c r="AE285" s="63">
        <f t="shared" si="192"/>
        <v>-90.61190384910347</v>
      </c>
      <c r="AF285" s="32" t="str">
        <f t="shared" si="178"/>
        <v>-0.434440565864413</v>
      </c>
      <c r="AG285" s="32" t="str">
        <f t="shared" si="179"/>
        <v>0.767044174088083i</v>
      </c>
      <c r="AH285" s="32">
        <f t="shared" si="193"/>
        <v>0.76704417408808301</v>
      </c>
      <c r="AI285" s="32">
        <f t="shared" si="194"/>
        <v>1.5707963267948966</v>
      </c>
      <c r="AJ285" s="32" t="str">
        <f t="shared" si="180"/>
        <v>1+0.00759449677314934i</v>
      </c>
      <c r="AK285" s="32">
        <f t="shared" si="195"/>
        <v>1.0000288377748101</v>
      </c>
      <c r="AL285" s="32">
        <f t="shared" si="196"/>
        <v>7.5943507705047838E-3</v>
      </c>
      <c r="AM285" s="32" t="str">
        <f t="shared" si="181"/>
        <v>1+0.767044174088083i</v>
      </c>
      <c r="AN285" s="32">
        <f t="shared" si="197"/>
        <v>1.2603002677943338</v>
      </c>
      <c r="AO285" s="32">
        <f t="shared" si="198"/>
        <v>0.65432043942684437</v>
      </c>
      <c r="AP285" s="60" t="str">
        <f t="shared" si="199"/>
        <v>-0.430114366682993+0.569649222410067i</v>
      </c>
      <c r="AQ285" s="51">
        <f t="shared" si="200"/>
        <v>-2.9285700073147076</v>
      </c>
      <c r="AR285" s="63">
        <f t="shared" si="201"/>
        <v>127.05467538101185</v>
      </c>
      <c r="AS285" s="60" t="str">
        <f t="shared" si="202"/>
        <v>1.71387450432388+1.26555319882206i</v>
      </c>
      <c r="AT285" s="66">
        <f t="shared" si="203"/>
        <v>6.5695929440642047</v>
      </c>
      <c r="AU285" s="63">
        <f t="shared" si="204"/>
        <v>36.442771531908335</v>
      </c>
      <c r="AX285" s="32">
        <f t="shared" si="205"/>
        <v>0</v>
      </c>
      <c r="AY285" s="32">
        <f t="shared" si="206"/>
        <v>0</v>
      </c>
    </row>
    <row r="286" spans="14:51" x14ac:dyDescent="0.3">
      <c r="N286" s="11">
        <v>68</v>
      </c>
      <c r="O286" s="52">
        <f t="shared" si="207"/>
        <v>4786.3009232263848</v>
      </c>
      <c r="P286" s="50" t="str">
        <f t="shared" si="173"/>
        <v>131.578947368421</v>
      </c>
      <c r="Q286" s="18" t="str">
        <f t="shared" si="174"/>
        <v>1+45.1098234548341i</v>
      </c>
      <c r="R286" s="18">
        <f t="shared" si="182"/>
        <v>45.120906153647894</v>
      </c>
      <c r="S286" s="18">
        <f t="shared" si="183"/>
        <v>1.5486318365977123</v>
      </c>
      <c r="T286" s="18" t="str">
        <f t="shared" si="175"/>
        <v>1+0.0000992416116006351i</v>
      </c>
      <c r="U286" s="18">
        <f t="shared" si="184"/>
        <v>1.0000000049244486</v>
      </c>
      <c r="V286" s="18">
        <f t="shared" si="185"/>
        <v>9.9241611274828275E-5</v>
      </c>
      <c r="W286" s="32" t="str">
        <f t="shared" si="176"/>
        <v>1-0.0240585725092449i</v>
      </c>
      <c r="X286" s="18">
        <f t="shared" si="186"/>
        <v>1.0002893655893692</v>
      </c>
      <c r="Y286" s="18">
        <f t="shared" si="187"/>
        <v>-2.4053932300461513E-2</v>
      </c>
      <c r="Z286" s="32" t="str">
        <f t="shared" si="177"/>
        <v>0.999985338447022+0.010182685294483i</v>
      </c>
      <c r="AA286" s="18">
        <f t="shared" si="188"/>
        <v>1.0000371814031774</v>
      </c>
      <c r="AB286" s="18">
        <f t="shared" si="189"/>
        <v>1.0182482659432064E-2</v>
      </c>
      <c r="AC286" s="68" t="str">
        <f t="shared" si="190"/>
        <v>-0.0349220085969641-2.91666784344899i</v>
      </c>
      <c r="AD286" s="66">
        <f t="shared" si="191"/>
        <v>9.2983620254474779</v>
      </c>
      <c r="AE286" s="63">
        <f t="shared" si="192"/>
        <v>-90.685984214024586</v>
      </c>
      <c r="AF286" s="32" t="str">
        <f t="shared" si="178"/>
        <v>-0.434440565864413</v>
      </c>
      <c r="AG286" s="32" t="str">
        <f t="shared" si="179"/>
        <v>0.784910928114115i</v>
      </c>
      <c r="AH286" s="32">
        <f t="shared" si="193"/>
        <v>0.784910928114115</v>
      </c>
      <c r="AI286" s="32">
        <f t="shared" si="194"/>
        <v>1.5707963267948966</v>
      </c>
      <c r="AJ286" s="32" t="str">
        <f t="shared" si="180"/>
        <v>1+0.00777139532786252i</v>
      </c>
      <c r="AK286" s="32">
        <f t="shared" si="195"/>
        <v>1.0000301968367464</v>
      </c>
      <c r="AL286" s="32">
        <f t="shared" si="196"/>
        <v>7.7712388834653987E-3</v>
      </c>
      <c r="AM286" s="32" t="str">
        <f t="shared" si="181"/>
        <v>1+0.784910928114115i</v>
      </c>
      <c r="AN286" s="32">
        <f t="shared" si="197"/>
        <v>1.2712533835050199</v>
      </c>
      <c r="AO286" s="32">
        <f t="shared" si="198"/>
        <v>0.66547233027322594</v>
      </c>
      <c r="AP286" s="60" t="str">
        <f t="shared" si="199"/>
        <v>-0.430113197614961+0.556832855219331i</v>
      </c>
      <c r="AQ286" s="51">
        <f t="shared" si="200"/>
        <v>-3.0534199458185958</v>
      </c>
      <c r="AR286" s="63">
        <f t="shared" si="201"/>
        <v>127.6834967177813</v>
      </c>
      <c r="AS286" s="60" t="str">
        <f t="shared" si="202"/>
        <v>1.63911689977889+1.23505161076954i</v>
      </c>
      <c r="AT286" s="66">
        <f t="shared" si="203"/>
        <v>6.2449420796289008</v>
      </c>
      <c r="AU286" s="63">
        <f t="shared" si="204"/>
        <v>36.997512503756752</v>
      </c>
      <c r="AX286" s="32">
        <f t="shared" si="205"/>
        <v>0</v>
      </c>
      <c r="AY286" s="32">
        <f t="shared" si="206"/>
        <v>0</v>
      </c>
    </row>
    <row r="287" spans="14:51" x14ac:dyDescent="0.3">
      <c r="N287" s="11">
        <v>69</v>
      </c>
      <c r="O287" s="52">
        <f t="shared" si="207"/>
        <v>4897.7881936844633</v>
      </c>
      <c r="P287" s="50" t="str">
        <f t="shared" si="173"/>
        <v>131.578947368421</v>
      </c>
      <c r="Q287" s="18" t="str">
        <f t="shared" si="174"/>
        <v>1+46.1605662243538i</v>
      </c>
      <c r="R287" s="18">
        <f t="shared" si="182"/>
        <v>46.171396710008167</v>
      </c>
      <c r="S287" s="18">
        <f t="shared" si="183"/>
        <v>1.5491362023663504</v>
      </c>
      <c r="T287" s="18" t="str">
        <f t="shared" si="175"/>
        <v>1+0.000101553245693578i</v>
      </c>
      <c r="U287" s="18">
        <f t="shared" si="184"/>
        <v>1.0000000051565308</v>
      </c>
      <c r="V287" s="18">
        <f t="shared" si="185"/>
        <v>1.0155324534446971E-4</v>
      </c>
      <c r="W287" s="32" t="str">
        <f t="shared" si="176"/>
        <v>1-0.0246189686529887i</v>
      </c>
      <c r="X287" s="18">
        <f t="shared" si="186"/>
        <v>1.0003030009039946</v>
      </c>
      <c r="Y287" s="18">
        <f t="shared" si="187"/>
        <v>-2.461399666103541E-2</v>
      </c>
      <c r="Z287" s="32" t="str">
        <f t="shared" si="177"/>
        <v>0.999984647469318+0.0104198705044448i</v>
      </c>
      <c r="AA287" s="18">
        <f t="shared" si="188"/>
        <v>1.0000389336799171</v>
      </c>
      <c r="AB287" s="18">
        <f t="shared" si="189"/>
        <v>1.0419653377510244E-2</v>
      </c>
      <c r="AC287" s="68" t="str">
        <f t="shared" si="190"/>
        <v>-0.037831257706008-2.85029499573194i</v>
      </c>
      <c r="AD287" s="66">
        <f t="shared" si="191"/>
        <v>9.0985612179681201</v>
      </c>
      <c r="AE287" s="63">
        <f t="shared" si="192"/>
        <v>-90.760428002308984</v>
      </c>
      <c r="AF287" s="32" t="str">
        <f t="shared" si="178"/>
        <v>-0.434440565864413</v>
      </c>
      <c r="AG287" s="32" t="str">
        <f t="shared" si="179"/>
        <v>0.803193852303758i</v>
      </c>
      <c r="AH287" s="32">
        <f t="shared" si="193"/>
        <v>0.80319385230375795</v>
      </c>
      <c r="AI287" s="32">
        <f t="shared" si="194"/>
        <v>1.5707963267948966</v>
      </c>
      <c r="AJ287" s="32" t="str">
        <f t="shared" si="180"/>
        <v>1+0.00795241437924513i</v>
      </c>
      <c r="AK287" s="32">
        <f t="shared" si="195"/>
        <v>1.0000316199473192</v>
      </c>
      <c r="AL287" s="32">
        <f t="shared" si="196"/>
        <v>7.9522467463396859E-3</v>
      </c>
      <c r="AM287" s="32" t="str">
        <f t="shared" si="181"/>
        <v>1+0.803193852303758i</v>
      </c>
      <c r="AN287" s="32">
        <f t="shared" si="197"/>
        <v>1.2826224558998454</v>
      </c>
      <c r="AO287" s="32">
        <f t="shared" si="198"/>
        <v>0.67668538129528333</v>
      </c>
      <c r="AP287" s="60" t="str">
        <f t="shared" si="199"/>
        <v>-0.430111973457262+0.54431172732246i</v>
      </c>
      <c r="AQ287" s="51">
        <f t="shared" si="200"/>
        <v>-3.1760979592076466</v>
      </c>
      <c r="AR287" s="63">
        <f t="shared" si="201"/>
        <v>128.31558623020859</v>
      </c>
      <c r="AS287" s="60" t="str">
        <f t="shared" si="202"/>
        <v>1.56772066941572+1.20535400832088i</v>
      </c>
      <c r="AT287" s="66">
        <f t="shared" si="203"/>
        <v>5.9224632587604695</v>
      </c>
      <c r="AU287" s="63">
        <f t="shared" si="204"/>
        <v>37.555158227899454</v>
      </c>
      <c r="AX287" s="32">
        <f t="shared" si="205"/>
        <v>0</v>
      </c>
      <c r="AY287" s="32">
        <f t="shared" si="206"/>
        <v>0</v>
      </c>
    </row>
    <row r="288" spans="14:51" x14ac:dyDescent="0.3">
      <c r="N288" s="11">
        <v>70</v>
      </c>
      <c r="O288" s="52">
        <f t="shared" si="207"/>
        <v>5011.8723362727324</v>
      </c>
      <c r="P288" s="50" t="str">
        <f t="shared" si="173"/>
        <v>131.578947368421</v>
      </c>
      <c r="Q288" s="18" t="str">
        <f t="shared" si="174"/>
        <v>1+47.235783937093i</v>
      </c>
      <c r="R288" s="18">
        <f t="shared" si="182"/>
        <v>47.246367946665835</v>
      </c>
      <c r="S288" s="18">
        <f t="shared" si="183"/>
        <v>1.549629098018815</v>
      </c>
      <c r="T288" s="18" t="str">
        <f t="shared" si="175"/>
        <v>1+0.000103918724661605i</v>
      </c>
      <c r="U288" s="18">
        <f t="shared" si="184"/>
        <v>1.0000000053995506</v>
      </c>
      <c r="V288" s="18">
        <f t="shared" si="185"/>
        <v>1.0391872428752873E-4</v>
      </c>
      <c r="W288" s="32" t="str">
        <f t="shared" si="176"/>
        <v>1-0.025192418099783i</v>
      </c>
      <c r="X288" s="18">
        <f t="shared" si="186"/>
        <v>1.000317278631992</v>
      </c>
      <c r="Y288" s="18">
        <f t="shared" si="187"/>
        <v>-2.5187090605679162E-2</v>
      </c>
      <c r="Z288" s="32" t="str">
        <f t="shared" si="177"/>
        <v>0.999983923926838+0.0106625804676713i</v>
      </c>
      <c r="AA288" s="18">
        <f t="shared" si="188"/>
        <v>1.0000407685361361</v>
      </c>
      <c r="AB288" s="18">
        <f t="shared" si="189"/>
        <v>1.066234781245669E-2</v>
      </c>
      <c r="AC288" s="68" t="str">
        <f t="shared" si="190"/>
        <v>-0.040609652835729-2.78542773959809i</v>
      </c>
      <c r="AD288" s="66">
        <f t="shared" si="191"/>
        <v>8.8987609507219609</v>
      </c>
      <c r="AE288" s="63">
        <f t="shared" si="192"/>
        <v>-90.835274542101928</v>
      </c>
      <c r="AF288" s="32" t="str">
        <f t="shared" si="178"/>
        <v>-0.434440565864413</v>
      </c>
      <c r="AG288" s="32" t="str">
        <f t="shared" si="179"/>
        <v>0.82190264050542i</v>
      </c>
      <c r="AH288" s="32">
        <f t="shared" si="193"/>
        <v>0.82190264050541995</v>
      </c>
      <c r="AI288" s="32">
        <f t="shared" si="194"/>
        <v>1.5707963267948966</v>
      </c>
      <c r="AJ288" s="32" t="str">
        <f t="shared" si="180"/>
        <v>1+0.00813764990599426i</v>
      </c>
      <c r="AK288" s="32">
        <f t="shared" si="195"/>
        <v>1.0000331101248561</v>
      </c>
      <c r="AL288" s="32">
        <f t="shared" si="196"/>
        <v>8.1374702844210795E-3</v>
      </c>
      <c r="AM288" s="32" t="str">
        <f t="shared" si="181"/>
        <v>1+0.82190264050542i</v>
      </c>
      <c r="AN288" s="32">
        <f t="shared" si="197"/>
        <v>1.2944203144534552</v>
      </c>
      <c r="AO288" s="32">
        <f t="shared" si="198"/>
        <v>0.6879542596527326</v>
      </c>
      <c r="AP288" s="60" t="str">
        <f t="shared" si="199"/>
        <v>-0.430110691614257+0.532079199790453i</v>
      </c>
      <c r="AQ288" s="51">
        <f t="shared" si="200"/>
        <v>-3.2965812845122562</v>
      </c>
      <c r="AR288" s="63">
        <f t="shared" si="201"/>
        <v>128.95063287293837</v>
      </c>
      <c r="AS288" s="60" t="str">
        <f t="shared" si="202"/>
        <v>1.49953480862687+1.17643469993547i</v>
      </c>
      <c r="AT288" s="66">
        <f t="shared" si="203"/>
        <v>5.6021796662096985</v>
      </c>
      <c r="AU288" s="63">
        <f t="shared" si="204"/>
        <v>38.115358330836514</v>
      </c>
      <c r="AX288" s="32">
        <f t="shared" si="205"/>
        <v>0</v>
      </c>
      <c r="AY288" s="32">
        <f t="shared" si="206"/>
        <v>0</v>
      </c>
    </row>
    <row r="289" spans="14:51" x14ac:dyDescent="0.3">
      <c r="N289" s="11">
        <v>71</v>
      </c>
      <c r="O289" s="52">
        <f t="shared" si="207"/>
        <v>5128.6138399136489</v>
      </c>
      <c r="P289" s="50" t="str">
        <f t="shared" si="173"/>
        <v>131.578947368421</v>
      </c>
      <c r="Q289" s="18" t="str">
        <f t="shared" si="174"/>
        <v>1+48.3360466877149i</v>
      </c>
      <c r="R289" s="18">
        <f t="shared" si="182"/>
        <v>48.34638982795876</v>
      </c>
      <c r="S289" s="18">
        <f t="shared" si="183"/>
        <v>1.5501107839363792</v>
      </c>
      <c r="T289" s="18" t="str">
        <f t="shared" si="175"/>
        <v>1+0.000106339302712973i</v>
      </c>
      <c r="U289" s="18">
        <f t="shared" si="184"/>
        <v>1.0000000056540237</v>
      </c>
      <c r="V289" s="18">
        <f t="shared" si="185"/>
        <v>1.0633930231214305E-4</v>
      </c>
      <c r="W289" s="32" t="str">
        <f t="shared" si="176"/>
        <v>1-0.0257792249001146i</v>
      </c>
      <c r="X289" s="18">
        <f t="shared" si="186"/>
        <v>1.0003322290301611</v>
      </c>
      <c r="Y289" s="18">
        <f t="shared" si="187"/>
        <v>-2.5773516489724476E-2</v>
      </c>
      <c r="Z289" s="32" t="str">
        <f t="shared" si="177"/>
        <v>0.999983166284852+0.0109109438721976i</v>
      </c>
      <c r="AA289" s="18">
        <f t="shared" si="188"/>
        <v>1.0000426898634178</v>
      </c>
      <c r="AB289" s="18">
        <f t="shared" si="189"/>
        <v>1.09106945781906E-2</v>
      </c>
      <c r="AC289" s="68" t="str">
        <f t="shared" si="190"/>
        <v>-0.0432630711148215-2.7220320598971i</v>
      </c>
      <c r="AD289" s="66">
        <f t="shared" si="191"/>
        <v>8.6989616466195248</v>
      </c>
      <c r="AE289" s="63">
        <f t="shared" si="192"/>
        <v>-90.910563373009765</v>
      </c>
      <c r="AF289" s="32" t="str">
        <f t="shared" si="178"/>
        <v>-0.434440565864413</v>
      </c>
      <c r="AG289" s="32" t="str">
        <f t="shared" si="179"/>
        <v>0.841047212366241i</v>
      </c>
      <c r="AH289" s="32">
        <f t="shared" si="193"/>
        <v>0.84104721236624103</v>
      </c>
      <c r="AI289" s="32">
        <f t="shared" si="194"/>
        <v>1.5707963267948966</v>
      </c>
      <c r="AJ289" s="32" t="str">
        <f t="shared" si="180"/>
        <v>1+0.00832720012243803i</v>
      </c>
      <c r="AK289" s="32">
        <f t="shared" si="195"/>
        <v>1.0000346705299168</v>
      </c>
      <c r="AL289" s="32">
        <f t="shared" si="196"/>
        <v>8.3270076548151144E-3</v>
      </c>
      <c r="AM289" s="32" t="str">
        <f t="shared" si="181"/>
        <v>1+0.841047212366241i</v>
      </c>
      <c r="AN289" s="32">
        <f t="shared" si="197"/>
        <v>1.306660022128566</v>
      </c>
      <c r="AO289" s="32">
        <f t="shared" si="198"/>
        <v>0.69927349288307161</v>
      </c>
      <c r="AP289" s="60" t="str">
        <f t="shared" si="199"/>
        <v>-0.430109349368041+0.520128786709674i</v>
      </c>
      <c r="AQ289" s="51">
        <f t="shared" si="200"/>
        <v>-3.4148491619070036</v>
      </c>
      <c r="AR289" s="63">
        <f t="shared" si="201"/>
        <v>129.58831747297748</v>
      </c>
      <c r="AS289" s="60" t="str">
        <f t="shared" si="202"/>
        <v>1.43441508406797+1.148269069553i</v>
      </c>
      <c r="AT289" s="66">
        <f t="shared" si="203"/>
        <v>5.2841124847124989</v>
      </c>
      <c r="AU289" s="63">
        <f t="shared" si="204"/>
        <v>38.677754099967679</v>
      </c>
      <c r="AX289" s="32">
        <f t="shared" si="205"/>
        <v>0</v>
      </c>
      <c r="AY289" s="32">
        <f t="shared" si="206"/>
        <v>0</v>
      </c>
    </row>
    <row r="290" spans="14:51" x14ac:dyDescent="0.3">
      <c r="N290" s="11">
        <v>72</v>
      </c>
      <c r="O290" s="52">
        <f t="shared" si="207"/>
        <v>5248.0746024977261</v>
      </c>
      <c r="P290" s="50" t="str">
        <f t="shared" si="173"/>
        <v>131.578947368421</v>
      </c>
      <c r="Q290" s="18" t="str">
        <f t="shared" si="174"/>
        <v>1+49.4619378500941i</v>
      </c>
      <c r="R290" s="18">
        <f t="shared" si="182"/>
        <v>49.472045600384988</v>
      </c>
      <c r="S290" s="18">
        <f t="shared" si="183"/>
        <v>1.5505815146206889</v>
      </c>
      <c r="T290" s="18" t="str">
        <f t="shared" si="175"/>
        <v>1+0.000108816263270207i</v>
      </c>
      <c r="U290" s="18">
        <f t="shared" si="184"/>
        <v>1.0000000059204894</v>
      </c>
      <c r="V290" s="18">
        <f t="shared" si="185"/>
        <v>1.0881626284070997E-4</v>
      </c>
      <c r="W290" s="32" t="str">
        <f t="shared" si="176"/>
        <v>1-0.0263797001867169i</v>
      </c>
      <c r="X290" s="18">
        <f t="shared" si="186"/>
        <v>1.0003478837794084</v>
      </c>
      <c r="Y290" s="18">
        <f t="shared" si="187"/>
        <v>-2.6373583629660871E-2</v>
      </c>
      <c r="Z290" s="32" t="str">
        <f t="shared" si="177"/>
        <v>0.999982372936299+0.0111650924035885i</v>
      </c>
      <c r="AA290" s="18">
        <f t="shared" si="188"/>
        <v>1.0000447017367233</v>
      </c>
      <c r="AB290" s="18">
        <f t="shared" si="189"/>
        <v>1.1164825280860971E-2</v>
      </c>
      <c r="AC290" s="68" t="str">
        <f t="shared" si="190"/>
        <v>-0.0457971260053536-2.66007469651585i</v>
      </c>
      <c r="AD290" s="66">
        <f t="shared" si="191"/>
        <v>8.499163730591361</v>
      </c>
      <c r="AE290" s="63">
        <f t="shared" si="192"/>
        <v>-90.986334266374257</v>
      </c>
      <c r="AF290" s="32" t="str">
        <f t="shared" si="178"/>
        <v>-0.434440565864413</v>
      </c>
      <c r="AG290" s="32" t="str">
        <f t="shared" si="179"/>
        <v>0.860637718591639i</v>
      </c>
      <c r="AH290" s="32">
        <f t="shared" si="193"/>
        <v>0.86063771859163896</v>
      </c>
      <c r="AI290" s="32">
        <f t="shared" si="194"/>
        <v>1.5707963267948966</v>
      </c>
      <c r="AJ290" s="32" t="str">
        <f t="shared" si="180"/>
        <v>1+0.00852116553061029i</v>
      </c>
      <c r="AK290" s="32">
        <f t="shared" si="195"/>
        <v>1.0000363044719927</v>
      </c>
      <c r="AL290" s="32">
        <f t="shared" si="196"/>
        <v>8.5209592982410601E-3</v>
      </c>
      <c r="AM290" s="32" t="str">
        <f t="shared" si="181"/>
        <v>1+0.860637718591639i</v>
      </c>
      <c r="AN290" s="32">
        <f t="shared" si="197"/>
        <v>1.3193548736646337</v>
      </c>
      <c r="AO290" s="32">
        <f t="shared" si="198"/>
        <v>0.7106374811444317</v>
      </c>
      <c r="AP290" s="60" t="str">
        <f t="shared" si="199"/>
        <v>-0.430107943872688+0.508454151742598i</v>
      </c>
      <c r="AQ290" s="51">
        <f t="shared" si="200"/>
        <v>-3.5308829172955662</v>
      </c>
      <c r="AR290" s="63">
        <f t="shared" si="201"/>
        <v>130.22831342819154</v>
      </c>
      <c r="AS290" s="60" t="str">
        <f t="shared" si="202"/>
        <v>1.37222373109036+1.1208335194109i</v>
      </c>
      <c r="AT290" s="66">
        <f t="shared" si="203"/>
        <v>4.9682808132958201</v>
      </c>
      <c r="AU290" s="63">
        <f t="shared" si="204"/>
        <v>39.241979161817326</v>
      </c>
      <c r="AX290" s="32">
        <f t="shared" si="205"/>
        <v>0</v>
      </c>
      <c r="AY290" s="32">
        <f t="shared" si="206"/>
        <v>0</v>
      </c>
    </row>
    <row r="291" spans="14:51" x14ac:dyDescent="0.3">
      <c r="N291" s="11">
        <v>73</v>
      </c>
      <c r="O291" s="52">
        <f t="shared" si="207"/>
        <v>5370.3179637025269</v>
      </c>
      <c r="P291" s="50" t="str">
        <f t="shared" si="173"/>
        <v>131.578947368421</v>
      </c>
      <c r="Q291" s="18" t="str">
        <f t="shared" si="174"/>
        <v>1+50.6140543866274i</v>
      </c>
      <c r="R291" s="18">
        <f t="shared" si="182"/>
        <v>50.623932101847601</v>
      </c>
      <c r="S291" s="18">
        <f t="shared" si="183"/>
        <v>1.5510415388244412</v>
      </c>
      <c r="T291" s="18" t="str">
        <f t="shared" si="175"/>
        <v>1+0.00011135091965058i</v>
      </c>
      <c r="U291" s="18">
        <f t="shared" si="184"/>
        <v>1.0000000061995136</v>
      </c>
      <c r="V291" s="18">
        <f t="shared" si="185"/>
        <v>1.1135091919036564E-4</v>
      </c>
      <c r="W291" s="32" t="str">
        <f t="shared" si="176"/>
        <v>1-0.0269941623395346i</v>
      </c>
      <c r="X291" s="18">
        <f t="shared" si="186"/>
        <v>1.0003642760516855</v>
      </c>
      <c r="Y291" s="18">
        <f t="shared" si="187"/>
        <v>-2.6987608459458169E-2</v>
      </c>
      <c r="Z291" s="32" t="str">
        <f t="shared" si="177"/>
        <v>0.99998154219838+0.0114251608147592i</v>
      </c>
      <c r="AA291" s="18">
        <f t="shared" si="188"/>
        <v>1.0000468084230325</v>
      </c>
      <c r="AB291" s="18">
        <f t="shared" si="189"/>
        <v>1.1424874588288319E-2</v>
      </c>
      <c r="AC291" s="68" t="str">
        <f t="shared" si="190"/>
        <v>-0.0482171790843538-2.59952312842256i</v>
      </c>
      <c r="AD291" s="66">
        <f t="shared" si="191"/>
        <v>8.2993676304828572</v>
      </c>
      <c r="AE291" s="63">
        <f t="shared" si="192"/>
        <v>-91.062627245656273</v>
      </c>
      <c r="AF291" s="32" t="str">
        <f t="shared" si="178"/>
        <v>-0.434440565864413</v>
      </c>
      <c r="AG291" s="32" t="str">
        <f t="shared" si="179"/>
        <v>0.880684546327318i</v>
      </c>
      <c r="AH291" s="32">
        <f t="shared" si="193"/>
        <v>0.88068454632731796</v>
      </c>
      <c r="AI291" s="32">
        <f t="shared" si="194"/>
        <v>1.5707963267948966</v>
      </c>
      <c r="AJ291" s="32" t="str">
        <f t="shared" si="180"/>
        <v>1+0.00871964897353781i</v>
      </c>
      <c r="AK291" s="32">
        <f t="shared" si="195"/>
        <v>1.0000380154165249</v>
      </c>
      <c r="AL291" s="32">
        <f t="shared" si="196"/>
        <v>8.7194279920265079E-3</v>
      </c>
      <c r="AM291" s="32" t="str">
        <f t="shared" si="181"/>
        <v>1+0.880684546327318i</v>
      </c>
      <c r="AN291" s="32">
        <f t="shared" si="197"/>
        <v>1.3325183939217327</v>
      </c>
      <c r="AO291" s="32">
        <f t="shared" si="198"/>
        <v>0.72204051022673366</v>
      </c>
      <c r="AP291" s="60" t="str">
        <f t="shared" si="199"/>
        <v>-0.430106472148226+0.497049104767881i</v>
      </c>
      <c r="AQ291" s="51">
        <f t="shared" si="200"/>
        <v>-3.6446660376406941</v>
      </c>
      <c r="AR291" s="63">
        <f t="shared" si="201"/>
        <v>130.87028744975311</v>
      </c>
      <c r="AS291" s="60" t="str">
        <f t="shared" si="202"/>
        <v>1.31282916459875+1.09410541633524i</v>
      </c>
      <c r="AT291" s="66">
        <f t="shared" si="203"/>
        <v>4.6547015928421933</v>
      </c>
      <c r="AU291" s="63">
        <f t="shared" si="204"/>
        <v>39.807660204096834</v>
      </c>
      <c r="AX291" s="32">
        <f t="shared" si="205"/>
        <v>0</v>
      </c>
      <c r="AY291" s="32">
        <f t="shared" si="206"/>
        <v>0</v>
      </c>
    </row>
    <row r="292" spans="14:51" x14ac:dyDescent="0.3">
      <c r="N292" s="11">
        <v>74</v>
      </c>
      <c r="O292" s="52">
        <f t="shared" si="207"/>
        <v>5495.4087385762541</v>
      </c>
      <c r="P292" s="50" t="str">
        <f t="shared" si="173"/>
        <v>131.578947368421</v>
      </c>
      <c r="Q292" s="18" t="str">
        <f t="shared" si="174"/>
        <v>1+51.7930071647529i</v>
      </c>
      <c r="R292" s="18">
        <f t="shared" si="182"/>
        <v>51.802660078109355</v>
      </c>
      <c r="S292" s="18">
        <f t="shared" si="183"/>
        <v>1.5514910996793005</v>
      </c>
      <c r="T292" s="18" t="str">
        <f t="shared" si="175"/>
        <v>1+0.000113944615762456i</v>
      </c>
      <c r="U292" s="18">
        <f t="shared" si="184"/>
        <v>1.0000000064916876</v>
      </c>
      <c r="V292" s="18">
        <f t="shared" si="185"/>
        <v>1.1394461526932744E-4</v>
      </c>
      <c r="W292" s="32" t="str">
        <f t="shared" si="176"/>
        <v>1-0.0276229371545349i</v>
      </c>
      <c r="X292" s="18">
        <f t="shared" si="186"/>
        <v>1.0003814405800635</v>
      </c>
      <c r="Y292" s="18">
        <f t="shared" si="187"/>
        <v>-2.7615914690119599E-2</v>
      </c>
      <c r="Z292" s="32" t="str">
        <f t="shared" si="177"/>
        <v>0.999980672308989+0.0116912869974237i</v>
      </c>
      <c r="AA292" s="18">
        <f t="shared" si="188"/>
        <v>1.0000490143903915</v>
      </c>
      <c r="AB292" s="18">
        <f t="shared" si="189"/>
        <v>1.1690980301007025E-2</v>
      </c>
      <c r="AC292" s="68" t="str">
        <f t="shared" si="190"/>
        <v>-0.0505283513021392-2.54034555799117i</v>
      </c>
      <c r="AD292" s="66">
        <f t="shared" si="191"/>
        <v>8.0995737779550332</v>
      </c>
      <c r="AE292" s="63">
        <f t="shared" si="192"/>
        <v>-91.139482606937122</v>
      </c>
      <c r="AF292" s="32" t="str">
        <f t="shared" si="178"/>
        <v>-0.434440565864413</v>
      </c>
      <c r="AG292" s="32" t="str">
        <f t="shared" si="179"/>
        <v>0.901198324666701i</v>
      </c>
      <c r="AH292" s="32">
        <f t="shared" si="193"/>
        <v>0.90119832466670102</v>
      </c>
      <c r="AI292" s="32">
        <f t="shared" si="194"/>
        <v>1.5707963267948966</v>
      </c>
      <c r="AJ292" s="32" t="str">
        <f t="shared" si="180"/>
        <v>1+0.00892275568976932i</v>
      </c>
      <c r="AK292" s="32">
        <f t="shared" si="195"/>
        <v>1.0000398069922514</v>
      </c>
      <c r="AL292" s="32">
        <f t="shared" si="196"/>
        <v>8.9225189043229108E-3</v>
      </c>
      <c r="AM292" s="32" t="str">
        <f t="shared" si="181"/>
        <v>1+0.901198324666701i</v>
      </c>
      <c r="AN292" s="32">
        <f t="shared" si="197"/>
        <v>1.346164336320818</v>
      </c>
      <c r="AO292" s="32">
        <f t="shared" si="198"/>
        <v>0.733476765263262</v>
      </c>
      <c r="AP292" s="60" t="str">
        <f t="shared" si="199"/>
        <v>-0.430104931074321+0.485907598597917i</v>
      </c>
      <c r="AQ292" s="51">
        <f t="shared" si="200"/>
        <v>-3.7561842384092059</v>
      </c>
      <c r="AR292" s="63">
        <f t="shared" si="201"/>
        <v>131.51390034464933</v>
      </c>
      <c r="AS292" s="60" t="str">
        <f t="shared" si="202"/>
        <v>1.25610570274648+1.06806304128242i</v>
      </c>
      <c r="AT292" s="66">
        <f t="shared" si="203"/>
        <v>4.3433895395458419</v>
      </c>
      <c r="AU292" s="63">
        <f t="shared" si="204"/>
        <v>40.374417737712321</v>
      </c>
      <c r="AX292" s="32">
        <f t="shared" si="205"/>
        <v>0</v>
      </c>
      <c r="AY292" s="32">
        <f t="shared" si="206"/>
        <v>0</v>
      </c>
    </row>
    <row r="293" spans="14:51" x14ac:dyDescent="0.3">
      <c r="N293" s="11">
        <v>75</v>
      </c>
      <c r="O293" s="52">
        <f t="shared" si="207"/>
        <v>5623.4132519034993</v>
      </c>
      <c r="P293" s="50" t="str">
        <f t="shared" si="173"/>
        <v>131.578947368421</v>
      </c>
      <c r="Q293" s="18" t="str">
        <f t="shared" si="174"/>
        <v>1+52.9994212808385i</v>
      </c>
      <c r="R293" s="18">
        <f t="shared" si="182"/>
        <v>53.008854506618015</v>
      </c>
      <c r="S293" s="18">
        <f t="shared" si="183"/>
        <v>1.5519304348210983</v>
      </c>
      <c r="T293" s="18" t="str">
        <f t="shared" si="175"/>
        <v>1+0.000116598726817845i</v>
      </c>
      <c r="U293" s="18">
        <f t="shared" si="184"/>
        <v>1.0000000067976316</v>
      </c>
      <c r="V293" s="18">
        <f t="shared" si="185"/>
        <v>1.1659872628944822E-4</v>
      </c>
      <c r="W293" s="32" t="str">
        <f t="shared" si="176"/>
        <v>1-0.0282663580164472i</v>
      </c>
      <c r="X293" s="18">
        <f t="shared" si="186"/>
        <v>1.0003994137320924</v>
      </c>
      <c r="Y293" s="18">
        <f t="shared" si="187"/>
        <v>-2.825883347250371E-2</v>
      </c>
      <c r="Z293" s="32" t="str">
        <f t="shared" si="177"/>
        <v>0.999979761422975+0.0119636120552068i</v>
      </c>
      <c r="AA293" s="18">
        <f t="shared" si="188"/>
        <v>1.0000513243173859</v>
      </c>
      <c r="AB293" s="18">
        <f t="shared" si="189"/>
        <v>1.1963283424942277E-2</v>
      </c>
      <c r="AC293" s="68" t="str">
        <f t="shared" si="190"/>
        <v>-0.0527355337402694-2.48251089560498i</v>
      </c>
      <c r="AD293" s="66">
        <f t="shared" si="191"/>
        <v>7.8997826093928625</v>
      </c>
      <c r="AE293" s="63">
        <f t="shared" si="192"/>
        <v>-91.216940939544102</v>
      </c>
      <c r="AF293" s="32" t="str">
        <f t="shared" si="178"/>
        <v>-0.434440565864413</v>
      </c>
      <c r="AG293" s="32" t="str">
        <f t="shared" si="179"/>
        <v>0.922189930286591i</v>
      </c>
      <c r="AH293" s="32">
        <f t="shared" si="193"/>
        <v>0.92218993028659102</v>
      </c>
      <c r="AI293" s="32">
        <f t="shared" si="194"/>
        <v>1.5707963267948966</v>
      </c>
      <c r="AJ293" s="32" t="str">
        <f t="shared" si="180"/>
        <v>1+0.00913059336917417i</v>
      </c>
      <c r="AK293" s="32">
        <f t="shared" si="195"/>
        <v>1.0000416829989003</v>
      </c>
      <c r="AL293" s="32">
        <f t="shared" si="196"/>
        <v>9.1303396495683031E-3</v>
      </c>
      <c r="AM293" s="32" t="str">
        <f t="shared" si="181"/>
        <v>1+0.922189930286591i</v>
      </c>
      <c r="AN293" s="32">
        <f t="shared" si="197"/>
        <v>1.36030668142224</v>
      </c>
      <c r="AO293" s="32">
        <f t="shared" si="198"/>
        <v>0.74494034506681051</v>
      </c>
      <c r="AP293" s="60" t="str">
        <f t="shared" si="199"/>
        <v>-0.430103317383677+0.475023725772149i</v>
      </c>
      <c r="AQ293" s="51">
        <f t="shared" si="200"/>
        <v>-3.8654255225577701</v>
      </c>
      <c r="AR293" s="63">
        <f t="shared" si="201"/>
        <v>132.15880783390614</v>
      </c>
      <c r="AS293" s="60" t="str">
        <f t="shared" si="202"/>
        <v>1.20193330290592+1.04268554192294i</v>
      </c>
      <c r="AT293" s="66">
        <f t="shared" si="203"/>
        <v>4.0343570868350938</v>
      </c>
      <c r="AU293" s="63">
        <f t="shared" si="204"/>
        <v>40.94186689436205</v>
      </c>
      <c r="AX293" s="32">
        <f t="shared" si="205"/>
        <v>0</v>
      </c>
      <c r="AY293" s="32">
        <f t="shared" si="206"/>
        <v>0</v>
      </c>
    </row>
    <row r="294" spans="14:51" x14ac:dyDescent="0.3">
      <c r="N294" s="11">
        <v>76</v>
      </c>
      <c r="O294" s="52">
        <f t="shared" si="207"/>
        <v>5754.399373371567</v>
      </c>
      <c r="P294" s="50" t="str">
        <f t="shared" si="173"/>
        <v>131.578947368421</v>
      </c>
      <c r="Q294" s="18" t="str">
        <f t="shared" si="174"/>
        <v>1+54.2339363916174i</v>
      </c>
      <c r="R294" s="18">
        <f t="shared" si="182"/>
        <v>54.243154927880092</v>
      </c>
      <c r="S294" s="18">
        <f t="shared" si="183"/>
        <v>1.5523597765123651</v>
      </c>
      <c r="T294" s="18" t="str">
        <f t="shared" si="175"/>
        <v>1+0.000119314660061558i</v>
      </c>
      <c r="U294" s="18">
        <f t="shared" si="184"/>
        <v>1.000000007117994</v>
      </c>
      <c r="V294" s="18">
        <f t="shared" si="185"/>
        <v>1.1931465949537064E-4</v>
      </c>
      <c r="W294" s="32" t="str">
        <f t="shared" si="176"/>
        <v>1-0.0289247660755293i</v>
      </c>
      <c r="X294" s="18">
        <f t="shared" si="186"/>
        <v>1.0004182335865957</v>
      </c>
      <c r="Y294" s="18">
        <f t="shared" si="187"/>
        <v>-2.8916703563466258E-2</v>
      </c>
      <c r="Z294" s="32" t="str">
        <f t="shared" si="177"/>
        <v>0.999978807608225+0.0122422803784587i</v>
      </c>
      <c r="AA294" s="18">
        <f t="shared" si="188"/>
        <v>1.0000537431030556</v>
      </c>
      <c r="AB294" s="18">
        <f t="shared" si="189"/>
        <v>1.2241928245758536E-2</v>
      </c>
      <c r="AC294" s="68" t="str">
        <f t="shared" si="190"/>
        <v>-0.054843397891086-2.4259887445385i</v>
      </c>
      <c r="AD294" s="66">
        <f t="shared" si="191"/>
        <v>7.6999945668236247</v>
      </c>
      <c r="AE294" s="63">
        <f t="shared" si="192"/>
        <v>-91.295043146808581</v>
      </c>
      <c r="AF294" s="32" t="str">
        <f t="shared" si="178"/>
        <v>-0.434440565864413</v>
      </c>
      <c r="AG294" s="32" t="str">
        <f t="shared" si="179"/>
        <v>0.943670493214143i</v>
      </c>
      <c r="AH294" s="32">
        <f t="shared" si="193"/>
        <v>0.94367049321414298</v>
      </c>
      <c r="AI294" s="32">
        <f t="shared" si="194"/>
        <v>1.5707963267948966</v>
      </c>
      <c r="AJ294" s="32" t="str">
        <f t="shared" si="180"/>
        <v>1+0.00934327221004103i</v>
      </c>
      <c r="AK294" s="32">
        <f t="shared" si="195"/>
        <v>1.000043647415247</v>
      </c>
      <c r="AL294" s="32">
        <f t="shared" si="196"/>
        <v>9.3430003452260758E-3</v>
      </c>
      <c r="AM294" s="32" t="str">
        <f t="shared" si="181"/>
        <v>1+0.943670493214143i</v>
      </c>
      <c r="AN294" s="32">
        <f t="shared" si="197"/>
        <v>1.3749596356849985</v>
      </c>
      <c r="AO294" s="32">
        <f t="shared" si="198"/>
        <v>0.75642527700756368</v>
      </c>
      <c r="AP294" s="60" t="str">
        <f t="shared" si="199"/>
        <v>-0.430101627655115+0.464391715424442i</v>
      </c>
      <c r="AQ294" s="51">
        <f t="shared" si="200"/>
        <v>-3.9723802305504368</v>
      </c>
      <c r="AR294" s="63">
        <f t="shared" si="201"/>
        <v>132.80466140177674</v>
      </c>
      <c r="AS294" s="60" t="str">
        <f t="shared" si="202"/>
        <v>1.15019730937572+1.01795288807265i</v>
      </c>
      <c r="AT294" s="66">
        <f t="shared" si="203"/>
        <v>3.7276143362732035</v>
      </c>
      <c r="AU294" s="63">
        <f t="shared" si="204"/>
        <v>41.509618254968046</v>
      </c>
      <c r="AX294" s="32">
        <f t="shared" si="205"/>
        <v>0</v>
      </c>
      <c r="AY294" s="32">
        <f t="shared" si="206"/>
        <v>0</v>
      </c>
    </row>
    <row r="295" spans="14:51" x14ac:dyDescent="0.3">
      <c r="N295" s="11">
        <v>77</v>
      </c>
      <c r="O295" s="52">
        <f t="shared" si="207"/>
        <v>5888.4365535558973</v>
      </c>
      <c r="P295" s="50" t="str">
        <f t="shared" si="173"/>
        <v>131.578947368421</v>
      </c>
      <c r="Q295" s="18" t="str">
        <f t="shared" si="174"/>
        <v>1+55.4972070533424i</v>
      </c>
      <c r="R295" s="18">
        <f t="shared" si="182"/>
        <v>55.506215784554769</v>
      </c>
      <c r="S295" s="18">
        <f t="shared" si="183"/>
        <v>1.5527793517622468</v>
      </c>
      <c r="T295" s="18" t="str">
        <f t="shared" si="175"/>
        <v>1+0.000122093855517353i</v>
      </c>
      <c r="U295" s="18">
        <f t="shared" si="184"/>
        <v>1.0000000074534547</v>
      </c>
      <c r="V295" s="18">
        <f t="shared" si="185"/>
        <v>1.220938549106723E-4</v>
      </c>
      <c r="W295" s="32" t="str">
        <f t="shared" si="176"/>
        <v>1-0.0295985104284493i</v>
      </c>
      <c r="X295" s="18">
        <f t="shared" si="186"/>
        <v>1.0004379400140635</v>
      </c>
      <c r="Y295" s="18">
        <f t="shared" si="187"/>
        <v>-2.9589871495361009E-2</v>
      </c>
      <c r="Z295" s="32" t="str">
        <f t="shared" si="177"/>
        <v>0.999977808841571+0.012527439720813i</v>
      </c>
      <c r="AA295" s="18">
        <f t="shared" si="188"/>
        <v>1.0000562758772868</v>
      </c>
      <c r="AB295" s="18">
        <f t="shared" si="189"/>
        <v>1.2527062404917987E-2</v>
      </c>
      <c r="AC295" s="68" t="str">
        <f t="shared" si="190"/>
        <v>-0.0568564054798232-2.37074938611576i</v>
      </c>
      <c r="AD295" s="66">
        <f t="shared" si="191"/>
        <v>7.5002100988465612</v>
      </c>
      <c r="AE295" s="63">
        <f t="shared" si="192"/>
        <v>-91.37383046696317</v>
      </c>
      <c r="AF295" s="32" t="str">
        <f t="shared" si="178"/>
        <v>-0.434440565864413</v>
      </c>
      <c r="AG295" s="32" t="str">
        <f t="shared" si="179"/>
        <v>0.965651402728158i</v>
      </c>
      <c r="AH295" s="32">
        <f t="shared" si="193"/>
        <v>0.96565140272815797</v>
      </c>
      <c r="AI295" s="32">
        <f t="shared" si="194"/>
        <v>1.5707963267948966</v>
      </c>
      <c r="AJ295" s="32" t="str">
        <f t="shared" si="180"/>
        <v>1+0.00956090497750652i</v>
      </c>
      <c r="AK295" s="32">
        <f t="shared" si="195"/>
        <v>1.0000457044075479</v>
      </c>
      <c r="AL295" s="32">
        <f t="shared" si="196"/>
        <v>9.5606136698279231E-3</v>
      </c>
      <c r="AM295" s="32" t="str">
        <f t="shared" si="181"/>
        <v>1+0.965651402728158i</v>
      </c>
      <c r="AN295" s="32">
        <f t="shared" si="197"/>
        <v>1.3901376304491793</v>
      </c>
      <c r="AO295" s="32">
        <f t="shared" si="198"/>
        <v>0.76792553234353644</v>
      </c>
      <c r="AP295" s="60" t="str">
        <f t="shared" si="199"/>
        <v>-0.430099858306328+0.454005930222849i</v>
      </c>
      <c r="AQ295" s="51">
        <f t="shared" si="200"/>
        <v>-4.0770410809710631</v>
      </c>
      <c r="AR295" s="63">
        <f t="shared" si="201"/>
        <v>133.45110917078532</v>
      </c>
      <c r="AS295" s="60" t="str">
        <f t="shared" si="202"/>
        <v>1.10078821230941+0.993845829789208i</v>
      </c>
      <c r="AT295" s="66">
        <f t="shared" si="203"/>
        <v>3.4231690178754852</v>
      </c>
      <c r="AU295" s="63">
        <f t="shared" si="204"/>
        <v>42.077278703822223</v>
      </c>
      <c r="AX295" s="32">
        <f t="shared" si="205"/>
        <v>0</v>
      </c>
      <c r="AY295" s="32">
        <f t="shared" si="206"/>
        <v>0</v>
      </c>
    </row>
    <row r="296" spans="14:51" x14ac:dyDescent="0.3">
      <c r="N296" s="11">
        <v>78</v>
      </c>
      <c r="O296" s="52">
        <f t="shared" si="207"/>
        <v>6025.595860743585</v>
      </c>
      <c r="P296" s="50" t="str">
        <f t="shared" si="173"/>
        <v>131.578947368421</v>
      </c>
      <c r="Q296" s="18" t="str">
        <f t="shared" si="174"/>
        <v>1+56.7899030688393i</v>
      </c>
      <c r="R296" s="18">
        <f t="shared" si="182"/>
        <v>56.798706768448206</v>
      </c>
      <c r="S296" s="18">
        <f t="shared" si="183"/>
        <v>1.5531893824438476</v>
      </c>
      <c r="T296" s="18" t="str">
        <f t="shared" si="175"/>
        <v>1+0.000124937786751446i</v>
      </c>
      <c r="U296" s="18">
        <f t="shared" si="184"/>
        <v>1.0000000078047253</v>
      </c>
      <c r="V296" s="18">
        <f t="shared" si="185"/>
        <v>1.2493778610137593E-4</v>
      </c>
      <c r="W296" s="32" t="str">
        <f t="shared" si="176"/>
        <v>1-0.030287948303381i</v>
      </c>
      <c r="X296" s="18">
        <f t="shared" si="186"/>
        <v>1.0004585747608086</v>
      </c>
      <c r="Y296" s="18">
        <f t="shared" si="187"/>
        <v>-3.0278691748943574E-2</v>
      </c>
      <c r="Z296" s="32" t="str">
        <f t="shared" si="177"/>
        <v>0.999976763004495+0.0128192412775275i</v>
      </c>
      <c r="AA296" s="18">
        <f t="shared" si="188"/>
        <v>1.0000589280116843</v>
      </c>
      <c r="AB296" s="18">
        <f t="shared" si="189"/>
        <v>1.2818836977486174E-2</v>
      </c>
      <c r="AC296" s="68" t="str">
        <f t="shared" si="190"/>
        <v>-0.0587788178494005-2.31676376514335i</v>
      </c>
      <c r="AD296" s="66">
        <f t="shared" si="191"/>
        <v>7.3004296615760742</v>
      </c>
      <c r="AE296" s="63">
        <f t="shared" si="192"/>
        <v>-91.453344494186112</v>
      </c>
      <c r="AF296" s="32" t="str">
        <f t="shared" si="178"/>
        <v>-0.434440565864413</v>
      </c>
      <c r="AG296" s="32" t="str">
        <f t="shared" si="179"/>
        <v>0.988144313397805i</v>
      </c>
      <c r="AH296" s="32">
        <f t="shared" si="193"/>
        <v>0.98814431339780495</v>
      </c>
      <c r="AI296" s="32">
        <f t="shared" si="194"/>
        <v>1.5707963267948966</v>
      </c>
      <c r="AJ296" s="32" t="str">
        <f t="shared" si="180"/>
        <v>1+0.0097836070633446i</v>
      </c>
      <c r="AK296" s="32">
        <f t="shared" si="195"/>
        <v>1.0000478583383747</v>
      </c>
      <c r="AL296" s="32">
        <f t="shared" si="196"/>
        <v>9.7832949223499929E-3</v>
      </c>
      <c r="AM296" s="32" t="str">
        <f t="shared" si="181"/>
        <v>1+0.988144313397805i</v>
      </c>
      <c r="AN296" s="32">
        <f t="shared" si="197"/>
        <v>1.4058553211836626</v>
      </c>
      <c r="AO296" s="32">
        <f t="shared" si="198"/>
        <v>0.77943504190911594</v>
      </c>
      <c r="AP296" s="60" t="str">
        <f t="shared" si="199"/>
        <v>-0.430098005586305+0.443860863380163i</v>
      </c>
      <c r="AQ296" s="51">
        <f t="shared" si="200"/>
        <v>-4.1794032013723781</v>
      </c>
      <c r="AR296" s="63">
        <f t="shared" si="201"/>
        <v>134.09779679721225</v>
      </c>
      <c r="AS296" s="60" t="str">
        <f t="shared" si="202"/>
        <v>1.05360141737215+0.970345857963673i</v>
      </c>
      <c r="AT296" s="66">
        <f t="shared" si="203"/>
        <v>3.1210264602036841</v>
      </c>
      <c r="AU296" s="63">
        <f t="shared" si="204"/>
        <v>42.644452303026206</v>
      </c>
      <c r="AX296" s="32">
        <f t="shared" si="205"/>
        <v>0</v>
      </c>
      <c r="AY296" s="32">
        <f t="shared" si="206"/>
        <v>0</v>
      </c>
    </row>
    <row r="297" spans="14:51" x14ac:dyDescent="0.3">
      <c r="N297" s="11">
        <v>79</v>
      </c>
      <c r="O297" s="52">
        <f t="shared" si="207"/>
        <v>6165.9500186148289</v>
      </c>
      <c r="P297" s="50" t="str">
        <f t="shared" si="173"/>
        <v>131.578947368421</v>
      </c>
      <c r="Q297" s="18" t="str">
        <f t="shared" si="174"/>
        <v>1+58.1127098426466i</v>
      </c>
      <c r="R297" s="18">
        <f t="shared" si="182"/>
        <v>58.121313175595354</v>
      </c>
      <c r="S297" s="18">
        <f t="shared" si="183"/>
        <v>1.5535900854090543</v>
      </c>
      <c r="T297" s="18" t="str">
        <f t="shared" si="175"/>
        <v>1+0.000127847961653823i</v>
      </c>
      <c r="U297" s="18">
        <f t="shared" si="184"/>
        <v>1.0000000081725506</v>
      </c>
      <c r="V297" s="18">
        <f t="shared" si="185"/>
        <v>1.2784796095726038E-4</v>
      </c>
      <c r="W297" s="32" t="str">
        <f t="shared" si="176"/>
        <v>1-0.0309934452494115i</v>
      </c>
      <c r="X297" s="18">
        <f t="shared" si="186"/>
        <v>1.0004801815370599</v>
      </c>
      <c r="Y297" s="18">
        <f t="shared" si="187"/>
        <v>-3.0983526929719347E-2</v>
      </c>
      <c r="Z297" s="32" t="str">
        <f t="shared" si="177"/>
        <v>0.999975667878635+0.01311783976565i</v>
      </c>
      <c r="AA297" s="18">
        <f t="shared" si="188"/>
        <v>1.0000617051309582</v>
      </c>
      <c r="AB297" s="18">
        <f t="shared" si="189"/>
        <v>1.3117406551724364E-2</v>
      </c>
      <c r="AC297" s="68" t="str">
        <f t="shared" si="190"/>
        <v>-0.0606147049271305-2.26400347561601i</v>
      </c>
      <c r="AD297" s="66">
        <f t="shared" si="191"/>
        <v>7.1006537196000892</v>
      </c>
      <c r="AE297" s="63">
        <f t="shared" si="192"/>
        <v>-91.533627199799611</v>
      </c>
      <c r="AF297" s="32" t="str">
        <f t="shared" si="178"/>
        <v>-0.434440565864413</v>
      </c>
      <c r="AG297" s="32" t="str">
        <f t="shared" si="179"/>
        <v>1.01116115126205i</v>
      </c>
      <c r="AH297" s="32">
        <f t="shared" si="193"/>
        <v>1.01116115126205</v>
      </c>
      <c r="AI297" s="32">
        <f t="shared" si="194"/>
        <v>1.5707963267948966</v>
      </c>
      <c r="AJ297" s="32" t="str">
        <f t="shared" si="180"/>
        <v>1+0.010011496547149i</v>
      </c>
      <c r="AK297" s="32">
        <f t="shared" si="195"/>
        <v>1.0000501137758615</v>
      </c>
      <c r="AL297" s="32">
        <f t="shared" si="196"/>
        <v>1.0011162082952529E-2</v>
      </c>
      <c r="AM297" s="32" t="str">
        <f t="shared" si="181"/>
        <v>1+1.01116115126205i</v>
      </c>
      <c r="AN297" s="32">
        <f t="shared" si="197"/>
        <v>1.4221275870404857</v>
      </c>
      <c r="AO297" s="32">
        <f t="shared" si="198"/>
        <v>0.79094771206306769</v>
      </c>
      <c r="AP297" s="60" t="str">
        <f t="shared" si="199"/>
        <v>-0.430096065567385+0.43395113573362i</v>
      </c>
      <c r="AQ297" s="51">
        <f t="shared" si="200"/>
        <v>-4.2794641490886089</v>
      </c>
      <c r="AR297" s="63">
        <f t="shared" si="201"/>
        <v>134.74436838136793</v>
      </c>
      <c r="AS297" s="60" t="str">
        <f t="shared" si="202"/>
        <v>1.00853702565312+0.947435167248044i</v>
      </c>
      <c r="AT297" s="66">
        <f t="shared" si="203"/>
        <v>2.8211895705114904</v>
      </c>
      <c r="AU297" s="63">
        <f t="shared" si="204"/>
        <v>43.210741181568231</v>
      </c>
      <c r="AX297" s="32">
        <f t="shared" si="205"/>
        <v>0</v>
      </c>
      <c r="AY297" s="32">
        <f t="shared" si="206"/>
        <v>0</v>
      </c>
    </row>
    <row r="298" spans="14:51" x14ac:dyDescent="0.3">
      <c r="N298" s="11">
        <v>80</v>
      </c>
      <c r="O298" s="52">
        <f t="shared" si="207"/>
        <v>6309.5734448019384</v>
      </c>
      <c r="P298" s="50" t="str">
        <f t="shared" si="173"/>
        <v>131.578947368421</v>
      </c>
      <c r="Q298" s="18" t="str">
        <f t="shared" si="174"/>
        <v>1+59.466328744425i</v>
      </c>
      <c r="R298" s="18">
        <f t="shared" si="182"/>
        <v>59.474736269613054</v>
      </c>
      <c r="S298" s="18">
        <f t="shared" si="183"/>
        <v>1.5539816726008835</v>
      </c>
      <c r="T298" s="18" t="str">
        <f t="shared" si="175"/>
        <v>1+0.000130825923237735i</v>
      </c>
      <c r="U298" s="18">
        <f t="shared" si="184"/>
        <v>1.000000008557711</v>
      </c>
      <c r="V298" s="18">
        <f t="shared" si="185"/>
        <v>1.308259224913547E-4</v>
      </c>
      <c r="W298" s="32" t="str">
        <f t="shared" si="176"/>
        <v>1-0.03171537533036i</v>
      </c>
      <c r="X298" s="18">
        <f t="shared" si="186"/>
        <v>1.0005028061091812</v>
      </c>
      <c r="Y298" s="18">
        <f t="shared" si="187"/>
        <v>-3.1704747947773081E-2</v>
      </c>
      <c r="Z298" s="32" t="str">
        <f t="shared" si="177"/>
        <v>0.999974521141085+0.0134233935060515i</v>
      </c>
      <c r="AA298" s="18">
        <f t="shared" si="188"/>
        <v>1.0000646131248523</v>
      </c>
      <c r="AB298" s="18">
        <f t="shared" si="189"/>
        <v>1.3422929310508223E-2</v>
      </c>
      <c r="AC298" s="68" t="str">
        <f t="shared" si="190"/>
        <v>-0.0623679537917489-2.21244074669257i</v>
      </c>
      <c r="AD298" s="66">
        <f t="shared" si="191"/>
        <v>6.9008827469559675</v>
      </c>
      <c r="AE298" s="63">
        <f t="shared" si="192"/>
        <v>-91.614720953629472</v>
      </c>
      <c r="AF298" s="32" t="str">
        <f t="shared" si="178"/>
        <v>-0.434440565864413</v>
      </c>
      <c r="AG298" s="32" t="str">
        <f t="shared" si="179"/>
        <v>1.034714120153i</v>
      </c>
      <c r="AH298" s="32">
        <f t="shared" si="193"/>
        <v>1.0347141201529999</v>
      </c>
      <c r="AI298" s="32">
        <f t="shared" si="194"/>
        <v>1.5707963267948966</v>
      </c>
      <c r="AJ298" s="32" t="str">
        <f t="shared" si="180"/>
        <v>1+0.0102446942589406i</v>
      </c>
      <c r="AK298" s="32">
        <f t="shared" si="195"/>
        <v>1.0000524755033904</v>
      </c>
      <c r="AL298" s="32">
        <f t="shared" si="196"/>
        <v>1.0244335875112824E-2</v>
      </c>
      <c r="AM298" s="32" t="str">
        <f t="shared" si="181"/>
        <v>1+1.034714120153i</v>
      </c>
      <c r="AN298" s="32">
        <f t="shared" si="197"/>
        <v>1.4389695307559491</v>
      </c>
      <c r="AO298" s="32">
        <f t="shared" si="198"/>
        <v>0.80245744079420445</v>
      </c>
      <c r="AP298" s="60" t="str">
        <f t="shared" si="199"/>
        <v>-0.430094034136947+0.424271492892265i</v>
      </c>
      <c r="AQ298" s="51">
        <f t="shared" si="200"/>
        <v>-4.3772239218254514</v>
      </c>
      <c r="AR298" s="63">
        <f t="shared" si="201"/>
        <v>135.39046738681856</v>
      </c>
      <c r="AS298" s="60" t="str">
        <f t="shared" si="202"/>
        <v>0.965499623382094+0.925096621170106i</v>
      </c>
      <c r="AT298" s="66">
        <f t="shared" si="203"/>
        <v>2.5236588251305161</v>
      </c>
      <c r="AU298" s="63">
        <f t="shared" si="204"/>
        <v>43.775746433189113</v>
      </c>
      <c r="AX298" s="32">
        <f t="shared" si="205"/>
        <v>0</v>
      </c>
      <c r="AY298" s="32">
        <f t="shared" si="206"/>
        <v>0</v>
      </c>
    </row>
    <row r="299" spans="14:51" x14ac:dyDescent="0.3">
      <c r="N299" s="11">
        <v>81</v>
      </c>
      <c r="O299" s="52">
        <f t="shared" si="207"/>
        <v>6456.5422903465615</v>
      </c>
      <c r="P299" s="50" t="str">
        <f t="shared" si="173"/>
        <v>131.578947368421</v>
      </c>
      <c r="Q299" s="18" t="str">
        <f t="shared" si="174"/>
        <v>1+60.8514774808338i</v>
      </c>
      <c r="R299" s="18">
        <f t="shared" si="182"/>
        <v>60.859693653520985</v>
      </c>
      <c r="S299" s="18">
        <f t="shared" si="183"/>
        <v>1.5543643511634029</v>
      </c>
      <c r="T299" s="18" t="str">
        <f t="shared" si="175"/>
        <v>1+0.000133873250457834i</v>
      </c>
      <c r="U299" s="18">
        <f t="shared" si="184"/>
        <v>1.0000000089610235</v>
      </c>
      <c r="V299" s="18">
        <f t="shared" si="185"/>
        <v>1.3387324965807312E-4</v>
      </c>
      <c r="W299" s="32" t="str">
        <f t="shared" si="176"/>
        <v>1-0.0324541213231114i</v>
      </c>
      <c r="X299" s="18">
        <f t="shared" si="186"/>
        <v>1.0005264963961999</v>
      </c>
      <c r="Y299" s="18">
        <f t="shared" si="187"/>
        <v>-3.2442734201117554E-2</v>
      </c>
      <c r="Z299" s="32" t="str">
        <f t="shared" si="177"/>
        <v>0.999973320359458+0.0137360645073695i</v>
      </c>
      <c r="AA299" s="18">
        <f t="shared" si="188"/>
        <v>1.0000676581606214</v>
      </c>
      <c r="AB299" s="18">
        <f t="shared" si="189"/>
        <v>1.3735567114612891E-2</v>
      </c>
      <c r="AC299" s="68" t="str">
        <f t="shared" si="190"/>
        <v>-0.0640422768583866-2.1620484289397i</v>
      </c>
      <c r="AD299" s="66">
        <f t="shared" si="191"/>
        <v>6.701117228125927</v>
      </c>
      <c r="AE299" s="63">
        <f t="shared" si="192"/>
        <v>-91.696668545533242</v>
      </c>
      <c r="AF299" s="32" t="str">
        <f t="shared" si="178"/>
        <v>-0.434440565864413</v>
      </c>
      <c r="AG299" s="32" t="str">
        <f t="shared" si="179"/>
        <v>1.05881570816651i</v>
      </c>
      <c r="AH299" s="32">
        <f t="shared" si="193"/>
        <v>1.0588157081665099</v>
      </c>
      <c r="AI299" s="32">
        <f t="shared" si="194"/>
        <v>1.5707963267948966</v>
      </c>
      <c r="AJ299" s="32" t="str">
        <f t="shared" si="180"/>
        <v>1+0.0104833238432328i</v>
      </c>
      <c r="AK299" s="32">
        <f t="shared" si="195"/>
        <v>1.0000549485297305</v>
      </c>
      <c r="AL299" s="32">
        <f t="shared" si="196"/>
        <v>1.0482939829182228E-2</v>
      </c>
      <c r="AM299" s="32" t="str">
        <f t="shared" si="181"/>
        <v>1+1.05881570816651i</v>
      </c>
      <c r="AN299" s="32">
        <f t="shared" si="197"/>
        <v>1.4563964789370194</v>
      </c>
      <c r="AO299" s="32">
        <f t="shared" si="198"/>
        <v>0.81395813388106386</v>
      </c>
      <c r="AP299" s="60" t="str">
        <f t="shared" si="199"/>
        <v>-0.430091906988711+0.414816802450415i</v>
      </c>
      <c r="AQ299" s="51">
        <f t="shared" si="200"/>
        <v>-4.4726849579337697</v>
      </c>
      <c r="AR299" s="63">
        <f t="shared" si="201"/>
        <v>136.03573756262762</v>
      </c>
      <c r="AS299" s="60" t="str">
        <f t="shared" si="202"/>
        <v>0.924398081017632+0.903313719296582i</v>
      </c>
      <c r="AT299" s="66">
        <f t="shared" si="203"/>
        <v>2.2284322701921551</v>
      </c>
      <c r="AU299" s="63">
        <f t="shared" si="204"/>
        <v>44.339069017094388</v>
      </c>
      <c r="AX299" s="32">
        <f t="shared" si="205"/>
        <v>0</v>
      </c>
      <c r="AY299" s="32">
        <f t="shared" si="206"/>
        <v>0</v>
      </c>
    </row>
    <row r="300" spans="14:51" x14ac:dyDescent="0.3">
      <c r="N300" s="11">
        <v>82</v>
      </c>
      <c r="O300" s="52">
        <f t="shared" si="207"/>
        <v>6606.9344800759654</v>
      </c>
      <c r="P300" s="50" t="str">
        <f t="shared" si="173"/>
        <v>131.578947368421</v>
      </c>
      <c r="Q300" s="18" t="str">
        <f t="shared" si="174"/>
        <v>1+62.2688904760672i</v>
      </c>
      <c r="R300" s="18">
        <f t="shared" si="182"/>
        <v>62.276919650223974</v>
      </c>
      <c r="S300" s="18">
        <f t="shared" si="183"/>
        <v>1.5547383235492693</v>
      </c>
      <c r="T300" s="18" t="str">
        <f t="shared" si="175"/>
        <v>1+0.000136991559047348i</v>
      </c>
      <c r="U300" s="18">
        <f t="shared" si="184"/>
        <v>1.0000000093833437</v>
      </c>
      <c r="V300" s="18">
        <f t="shared" si="185"/>
        <v>1.3699155819038876E-4</v>
      </c>
      <c r="W300" s="32" t="str">
        <f t="shared" si="176"/>
        <v>1-0.0332100749205692i</v>
      </c>
      <c r="X300" s="18">
        <f t="shared" si="186"/>
        <v>1.0005513025708526</v>
      </c>
      <c r="Y300" s="18">
        <f t="shared" si="187"/>
        <v>-3.3197873762595399E-2</v>
      </c>
      <c r="Z300" s="32" t="str">
        <f t="shared" si="177"/>
        <v>0.999972062986737+0.0140560185519076i</v>
      </c>
      <c r="AA300" s="18">
        <f t="shared" si="188"/>
        <v>1.0000708466961139</v>
      </c>
      <c r="AB300" s="18">
        <f t="shared" si="189"/>
        <v>1.4055485587907021E-2</v>
      </c>
      <c r="AC300" s="68" t="str">
        <f t="shared" si="190"/>
        <v>-0.0656412196983321-2.11279998084055i</v>
      </c>
      <c r="AD300" s="66">
        <f t="shared" si="191"/>
        <v>6.5013576590531468</v>
      </c>
      <c r="AE300" s="63">
        <f t="shared" si="192"/>
        <v>-91.77951320710379</v>
      </c>
      <c r="AF300" s="32" t="str">
        <f t="shared" si="178"/>
        <v>-0.434440565864413</v>
      </c>
      <c r="AG300" s="32" t="str">
        <f t="shared" si="179"/>
        <v>1.08347869428357i</v>
      </c>
      <c r="AH300" s="32">
        <f t="shared" si="193"/>
        <v>1.0834786942835699</v>
      </c>
      <c r="AI300" s="32">
        <f t="shared" si="194"/>
        <v>1.5707963267948966</v>
      </c>
      <c r="AJ300" s="32" t="str">
        <f t="shared" si="180"/>
        <v>1+0.0107275118245898i</v>
      </c>
      <c r="AK300" s="32">
        <f t="shared" si="195"/>
        <v>1.0000575380996568</v>
      </c>
      <c r="AL300" s="32">
        <f t="shared" si="196"/>
        <v>1.0727100347399741E-2</v>
      </c>
      <c r="AM300" s="32" t="str">
        <f t="shared" si="181"/>
        <v>1+1.08347869428357i</v>
      </c>
      <c r="AN300" s="32">
        <f t="shared" si="197"/>
        <v>1.4744239827696881</v>
      </c>
      <c r="AO300" s="32">
        <f t="shared" si="198"/>
        <v>0.82544372100133656</v>
      </c>
      <c r="AP300" s="60" t="str">
        <f t="shared" si="199"/>
        <v>-0.430089679613618+0.405582051265765i</v>
      </c>
      <c r="AQ300" s="51">
        <f t="shared" si="200"/>
        <v>-4.5658521263654475</v>
      </c>
      <c r="AR300" s="63">
        <f t="shared" si="201"/>
        <v>136.67982386263151</v>
      </c>
      <c r="AS300" s="60" t="str">
        <f t="shared" si="202"/>
        <v>0.885145361293082+0.882070566314534i</v>
      </c>
      <c r="AT300" s="66">
        <f t="shared" si="203"/>
        <v>1.9355055326876991</v>
      </c>
      <c r="AU300" s="63">
        <f t="shared" si="204"/>
        <v>44.900310655527733</v>
      </c>
      <c r="AX300" s="32">
        <f t="shared" si="205"/>
        <v>0</v>
      </c>
      <c r="AY300" s="32">
        <f t="shared" si="206"/>
        <v>0</v>
      </c>
    </row>
    <row r="301" spans="14:51" x14ac:dyDescent="0.3">
      <c r="N301" s="11">
        <v>83</v>
      </c>
      <c r="O301" s="52">
        <f t="shared" si="207"/>
        <v>6760.8297539198229</v>
      </c>
      <c r="P301" s="50" t="str">
        <f t="shared" si="173"/>
        <v>131.578947368421</v>
      </c>
      <c r="Q301" s="18" t="str">
        <f t="shared" si="174"/>
        <v>1+63.7193192612574i</v>
      </c>
      <c r="R301" s="18">
        <f t="shared" si="182"/>
        <v>63.727165691862112</v>
      </c>
      <c r="S301" s="18">
        <f t="shared" si="183"/>
        <v>1.5551037876249361</v>
      </c>
      <c r="T301" s="18" t="str">
        <f t="shared" si="175"/>
        <v>1+0.000140182502374766i</v>
      </c>
      <c r="U301" s="18">
        <f t="shared" si="184"/>
        <v>1.000000009825567</v>
      </c>
      <c r="V301" s="18">
        <f t="shared" si="185"/>
        <v>1.4018250145651765E-4</v>
      </c>
      <c r="W301" s="32" t="str">
        <f t="shared" si="176"/>
        <v>1-0.0339836369393373i</v>
      </c>
      <c r="X301" s="18">
        <f t="shared" si="186"/>
        <v>1.0005772771653496</v>
      </c>
      <c r="Y301" s="18">
        <f t="shared" si="187"/>
        <v>-3.397056357036797E-2</v>
      </c>
      <c r="Z301" s="32" t="str">
        <f t="shared" si="177"/>
        <v>0.999970746355865+0.0143834252835353i</v>
      </c>
      <c r="AA301" s="18">
        <f t="shared" si="188"/>
        <v>1.0000741854934527</v>
      </c>
      <c r="AB301" s="18">
        <f t="shared" si="189"/>
        <v>1.4382854204496845E-2</v>
      </c>
      <c r="AC301" s="68" t="str">
        <f t="shared" si="190"/>
        <v>-0.0671681685097138-2.06466945556576i</v>
      </c>
      <c r="AD301" s="66">
        <f t="shared" si="191"/>
        <v>6.3016045481819916</v>
      </c>
      <c r="AE301" s="63">
        <f t="shared" si="192"/>
        <v>-91.86329863355509</v>
      </c>
      <c r="AF301" s="32" t="str">
        <f t="shared" si="178"/>
        <v>-0.434440565864413</v>
      </c>
      <c r="AG301" s="32" t="str">
        <f t="shared" si="179"/>
        <v>1.10871615514588i</v>
      </c>
      <c r="AH301" s="32">
        <f t="shared" si="193"/>
        <v>1.10871615514588</v>
      </c>
      <c r="AI301" s="32">
        <f t="shared" si="194"/>
        <v>1.5707963267948966</v>
      </c>
      <c r="AJ301" s="32" t="str">
        <f t="shared" si="180"/>
        <v>1+0.0109773876747117i</v>
      </c>
      <c r="AK301" s="32">
        <f t="shared" si="195"/>
        <v>1.000060249705067</v>
      </c>
      <c r="AL301" s="32">
        <f t="shared" si="196"/>
        <v>1.0976946770393504E-2</v>
      </c>
      <c r="AM301" s="32" t="str">
        <f t="shared" si="181"/>
        <v>1+1.10871615514588i</v>
      </c>
      <c r="AN301" s="32">
        <f t="shared" si="197"/>
        <v>1.4930678191835303</v>
      </c>
      <c r="AO301" s="32">
        <f t="shared" si="198"/>
        <v>0.8369081716872977</v>
      </c>
      <c r="AP301" s="60" t="str">
        <f t="shared" si="199"/>
        <v>-0.430087347290298+0.396562342800686i</v>
      </c>
      <c r="AQ301" s="51">
        <f t="shared" si="200"/>
        <v>-4.6567327064023587</v>
      </c>
      <c r="AR301" s="63">
        <f t="shared" si="201"/>
        <v>137.32237335580891</v>
      </c>
      <c r="AS301" s="60" t="str">
        <f t="shared" si="202"/>
        <v>0.847658335824865+0.861351842909738i</v>
      </c>
      <c r="AT301" s="66">
        <f t="shared" si="203"/>
        <v>1.6448718417796317</v>
      </c>
      <c r="AU301" s="63">
        <f t="shared" si="204"/>
        <v>45.459074722253824</v>
      </c>
      <c r="AX301" s="32">
        <f t="shared" si="205"/>
        <v>0</v>
      </c>
      <c r="AY301" s="32">
        <f t="shared" si="206"/>
        <v>0</v>
      </c>
    </row>
    <row r="302" spans="14:51" x14ac:dyDescent="0.3">
      <c r="N302" s="11">
        <v>84</v>
      </c>
      <c r="O302" s="52">
        <f t="shared" si="207"/>
        <v>6918.3097091893687</v>
      </c>
      <c r="P302" s="50" t="str">
        <f t="shared" si="173"/>
        <v>131.578947368421</v>
      </c>
      <c r="Q302" s="18" t="str">
        <f t="shared" si="174"/>
        <v>1+65.2035328729447i</v>
      </c>
      <c r="R302" s="18">
        <f t="shared" si="182"/>
        <v>65.211200718229236</v>
      </c>
      <c r="S302" s="18">
        <f t="shared" si="183"/>
        <v>1.5554609367735666</v>
      </c>
      <c r="T302" s="18" t="str">
        <f t="shared" si="175"/>
        <v>1+0.000143447772320478i</v>
      </c>
      <c r="U302" s="18">
        <f t="shared" si="184"/>
        <v>1.0000000102886317</v>
      </c>
      <c r="V302" s="18">
        <f t="shared" si="185"/>
        <v>1.4344777133655715E-4</v>
      </c>
      <c r="W302" s="32" t="str">
        <f t="shared" si="176"/>
        <v>1-0.0347752175322372i</v>
      </c>
      <c r="X302" s="18">
        <f t="shared" si="186"/>
        <v>1.0006044751820844</v>
      </c>
      <c r="Y302" s="18">
        <f t="shared" si="187"/>
        <v>-3.4761209622016932E-2</v>
      </c>
      <c r="Z302" s="32" t="str">
        <f t="shared" si="177"/>
        <v>0.999969367674091+0.0147184582976355i</v>
      </c>
      <c r="AA302" s="18">
        <f t="shared" si="188"/>
        <v>1.0000776816333721</v>
      </c>
      <c r="AB302" s="18">
        <f t="shared" si="189"/>
        <v>1.4717846377863785E-2</v>
      </c>
      <c r="AC302" s="68" t="str">
        <f t="shared" si="190"/>
        <v>-0.0686263572545197-2.01763148800353i</v>
      </c>
      <c r="AD302" s="66">
        <f t="shared" si="191"/>
        <v>6.1018584175232942</v>
      </c>
      <c r="AE302" s="63">
        <f t="shared" si="192"/>
        <v>-91.948069005797208</v>
      </c>
      <c r="AF302" s="32" t="str">
        <f t="shared" si="178"/>
        <v>-0.434440565864413</v>
      </c>
      <c r="AG302" s="32" t="str">
        <f t="shared" si="179"/>
        <v>1.13454147198924i</v>
      </c>
      <c r="AH302" s="32">
        <f t="shared" si="193"/>
        <v>1.1345414719892399</v>
      </c>
      <c r="AI302" s="32">
        <f t="shared" si="194"/>
        <v>1.5707963267948966</v>
      </c>
      <c r="AJ302" s="32" t="str">
        <f t="shared" si="180"/>
        <v>1+0.0112330838810816i</v>
      </c>
      <c r="AK302" s="32">
        <f t="shared" si="195"/>
        <v>1.0000630890966227</v>
      </c>
      <c r="AL302" s="32">
        <f t="shared" si="196"/>
        <v>1.1232611445202545E-2</v>
      </c>
      <c r="AM302" s="32" t="str">
        <f t="shared" si="181"/>
        <v>1+1.13454147198924i</v>
      </c>
      <c r="AN302" s="32">
        <f t="shared" si="197"/>
        <v>1.512343992504189</v>
      </c>
      <c r="AO302" s="32">
        <f t="shared" si="198"/>
        <v>0.84834551102540368</v>
      </c>
      <c r="AP302" s="60" t="str">
        <f t="shared" si="199"/>
        <v>-0.430084905075078+0.3877528945253i</v>
      </c>
      <c r="AQ302" s="51">
        <f t="shared" si="200"/>
        <v>-4.7453363573413059</v>
      </c>
      <c r="AR302" s="63">
        <f t="shared" si="201"/>
        <v>137.96303612190422</v>
      </c>
      <c r="AS302" s="60" t="str">
        <f t="shared" si="202"/>
        <v>0.811857609904215+0.841142778328319i</v>
      </c>
      <c r="AT302" s="66">
        <f t="shared" si="203"/>
        <v>1.3565220601819821</v>
      </c>
      <c r="AU302" s="63">
        <f t="shared" si="204"/>
        <v>46.014967116106995</v>
      </c>
      <c r="AX302" s="32">
        <f t="shared" si="205"/>
        <v>0</v>
      </c>
      <c r="AY302" s="32">
        <f t="shared" si="206"/>
        <v>0</v>
      </c>
    </row>
    <row r="303" spans="14:51" x14ac:dyDescent="0.3">
      <c r="N303" s="11">
        <v>85</v>
      </c>
      <c r="O303" s="52">
        <f t="shared" si="207"/>
        <v>7079.4578438413828</v>
      </c>
      <c r="P303" s="50" t="str">
        <f t="shared" si="173"/>
        <v>131.578947368421</v>
      </c>
      <c r="Q303" s="18" t="str">
        <f t="shared" si="174"/>
        <v>1+66.7223182608321i</v>
      </c>
      <c r="R303" s="18">
        <f t="shared" si="182"/>
        <v>66.729811584476749</v>
      </c>
      <c r="S303" s="18">
        <f t="shared" si="183"/>
        <v>1.5558099599957067</v>
      </c>
      <c r="T303" s="18" t="str">
        <f t="shared" si="175"/>
        <v>1+0.000146789100173831i</v>
      </c>
      <c r="U303" s="18">
        <f t="shared" si="184"/>
        <v>1.0000000107735199</v>
      </c>
      <c r="V303" s="18">
        <f t="shared" si="185"/>
        <v>1.4678909911954079E-4</v>
      </c>
      <c r="W303" s="32" t="str">
        <f t="shared" si="176"/>
        <v>1-0.0355852364057771i</v>
      </c>
      <c r="X303" s="18">
        <f t="shared" si="186"/>
        <v>1.0006329542095118</v>
      </c>
      <c r="Y303" s="18">
        <f t="shared" si="187"/>
        <v>-3.5570227172288388E-2</v>
      </c>
      <c r="Z303" s="32" t="str">
        <f t="shared" si="177"/>
        <v>0.999967924017048+0.0150612952331469i</v>
      </c>
      <c r="AA303" s="18">
        <f t="shared" si="188"/>
        <v>1.0000813425302288</v>
      </c>
      <c r="AB303" s="18">
        <f t="shared" si="189"/>
        <v>1.5060639552039075E-2</v>
      </c>
      <c r="AC303" s="68" t="str">
        <f t="shared" si="190"/>
        <v>-0.0700188744767102-1.97166128204577i</v>
      </c>
      <c r="AD303" s="66">
        <f t="shared" si="191"/>
        <v>5.9021198037474818</v>
      </c>
      <c r="AE303" s="63">
        <f t="shared" si="192"/>
        <v>-92.033869012706674</v>
      </c>
      <c r="AF303" s="32" t="str">
        <f t="shared" si="178"/>
        <v>-0.434440565864413</v>
      </c>
      <c r="AG303" s="32" t="str">
        <f t="shared" si="179"/>
        <v>1.16096833773848i</v>
      </c>
      <c r="AH303" s="32">
        <f t="shared" si="193"/>
        <v>1.1609683377384801</v>
      </c>
      <c r="AI303" s="32">
        <f t="shared" si="194"/>
        <v>1.5707963267948966</v>
      </c>
      <c r="AJ303" s="32" t="str">
        <f t="shared" si="180"/>
        <v>1+0.0114947360172127i</v>
      </c>
      <c r="AK303" s="32">
        <f t="shared" si="195"/>
        <v>1.0000660622959392</v>
      </c>
      <c r="AL303" s="32">
        <f t="shared" si="196"/>
        <v>1.1494229794853853E-2</v>
      </c>
      <c r="AM303" s="32" t="str">
        <f t="shared" si="181"/>
        <v>1+1.16096833773848i</v>
      </c>
      <c r="AN303" s="32">
        <f t="shared" si="197"/>
        <v>1.5322687366226753</v>
      </c>
      <c r="AO303" s="32">
        <f t="shared" si="198"/>
        <v>0.85974983500126856</v>
      </c>
      <c r="AP303" s="60" t="str">
        <f t="shared" si="199"/>
        <v>-0.430082347791528+0.379149035380952i</v>
      </c>
      <c r="AQ303" s="51">
        <f t="shared" si="200"/>
        <v>-4.8316750784057509</v>
      </c>
      <c r="AR303" s="63">
        <f t="shared" si="201"/>
        <v>138.60146612664292</v>
      </c>
      <c r="AS303" s="60" t="str">
        <f t="shared" si="202"/>
        <v>0.777667355110289+0.821429124515594i</v>
      </c>
      <c r="AT303" s="66">
        <f t="shared" si="203"/>
        <v>1.0704447253417322</v>
      </c>
      <c r="AU303" s="63">
        <f t="shared" si="204"/>
        <v>46.567597113936216</v>
      </c>
      <c r="AX303" s="32">
        <f t="shared" si="205"/>
        <v>0</v>
      </c>
      <c r="AY303" s="32">
        <f t="shared" si="206"/>
        <v>0</v>
      </c>
    </row>
    <row r="304" spans="14:51" x14ac:dyDescent="0.3">
      <c r="N304" s="11">
        <v>86</v>
      </c>
      <c r="O304" s="52">
        <f t="shared" si="207"/>
        <v>7244.3596007499036</v>
      </c>
      <c r="P304" s="50" t="str">
        <f t="shared" si="173"/>
        <v>131.578947368421</v>
      </c>
      <c r="Q304" s="18" t="str">
        <f t="shared" si="174"/>
        <v>1+68.2764807050358i</v>
      </c>
      <c r="R304" s="18">
        <f t="shared" si="182"/>
        <v>68.283803478314866</v>
      </c>
      <c r="S304" s="18">
        <f t="shared" si="183"/>
        <v>1.5561510420077578</v>
      </c>
      <c r="T304" s="18" t="str">
        <f t="shared" si="175"/>
        <v>1+0.000150208257551079i</v>
      </c>
      <c r="U304" s="18">
        <f t="shared" si="184"/>
        <v>1.0000000112812604</v>
      </c>
      <c r="V304" s="18">
        <f t="shared" si="185"/>
        <v>1.5020825642138671E-4</v>
      </c>
      <c r="W304" s="32" t="str">
        <f t="shared" si="176"/>
        <v>1-0.0364141230426858i</v>
      </c>
      <c r="X304" s="18">
        <f t="shared" si="186"/>
        <v>1.0006627745434362</v>
      </c>
      <c r="Y304" s="18">
        <f t="shared" si="187"/>
        <v>-3.6398040934499824E-2</v>
      </c>
      <c r="Z304" s="32" t="str">
        <f t="shared" si="177"/>
        <v>0.999966412322544+0.0154121178667508i</v>
      </c>
      <c r="AA304" s="18">
        <f t="shared" si="188"/>
        <v>1.0000851759477083</v>
      </c>
      <c r="AB304" s="18">
        <f t="shared" si="189"/>
        <v>1.5411415294860923E-2</v>
      </c>
      <c r="AC304" s="68" t="str">
        <f t="shared" si="190"/>
        <v>-0.0713486698155366-1.92673459812706i</v>
      </c>
      <c r="AD304" s="66">
        <f t="shared" si="191"/>
        <v>5.7023892593077594</v>
      </c>
      <c r="AE304" s="63">
        <f t="shared" si="192"/>
        <v>-92.120743873598968</v>
      </c>
      <c r="AF304" s="32" t="str">
        <f t="shared" si="178"/>
        <v>-0.434440565864413</v>
      </c>
      <c r="AG304" s="32" t="str">
        <f t="shared" si="179"/>
        <v>1.18801076426762i</v>
      </c>
      <c r="AH304" s="32">
        <f t="shared" si="193"/>
        <v>1.1880107642676201</v>
      </c>
      <c r="AI304" s="32">
        <f t="shared" si="194"/>
        <v>1.5707963267948966</v>
      </c>
      <c r="AJ304" s="32" t="str">
        <f t="shared" si="180"/>
        <v>1+0.0117624828145309i</v>
      </c>
      <c r="AK304" s="32">
        <f t="shared" si="195"/>
        <v>1.0000691756083486</v>
      </c>
      <c r="AL304" s="32">
        <f t="shared" si="196"/>
        <v>1.1761940389527053E-2</v>
      </c>
      <c r="AM304" s="32" t="str">
        <f t="shared" si="181"/>
        <v>1+1.18801076426762i</v>
      </c>
      <c r="AN304" s="32">
        <f t="shared" si="197"/>
        <v>1.5528585177071781</v>
      </c>
      <c r="AO304" s="32">
        <f t="shared" si="198"/>
        <v>0.8711153253953694</v>
      </c>
      <c r="AP304" s="60" t="str">
        <f t="shared" si="199"/>
        <v>-0.430079670019512+0.370746203302727i</v>
      </c>
      <c r="AQ304" s="51">
        <f t="shared" si="200"/>
        <v>-4.9157631592399307</v>
      </c>
      <c r="AR304" s="63">
        <f t="shared" si="201"/>
        <v>139.2373220711157</v>
      </c>
      <c r="AS304" s="60" t="str">
        <f t="shared" si="202"/>
        <v>0.74501514939821+0.802197131732853i</v>
      </c>
      <c r="AT304" s="66">
        <f t="shared" si="203"/>
        <v>0.78662610006782896</v>
      </c>
      <c r="AU304" s="63">
        <f t="shared" si="204"/>
        <v>47.116578197516738</v>
      </c>
      <c r="AX304" s="32">
        <f t="shared" si="205"/>
        <v>0</v>
      </c>
      <c r="AY304" s="32">
        <f t="shared" si="206"/>
        <v>0</v>
      </c>
    </row>
    <row r="305" spans="14:51" x14ac:dyDescent="0.3">
      <c r="N305" s="11">
        <v>87</v>
      </c>
      <c r="O305" s="52">
        <f t="shared" si="207"/>
        <v>7413.1024130091773</v>
      </c>
      <c r="P305" s="50" t="str">
        <f t="shared" si="173"/>
        <v>131.578947368421</v>
      </c>
      <c r="Q305" s="18" t="str">
        <f t="shared" si="174"/>
        <v>1+69.8668442430552i</v>
      </c>
      <c r="R305" s="18">
        <f t="shared" si="182"/>
        <v>69.874000346934011</v>
      </c>
      <c r="S305" s="18">
        <f t="shared" si="183"/>
        <v>1.556484363338291</v>
      </c>
      <c r="T305" s="18" t="str">
        <f t="shared" si="175"/>
        <v>1+0.000153707057334721i</v>
      </c>
      <c r="U305" s="18">
        <f t="shared" si="184"/>
        <v>1.0000000118129297</v>
      </c>
      <c r="V305" s="18">
        <f t="shared" si="185"/>
        <v>1.5370705612423392E-4</v>
      </c>
      <c r="W305" s="32" t="str">
        <f t="shared" si="176"/>
        <v>1-0.0372623169296294i</v>
      </c>
      <c r="X305" s="18">
        <f t="shared" si="186"/>
        <v>1.0006939993139583</v>
      </c>
      <c r="Y305" s="18">
        <f t="shared" si="187"/>
        <v>-3.724508528562856E-2</v>
      </c>
      <c r="Z305" s="32" t="str">
        <f t="shared" si="177"/>
        <v>0.999964829384073+0.015771112209251i</v>
      </c>
      <c r="AA305" s="18">
        <f t="shared" si="188"/>
        <v>1.0000891900152882</v>
      </c>
      <c r="AB305" s="18">
        <f t="shared" si="189"/>
        <v>1.5770359393358111E-2</v>
      </c>
      <c r="AC305" s="68" t="str">
        <f t="shared" si="190"/>
        <v>-0.0726185602275523-1.8828277410129i</v>
      </c>
      <c r="AD305" s="66">
        <f t="shared" si="191"/>
        <v>5.5026673535947452</v>
      </c>
      <c r="AE305" s="63">
        <f t="shared" si="192"/>
        <v>-92.208739360908964</v>
      </c>
      <c r="AF305" s="32" t="str">
        <f t="shared" si="178"/>
        <v>-0.434440565864413</v>
      </c>
      <c r="AG305" s="32" t="str">
        <f t="shared" si="179"/>
        <v>1.21568308982916i</v>
      </c>
      <c r="AH305" s="32">
        <f t="shared" si="193"/>
        <v>1.21568308982916</v>
      </c>
      <c r="AI305" s="32">
        <f t="shared" si="194"/>
        <v>1.5707963267948966</v>
      </c>
      <c r="AJ305" s="32" t="str">
        <f t="shared" si="180"/>
        <v>1+0.0120364662359323i</v>
      </c>
      <c r="AK305" s="32">
        <f t="shared" si="195"/>
        <v>1.0000724356362636</v>
      </c>
      <c r="AL305" s="32">
        <f t="shared" si="196"/>
        <v>1.2035885019342671E-2</v>
      </c>
      <c r="AM305" s="32" t="str">
        <f t="shared" si="181"/>
        <v>1+1.21568308982916i</v>
      </c>
      <c r="AN305" s="32">
        <f t="shared" si="197"/>
        <v>1.5741300374799323</v>
      </c>
      <c r="AO305" s="32">
        <f t="shared" si="198"/>
        <v>0.88243626414014642</v>
      </c>
      <c r="AP305" s="60" t="str">
        <f t="shared" si="199"/>
        <v>-0.430076866083728+0.362539942799703i</v>
      </c>
      <c r="AQ305" s="51">
        <f t="shared" si="200"/>
        <v>-4.9976171214196654</v>
      </c>
      <c r="AR305" s="63">
        <f t="shared" si="201"/>
        <v>139.87026821020885</v>
      </c>
      <c r="AS305" s="60" t="str">
        <f t="shared" si="202"/>
        <v>0.713831824330689+0.78343352555924i</v>
      </c>
      <c r="AT305" s="66">
        <f t="shared" si="203"/>
        <v>0.5050502321750826</v>
      </c>
      <c r="AU305" s="63">
        <f t="shared" si="204"/>
        <v>47.661528849299899</v>
      </c>
      <c r="AX305" s="32">
        <f t="shared" si="205"/>
        <v>0</v>
      </c>
      <c r="AY305" s="32">
        <f t="shared" si="206"/>
        <v>0</v>
      </c>
    </row>
    <row r="306" spans="14:51" x14ac:dyDescent="0.3">
      <c r="N306" s="11">
        <v>88</v>
      </c>
      <c r="O306" s="52">
        <f t="shared" si="207"/>
        <v>7585.7757502918394</v>
      </c>
      <c r="P306" s="50" t="str">
        <f t="shared" si="173"/>
        <v>131.578947368421</v>
      </c>
      <c r="Q306" s="18" t="str">
        <f t="shared" si="174"/>
        <v>1+71.4942521066893i</v>
      </c>
      <c r="R306" s="18">
        <f t="shared" si="182"/>
        <v>71.501245333874067</v>
      </c>
      <c r="S306" s="18">
        <f t="shared" si="183"/>
        <v>1.5568101004222541</v>
      </c>
      <c r="T306" s="18" t="str">
        <f t="shared" si="175"/>
        <v>1+0.000157287354634717i</v>
      </c>
      <c r="U306" s="18">
        <f t="shared" si="184"/>
        <v>1.000000012369656</v>
      </c>
      <c r="V306" s="18">
        <f t="shared" si="185"/>
        <v>1.5728735333765673E-4</v>
      </c>
      <c r="W306" s="32" t="str">
        <f t="shared" si="176"/>
        <v>1-0.0381302677902343i</v>
      </c>
      <c r="X306" s="18">
        <f t="shared" si="186"/>
        <v>1.0007266946183433</v>
      </c>
      <c r="Y306" s="18">
        <f t="shared" si="187"/>
        <v>-3.8111804475099091E-2</v>
      </c>
      <c r="Z306" s="32" t="str">
        <f t="shared" si="177"/>
        <v>0.99996317184401+0.0161384686042i</v>
      </c>
      <c r="AA306" s="18">
        <f t="shared" si="188"/>
        <v>1.0000933932454619</v>
      </c>
      <c r="AB306" s="18">
        <f t="shared" si="189"/>
        <v>1.613766195130889E-2</v>
      </c>
      <c r="AC306" s="68" t="str">
        <f t="shared" si="190"/>
        <v>-0.073831235930236-1.83991754783412i</v>
      </c>
      <c r="AD306" s="66">
        <f t="shared" si="191"/>
        <v>5.3029546741263207</v>
      </c>
      <c r="AE306" s="63">
        <f t="shared" si="192"/>
        <v>-92.297901823085809</v>
      </c>
      <c r="AF306" s="32" t="str">
        <f t="shared" si="178"/>
        <v>-0.434440565864413</v>
      </c>
      <c r="AG306" s="32" t="str">
        <f t="shared" si="179"/>
        <v>1.2439999866564i</v>
      </c>
      <c r="AH306" s="32">
        <f t="shared" si="193"/>
        <v>1.2439999866564</v>
      </c>
      <c r="AI306" s="32">
        <f t="shared" si="194"/>
        <v>1.5707963267948966</v>
      </c>
      <c r="AJ306" s="32" t="str">
        <f t="shared" si="180"/>
        <v>1+0.0123168315510534i</v>
      </c>
      <c r="AK306" s="32">
        <f t="shared" si="195"/>
        <v>1.0000758492931709</v>
      </c>
      <c r="AL306" s="32">
        <f t="shared" si="196"/>
        <v>1.2316208768808127E-2</v>
      </c>
      <c r="AM306" s="32" t="str">
        <f t="shared" si="181"/>
        <v>1+1.2439999866564i</v>
      </c>
      <c r="AN306" s="32">
        <f t="shared" si="197"/>
        <v>1.5961002370782116</v>
      </c>
      <c r="AO306" s="32">
        <f t="shared" si="198"/>
        <v>0.89370704705535087</v>
      </c>
      <c r="AP306" s="60" t="str">
        <f t="shared" si="199"/>
        <v>-0.430073930041707+0.354525902591645i</v>
      </c>
      <c r="AQ306" s="51">
        <f t="shared" si="200"/>
        <v>-5.0772556514870635</v>
      </c>
      <c r="AR306" s="63">
        <f t="shared" si="201"/>
        <v>140.49997513531656</v>
      </c>
      <c r="AS306" s="60" t="str">
        <f t="shared" si="202"/>
        <v>0.684051319136451+0.765125485192097i</v>
      </c>
      <c r="AT306" s="66">
        <f t="shared" si="203"/>
        <v>0.22569902263926159</v>
      </c>
      <c r="AU306" s="63">
        <f t="shared" si="204"/>
        <v>48.202073312230723</v>
      </c>
      <c r="AX306" s="32">
        <f t="shared" si="205"/>
        <v>7585.7757502918394</v>
      </c>
      <c r="AY306" s="32">
        <f t="shared" si="206"/>
        <v>48.202073312230723</v>
      </c>
    </row>
    <row r="307" spans="14:51" x14ac:dyDescent="0.3">
      <c r="N307" s="11">
        <v>89</v>
      </c>
      <c r="O307" s="52">
        <f t="shared" si="207"/>
        <v>7762.4711662869322</v>
      </c>
      <c r="P307" s="50" t="str">
        <f t="shared" si="173"/>
        <v>131.578947368421</v>
      </c>
      <c r="Q307" s="18" t="str">
        <f t="shared" si="174"/>
        <v>1+73.1595671691288i</v>
      </c>
      <c r="R307" s="18">
        <f t="shared" si="182"/>
        <v>73.166401226070079</v>
      </c>
      <c r="S307" s="18">
        <f t="shared" si="183"/>
        <v>1.5571284256931037</v>
      </c>
      <c r="T307" s="18" t="str">
        <f t="shared" si="175"/>
        <v>1+0.000160951047772083i</v>
      </c>
      <c r="U307" s="18">
        <f t="shared" si="184"/>
        <v>1.0000000129526199</v>
      </c>
      <c r="V307" s="18">
        <f t="shared" si="185"/>
        <v>1.6095104638225787E-4</v>
      </c>
      <c r="W307" s="32" t="str">
        <f t="shared" si="176"/>
        <v>1-0.0390184358235354i</v>
      </c>
      <c r="X307" s="18">
        <f t="shared" si="186"/>
        <v>1.0007609296600839</v>
      </c>
      <c r="Y307" s="18">
        <f t="shared" si="187"/>
        <v>-3.8998652837274606E-2</v>
      </c>
      <c r="Z307" s="32" t="str">
        <f t="shared" si="177"/>
        <v>0.999961436186491+0.0165143818288209i</v>
      </c>
      <c r="AA307" s="18">
        <f t="shared" si="188"/>
        <v>1.0000977945517817</v>
      </c>
      <c r="AB307" s="18">
        <f t="shared" si="189"/>
        <v>1.6513517489019181E-2</v>
      </c>
      <c r="AC307" s="68" t="str">
        <f t="shared" si="190"/>
        <v>-0.0749892660795486-1.79798137636366i</v>
      </c>
      <c r="AD307" s="66">
        <f t="shared" si="191"/>
        <v>5.1032518277737342</v>
      </c>
      <c r="AE307" s="63">
        <f t="shared" si="192"/>
        <v>-92.388278207707145</v>
      </c>
      <c r="AF307" s="32" t="str">
        <f t="shared" si="178"/>
        <v>-0.434440565864413</v>
      </c>
      <c r="AG307" s="32" t="str">
        <f t="shared" si="179"/>
        <v>1.27297646874284i</v>
      </c>
      <c r="AH307" s="32">
        <f t="shared" si="193"/>
        <v>1.27297646874284</v>
      </c>
      <c r="AI307" s="32">
        <f t="shared" si="194"/>
        <v>1.5707963267948966</v>
      </c>
      <c r="AJ307" s="32" t="str">
        <f t="shared" si="180"/>
        <v>1+0.0126037274132955i</v>
      </c>
      <c r="AK307" s="32">
        <f t="shared" si="195"/>
        <v>1.0000794238182829</v>
      </c>
      <c r="AL307" s="32">
        <f t="shared" si="196"/>
        <v>1.2603060092959015E-2</v>
      </c>
      <c r="AM307" s="32" t="str">
        <f t="shared" si="181"/>
        <v>1+1.27297646874284i</v>
      </c>
      <c r="AN307" s="32">
        <f t="shared" si="197"/>
        <v>1.6187863015151169</v>
      </c>
      <c r="AO307" s="32">
        <f t="shared" si="198"/>
        <v>0.90492219688559983</v>
      </c>
      <c r="AP307" s="60" t="str">
        <f t="shared" si="199"/>
        <v>-0.430070855671253+0.346699833300892i</v>
      </c>
      <c r="AQ307" s="51">
        <f t="shared" si="200"/>
        <v>-5.1546995260811057</v>
      </c>
      <c r="AR307" s="63">
        <f t="shared" si="201"/>
        <v>141.12612051697508</v>
      </c>
      <c r="AS307" s="60" t="str">
        <f t="shared" si="202"/>
        <v>0.65561054129238+0.747260622964561i</v>
      </c>
      <c r="AT307" s="66">
        <f t="shared" si="203"/>
        <v>-5.1447698307369394E-2</v>
      </c>
      <c r="AU307" s="63">
        <f t="shared" si="204"/>
        <v>48.73784230926794</v>
      </c>
      <c r="AX307" s="32">
        <f t="shared" si="205"/>
        <v>0</v>
      </c>
      <c r="AY307" s="32">
        <f t="shared" si="206"/>
        <v>0</v>
      </c>
    </row>
    <row r="308" spans="14:51" x14ac:dyDescent="0.3">
      <c r="N308" s="11">
        <v>90</v>
      </c>
      <c r="O308" s="52">
        <f t="shared" si="207"/>
        <v>7943.2823472428154</v>
      </c>
      <c r="P308" s="50" t="str">
        <f t="shared" si="173"/>
        <v>131.578947368421</v>
      </c>
      <c r="Q308" s="18" t="str">
        <f t="shared" si="174"/>
        <v>1+74.8636724024625i</v>
      </c>
      <c r="R308" s="18">
        <f t="shared" si="182"/>
        <v>74.870350911313523</v>
      </c>
      <c r="S308" s="18">
        <f t="shared" si="183"/>
        <v>1.5574395076729146</v>
      </c>
      <c r="T308" s="18" t="str">
        <f t="shared" si="175"/>
        <v>1+0.000164700079285417i</v>
      </c>
      <c r="U308" s="18">
        <f t="shared" si="184"/>
        <v>1.000000013563058</v>
      </c>
      <c r="V308" s="18">
        <f t="shared" si="185"/>
        <v>1.6470007779619255E-4</v>
      </c>
      <c r="W308" s="32" t="str">
        <f t="shared" si="176"/>
        <v>1-0.03992729194798i</v>
      </c>
      <c r="X308" s="18">
        <f t="shared" si="186"/>
        <v>1.0007967768944399</v>
      </c>
      <c r="Y308" s="18">
        <f t="shared" si="187"/>
        <v>-3.9906095007661506E-2</v>
      </c>
      <c r="Z308" s="32" t="str">
        <f t="shared" si="177"/>
        <v>0.999959618729953+0.016899051197281i</v>
      </c>
      <c r="AA308" s="18">
        <f t="shared" si="188"/>
        <v>1.0001024032677461</v>
      </c>
      <c r="AB308" s="18">
        <f t="shared" si="189"/>
        <v>1.6898125045370867E-2</v>
      </c>
      <c r="AC308" s="68" t="str">
        <f t="shared" si="190"/>
        <v>-0.0760951041932392-1.75699709353234i</v>
      </c>
      <c r="AD308" s="66">
        <f t="shared" si="191"/>
        <v>4.9035594420272659</v>
      </c>
      <c r="AE308" s="63">
        <f t="shared" si="192"/>
        <v>-92.47991608481874</v>
      </c>
      <c r="AF308" s="32" t="str">
        <f t="shared" si="178"/>
        <v>-0.434440565864413</v>
      </c>
      <c r="AG308" s="32" t="str">
        <f t="shared" si="179"/>
        <v>1.30262789980285i</v>
      </c>
      <c r="AH308" s="32">
        <f t="shared" si="193"/>
        <v>1.30262789980285</v>
      </c>
      <c r="AI308" s="32">
        <f t="shared" si="194"/>
        <v>1.5707963267948966</v>
      </c>
      <c r="AJ308" s="32" t="str">
        <f t="shared" si="180"/>
        <v>1+0.0128973059386421i</v>
      </c>
      <c r="AK308" s="32">
        <f t="shared" si="195"/>
        <v>1.0000831667918799</v>
      </c>
      <c r="AL308" s="32">
        <f t="shared" si="196"/>
        <v>1.289659089523028E-2</v>
      </c>
      <c r="AM308" s="32" t="str">
        <f t="shared" si="181"/>
        <v>1+1.30262789980285i</v>
      </c>
      <c r="AN308" s="32">
        <f t="shared" si="197"/>
        <v>1.6422056647523731</v>
      </c>
      <c r="AO308" s="32">
        <f t="shared" si="198"/>
        <v>0.91607637557192367</v>
      </c>
      <c r="AP308" s="60" t="str">
        <f t="shared" si="199"/>
        <v>-0.430067636457295+0.339057585198185i</v>
      </c>
      <c r="AQ308" s="51">
        <f t="shared" si="200"/>
        <v>-5.229971529793529</v>
      </c>
      <c r="AR308" s="63">
        <f t="shared" si="201"/>
        <v>141.74838980350899</v>
      </c>
      <c r="AS308" s="60" t="str">
        <f t="shared" si="202"/>
        <v>0.628449233339663+0.729826965004626i</v>
      </c>
      <c r="AT308" s="66">
        <f t="shared" si="203"/>
        <v>-0.32641208776626746</v>
      </c>
      <c r="AU308" s="63">
        <f t="shared" si="204"/>
        <v>49.26847371869021</v>
      </c>
      <c r="AX308" s="32">
        <f t="shared" si="205"/>
        <v>0</v>
      </c>
      <c r="AY308" s="32">
        <f t="shared" si="206"/>
        <v>0</v>
      </c>
    </row>
    <row r="309" spans="14:51" x14ac:dyDescent="0.3">
      <c r="N309" s="11">
        <v>91</v>
      </c>
      <c r="O309" s="52">
        <f t="shared" si="207"/>
        <v>8128.3051616410066</v>
      </c>
      <c r="P309" s="50" t="str">
        <f t="shared" si="173"/>
        <v>131.578947368421</v>
      </c>
      <c r="Q309" s="18" t="str">
        <f t="shared" si="174"/>
        <v>1+76.6074713458422i</v>
      </c>
      <c r="R309" s="18">
        <f t="shared" si="182"/>
        <v>76.613997846372911</v>
      </c>
      <c r="S309" s="18">
        <f t="shared" si="183"/>
        <v>1.5577435110604994</v>
      </c>
      <c r="T309" s="18" t="str">
        <f t="shared" si="175"/>
        <v>1+0.000168536436960853i</v>
      </c>
      <c r="U309" s="18">
        <f t="shared" si="184"/>
        <v>1.0000000142022651</v>
      </c>
      <c r="V309" s="18">
        <f t="shared" si="185"/>
        <v>1.6853643536512023E-4</v>
      </c>
      <c r="W309" s="32" t="str">
        <f t="shared" si="176"/>
        <v>1-0.0408573180511158i</v>
      </c>
      <c r="X309" s="18">
        <f t="shared" si="186"/>
        <v>1.0008343121807575</v>
      </c>
      <c r="Y309" s="18">
        <f t="shared" si="187"/>
        <v>-4.0834606142825233E-2</v>
      </c>
      <c r="Z309" s="32" t="str">
        <f t="shared" si="177"/>
        <v>0.999957715619328+0.0172926806663714i</v>
      </c>
      <c r="AA309" s="18">
        <f t="shared" si="188"/>
        <v>1.0001072291665798</v>
      </c>
      <c r="AB309" s="18">
        <f t="shared" si="189"/>
        <v>1.7291688282188397E-2</v>
      </c>
      <c r="AC309" s="68" t="str">
        <f t="shared" si="190"/>
        <v>-0.0771510933311747-1.71694306417983i</v>
      </c>
      <c r="AD309" s="66">
        <f t="shared" si="191"/>
        <v>4.7038781663031113</v>
      </c>
      <c r="AE309" s="63">
        <f t="shared" si="192"/>
        <v>-92.57286367050456</v>
      </c>
      <c r="AF309" s="32" t="str">
        <f t="shared" si="178"/>
        <v>-0.434440565864413</v>
      </c>
      <c r="AG309" s="32" t="str">
        <f t="shared" si="179"/>
        <v>1.33297000141766i</v>
      </c>
      <c r="AH309" s="32">
        <f t="shared" si="193"/>
        <v>1.33297000141766</v>
      </c>
      <c r="AI309" s="32">
        <f t="shared" si="194"/>
        <v>1.5707963267948966</v>
      </c>
      <c r="AJ309" s="32" t="str">
        <f t="shared" si="180"/>
        <v>1+0.0131977227863134i</v>
      </c>
      <c r="AK309" s="32">
        <f t="shared" si="195"/>
        <v>1.0000870861513733</v>
      </c>
      <c r="AL309" s="32">
        <f t="shared" si="196"/>
        <v>1.3196956607096877E-2</v>
      </c>
      <c r="AM309" s="32" t="str">
        <f t="shared" si="181"/>
        <v>1+1.33297000141766i</v>
      </c>
      <c r="AN309" s="32">
        <f t="shared" si="197"/>
        <v>1.6663760153937035</v>
      </c>
      <c r="AO309" s="32">
        <f t="shared" si="198"/>
        <v>0.92716439569739517</v>
      </c>
      <c r="AP309" s="60" t="str">
        <f t="shared" si="199"/>
        <v>-0.43006426557811+0.331595106001272i</v>
      </c>
      <c r="AQ309" s="51">
        <f t="shared" si="200"/>
        <v>-5.3030963664269741</v>
      </c>
      <c r="AR309" s="63">
        <f t="shared" si="201"/>
        <v>142.3664768722542</v>
      </c>
      <c r="AS309" s="60" t="str">
        <f t="shared" si="202"/>
        <v>0.602509845656879+0.712812932964664i</v>
      </c>
      <c r="AT309" s="66">
        <f t="shared" si="203"/>
        <v>-0.59921820012385951</v>
      </c>
      <c r="AU309" s="63">
        <f t="shared" si="204"/>
        <v>49.793613201749658</v>
      </c>
      <c r="AX309" s="32">
        <f t="shared" si="205"/>
        <v>0</v>
      </c>
      <c r="AY309" s="32">
        <f t="shared" si="206"/>
        <v>0</v>
      </c>
    </row>
    <row r="310" spans="14:51" x14ac:dyDescent="0.3">
      <c r="N310" s="11">
        <v>92</v>
      </c>
      <c r="O310" s="52">
        <f t="shared" si="207"/>
        <v>8317.6377110267094</v>
      </c>
      <c r="P310" s="50" t="str">
        <f t="shared" si="173"/>
        <v>131.578947368421</v>
      </c>
      <c r="Q310" s="18" t="str">
        <f t="shared" si="174"/>
        <v>1+78.3918885845488i</v>
      </c>
      <c r="R310" s="18">
        <f t="shared" si="182"/>
        <v>78.398266536016664</v>
      </c>
      <c r="S310" s="18">
        <f t="shared" si="183"/>
        <v>1.5580405968175859</v>
      </c>
      <c r="T310" s="18" t="str">
        <f t="shared" si="175"/>
        <v>1+0.000172462154886007i</v>
      </c>
      <c r="U310" s="18">
        <f t="shared" si="184"/>
        <v>1.0000000148715973</v>
      </c>
      <c r="V310" s="18">
        <f t="shared" si="185"/>
        <v>1.7246215317614854E-4</v>
      </c>
      <c r="W310" s="32" t="str">
        <f t="shared" si="176"/>
        <v>1-0.0418090072450927i</v>
      </c>
      <c r="X310" s="18">
        <f t="shared" si="186"/>
        <v>1.0008736149418769</v>
      </c>
      <c r="Y310" s="18">
        <f t="shared" si="187"/>
        <v>-4.1784672144007926E-2</v>
      </c>
      <c r="Z310" s="32" t="str">
        <f t="shared" si="177"/>
        <v>0.999955722817861+0.0176954789436467i</v>
      </c>
      <c r="AA310" s="18">
        <f t="shared" si="188"/>
        <v>1.0001122824819402</v>
      </c>
      <c r="AB310" s="18">
        <f t="shared" si="189"/>
        <v>1.7694415590971867E-2</v>
      </c>
      <c r="AC310" s="68" t="str">
        <f t="shared" si="190"/>
        <v>-0.0781594710434766-1.67779814003746i</v>
      </c>
      <c r="AD310" s="66">
        <f t="shared" si="191"/>
        <v>4.5042086732954836</v>
      </c>
      <c r="AE310" s="63">
        <f t="shared" si="192"/>
        <v>-92.667169850691536</v>
      </c>
      <c r="AF310" s="32" t="str">
        <f t="shared" si="178"/>
        <v>-0.434440565864413</v>
      </c>
      <c r="AG310" s="32" t="str">
        <f t="shared" si="179"/>
        <v>1.36401886137115i</v>
      </c>
      <c r="AH310" s="32">
        <f t="shared" si="193"/>
        <v>1.3640188613711499</v>
      </c>
      <c r="AI310" s="32">
        <f t="shared" si="194"/>
        <v>1.5707963267948966</v>
      </c>
      <c r="AJ310" s="32" t="str">
        <f t="shared" si="180"/>
        <v>1+0.0135051372412985i</v>
      </c>
      <c r="AK310" s="32">
        <f t="shared" si="195"/>
        <v>1.0000911902081262</v>
      </c>
      <c r="AL310" s="32">
        <f t="shared" si="196"/>
        <v>1.3504316269519676E-2</v>
      </c>
      <c r="AM310" s="32" t="str">
        <f t="shared" si="181"/>
        <v>1+1.36401886137115i</v>
      </c>
      <c r="AN310" s="32">
        <f t="shared" si="197"/>
        <v>1.6913153030042176</v>
      </c>
      <c r="AO310" s="32">
        <f t="shared" si="198"/>
        <v>0.93818123105590401</v>
      </c>
      <c r="AP310" s="60" t="str">
        <f t="shared" si="199"/>
        <v>-0.430060735890919+0.324308438725095i</v>
      </c>
      <c r="AQ310" s="51">
        <f t="shared" si="200"/>
        <v>-5.3741005643711715</v>
      </c>
      <c r="AR310" s="63">
        <f t="shared" si="201"/>
        <v>142.9800846304378</v>
      </c>
      <c r="AS310" s="60" t="str">
        <f t="shared" si="202"/>
        <v>0.577737414925219+0.696207326755236i</v>
      </c>
      <c r="AT310" s="66">
        <f t="shared" si="203"/>
        <v>-0.86989189107569143</v>
      </c>
      <c r="AU310" s="63">
        <f t="shared" si="204"/>
        <v>50.312914779746308</v>
      </c>
      <c r="AX310" s="32">
        <f t="shared" si="205"/>
        <v>0</v>
      </c>
      <c r="AY310" s="32">
        <f t="shared" si="206"/>
        <v>0</v>
      </c>
    </row>
    <row r="311" spans="14:51" x14ac:dyDescent="0.3">
      <c r="N311" s="11">
        <v>93</v>
      </c>
      <c r="O311" s="52">
        <f t="shared" si="207"/>
        <v>8511.3803820237772</v>
      </c>
      <c r="P311" s="50" t="str">
        <f t="shared" si="173"/>
        <v>131.578947368421</v>
      </c>
      <c r="Q311" s="18" t="str">
        <f t="shared" si="174"/>
        <v>1+80.2178702402226i</v>
      </c>
      <c r="R311" s="18">
        <f t="shared" si="182"/>
        <v>80.224103023201138</v>
      </c>
      <c r="S311" s="18">
        <f t="shared" si="183"/>
        <v>1.5583309222530886</v>
      </c>
      <c r="T311" s="18" t="str">
        <f t="shared" si="175"/>
        <v>1+0.00017647931452849i</v>
      </c>
      <c r="U311" s="18">
        <f t="shared" si="184"/>
        <v>1.000000015572474</v>
      </c>
      <c r="V311" s="18">
        <f t="shared" si="185"/>
        <v>1.7647931269634365E-4</v>
      </c>
      <c r="W311" s="32" t="str">
        <f t="shared" si="176"/>
        <v>1-0.0427828641281187i</v>
      </c>
      <c r="X311" s="18">
        <f t="shared" si="186"/>
        <v>1.0009147683309527</v>
      </c>
      <c r="Y311" s="18">
        <f t="shared" si="187"/>
        <v>-4.2756789884439261E-2</v>
      </c>
      <c r="Z311" s="32" t="str">
        <f t="shared" si="177"/>
        <v>0.999953636098555+0.0181076595980853i</v>
      </c>
      <c r="AA311" s="18">
        <f t="shared" si="188"/>
        <v>1.0001175739296062</v>
      </c>
      <c r="AB311" s="18">
        <f t="shared" si="189"/>
        <v>1.8106520202049933E-2</v>
      </c>
      <c r="AC311" s="68" t="str">
        <f t="shared" si="190"/>
        <v>-0.0791223740967812-1.63954164893876i</v>
      </c>
      <c r="AD311" s="66">
        <f t="shared" si="191"/>
        <v>4.3045516603745035</v>
      </c>
      <c r="AE311" s="63">
        <f t="shared" si="192"/>
        <v>-92.762884205194155</v>
      </c>
      <c r="AF311" s="32" t="str">
        <f t="shared" si="178"/>
        <v>-0.434440565864413</v>
      </c>
      <c r="AG311" s="32" t="str">
        <f t="shared" si="179"/>
        <v>1.39579094217987i</v>
      </c>
      <c r="AH311" s="32">
        <f t="shared" si="193"/>
        <v>1.39579094217987</v>
      </c>
      <c r="AI311" s="32">
        <f t="shared" si="194"/>
        <v>1.5707963267948966</v>
      </c>
      <c r="AJ311" s="32" t="str">
        <f t="shared" si="180"/>
        <v>1+0.0138197122988106i</v>
      </c>
      <c r="AK311" s="32">
        <f t="shared" si="195"/>
        <v>1.0000954876650638</v>
      </c>
      <c r="AL311" s="32">
        <f t="shared" si="196"/>
        <v>1.3818832616236744E-2</v>
      </c>
      <c r="AM311" s="32" t="str">
        <f t="shared" si="181"/>
        <v>1+1.39579094217987i</v>
      </c>
      <c r="AN311" s="32">
        <f t="shared" si="197"/>
        <v>1.7170417450578681</v>
      </c>
      <c r="AO311" s="32">
        <f t="shared" si="198"/>
        <v>0.94912202630221632</v>
      </c>
      <c r="AP311" s="60" t="str">
        <f t="shared" si="199"/>
        <v>-0.430057039916795+0.317193719582391i</v>
      </c>
      <c r="AQ311" s="51">
        <f t="shared" si="200"/>
        <v>-5.4430123768430816</v>
      </c>
      <c r="AR311" s="63">
        <f t="shared" si="201"/>
        <v>143.58892556331367</v>
      </c>
      <c r="AS311" s="60" t="str">
        <f t="shared" si="202"/>
        <v>0.554079448032383+0.679999308220957i</v>
      </c>
      <c r="AT311" s="66">
        <f t="shared" si="203"/>
        <v>-1.1384607164685752</v>
      </c>
      <c r="AU311" s="63">
        <f t="shared" si="204"/>
        <v>50.826041358119518</v>
      </c>
      <c r="AX311" s="32">
        <f t="shared" si="205"/>
        <v>0</v>
      </c>
      <c r="AY311" s="32">
        <f t="shared" si="206"/>
        <v>0</v>
      </c>
    </row>
    <row r="312" spans="14:51" x14ac:dyDescent="0.3">
      <c r="N312" s="11">
        <v>94</v>
      </c>
      <c r="O312" s="52">
        <f t="shared" si="207"/>
        <v>8709.6358995608189</v>
      </c>
      <c r="P312" s="50" t="str">
        <f t="shared" si="173"/>
        <v>131.578947368421</v>
      </c>
      <c r="Q312" s="18" t="str">
        <f t="shared" si="174"/>
        <v>1+82.0863844725066i</v>
      </c>
      <c r="R312" s="18">
        <f t="shared" si="182"/>
        <v>82.092475390672504</v>
      </c>
      <c r="S312" s="18">
        <f t="shared" si="183"/>
        <v>1.558614641105514</v>
      </c>
      <c r="T312" s="18" t="str">
        <f t="shared" si="175"/>
        <v>1+0.000180590045839515i</v>
      </c>
      <c r="U312" s="18">
        <f t="shared" si="184"/>
        <v>1.0000000163063822</v>
      </c>
      <c r="V312" s="18">
        <f t="shared" si="185"/>
        <v>1.8059004387633481E-4</v>
      </c>
      <c r="W312" s="32" t="str">
        <f t="shared" si="176"/>
        <v>1-0.0437794050520035i</v>
      </c>
      <c r="X312" s="18">
        <f t="shared" si="186"/>
        <v>1.0009578594060329</v>
      </c>
      <c r="Y312" s="18">
        <f t="shared" si="187"/>
        <v>-4.3751467440314613E-2</v>
      </c>
      <c r="Z312" s="32" t="str">
        <f t="shared" si="177"/>
        <v>0.999951451035198+0.018529441173326i</v>
      </c>
      <c r="AA312" s="18">
        <f t="shared" si="188"/>
        <v>1.0001231147301783</v>
      </c>
      <c r="AB312" s="18">
        <f t="shared" si="189"/>
        <v>1.8528220296201645E-2</v>
      </c>
      <c r="AC312" s="68" t="str">
        <f t="shared" si="190"/>
        <v>-0.0800418429884758-1.60215338425445i</v>
      </c>
      <c r="AD312" s="66">
        <f t="shared" si="191"/>
        <v>4.1049078510347066</v>
      </c>
      <c r="AE312" s="63">
        <f t="shared" si="192"/>
        <v>-92.860057032002317</v>
      </c>
      <c r="AF312" s="32" t="str">
        <f t="shared" si="178"/>
        <v>-0.434440565864413</v>
      </c>
      <c r="AG312" s="32" t="str">
        <f t="shared" si="179"/>
        <v>1.42830308982162i</v>
      </c>
      <c r="AH312" s="32">
        <f t="shared" si="193"/>
        <v>1.42830308982162</v>
      </c>
      <c r="AI312" s="32">
        <f t="shared" si="194"/>
        <v>1.5707963267948966</v>
      </c>
      <c r="AJ312" s="32" t="str">
        <f t="shared" si="180"/>
        <v>1+0.0141416147507091i</v>
      </c>
      <c r="AK312" s="32">
        <f t="shared" si="195"/>
        <v>1.0000999876351151</v>
      </c>
      <c r="AL312" s="32">
        <f t="shared" si="196"/>
        <v>1.414067215893838E-2</v>
      </c>
      <c r="AM312" s="32" t="str">
        <f t="shared" si="181"/>
        <v>1+1.42830308982162i</v>
      </c>
      <c r="AN312" s="32">
        <f t="shared" si="197"/>
        <v>1.7435738345117442</v>
      </c>
      <c r="AO312" s="32">
        <f t="shared" si="198"/>
        <v>0.95998210565068132</v>
      </c>
      <c r="AP312" s="60" t="str">
        <f t="shared" si="199"/>
        <v>-0.430053169824864+0.310247175933653i</v>
      </c>
      <c r="AQ312" s="51">
        <f t="shared" si="200"/>
        <v>-5.5098616777549072</v>
      </c>
      <c r="AR312" s="63">
        <f t="shared" si="201"/>
        <v>144.1927222276806</v>
      </c>
      <c r="AS312" s="60" t="str">
        <f t="shared" si="202"/>
        <v>0.531485811173306+0.66417838570056i</v>
      </c>
      <c r="AT312" s="66">
        <f t="shared" si="203"/>
        <v>-1.4049538267202002</v>
      </c>
      <c r="AU312" s="63">
        <f t="shared" si="204"/>
        <v>51.332665195678281</v>
      </c>
      <c r="AX312" s="32">
        <f t="shared" si="205"/>
        <v>0</v>
      </c>
      <c r="AY312" s="32">
        <f t="shared" si="206"/>
        <v>0</v>
      </c>
    </row>
    <row r="313" spans="14:51" x14ac:dyDescent="0.3">
      <c r="N313" s="11">
        <v>95</v>
      </c>
      <c r="O313" s="52">
        <f t="shared" si="207"/>
        <v>8912.5093813374679</v>
      </c>
      <c r="P313" s="50" t="str">
        <f t="shared" si="173"/>
        <v>131.578947368421</v>
      </c>
      <c r="Q313" s="18" t="str">
        <f t="shared" si="174"/>
        <v>1+83.9984219923797i</v>
      </c>
      <c r="R313" s="18">
        <f t="shared" si="182"/>
        <v>84.004374274259661</v>
      </c>
      <c r="S313" s="18">
        <f t="shared" si="183"/>
        <v>1.5588919036235416</v>
      </c>
      <c r="T313" s="18" t="str">
        <f t="shared" si="175"/>
        <v>1+0.000184796528383235i</v>
      </c>
      <c r="U313" s="18">
        <f t="shared" si="184"/>
        <v>1.0000000170748782</v>
      </c>
      <c r="V313" s="18">
        <f t="shared" si="185"/>
        <v>1.8479652627964954E-4</v>
      </c>
      <c r="W313" s="32" t="str">
        <f t="shared" si="176"/>
        <v>1-0.0447991583959358i</v>
      </c>
      <c r="X313" s="18">
        <f t="shared" si="186"/>
        <v>1.0010029793127411</v>
      </c>
      <c r="Y313" s="18">
        <f t="shared" si="187"/>
        <v>-4.4769224325416246E-2</v>
      </c>
      <c r="Z313" s="32" t="str">
        <f t="shared" si="177"/>
        <v>0.999949162992978+0.018961047303543i</v>
      </c>
      <c r="AA313" s="18">
        <f t="shared" si="188"/>
        <v>1.0001289166328531</v>
      </c>
      <c r="AB313" s="18">
        <f t="shared" si="189"/>
        <v>1.8959739118801094E-2</v>
      </c>
      <c r="AC313" s="68" t="str">
        <f t="shared" si="190"/>
        <v>-0.0809198262583354-1.56561359454791i</v>
      </c>
      <c r="AD313" s="66">
        <f t="shared" si="191"/>
        <v>3.9052779963957605</v>
      </c>
      <c r="AE313" s="63">
        <f t="shared" si="192"/>
        <v>-92.958739371816264</v>
      </c>
      <c r="AF313" s="32" t="str">
        <f t="shared" si="178"/>
        <v>-0.434440565864413</v>
      </c>
      <c r="AG313" s="32" t="str">
        <f t="shared" si="179"/>
        <v>1.46157254266741i</v>
      </c>
      <c r="AH313" s="32">
        <f t="shared" si="193"/>
        <v>1.46157254266741</v>
      </c>
      <c r="AI313" s="32">
        <f t="shared" si="194"/>
        <v>1.5707963267948966</v>
      </c>
      <c r="AJ313" s="32" t="str">
        <f t="shared" si="180"/>
        <v>1+0.0144710152739347i</v>
      </c>
      <c r="AK313" s="32">
        <f t="shared" si="195"/>
        <v>1.0001046996605198</v>
      </c>
      <c r="AL313" s="32">
        <f t="shared" si="196"/>
        <v>1.4470005274366021E-2</v>
      </c>
      <c r="AM313" s="32" t="str">
        <f t="shared" si="181"/>
        <v>1+1.46157254266741i</v>
      </c>
      <c r="AN313" s="32">
        <f t="shared" si="197"/>
        <v>1.7709303480033531</v>
      </c>
      <c r="AO313" s="32">
        <f t="shared" si="198"/>
        <v>0.97075698059939119</v>
      </c>
      <c r="AP313" s="60" t="str">
        <f t="shared" si="199"/>
        <v>-0.430049117415774+0.303465124285286i</v>
      </c>
      <c r="AQ313" s="51">
        <f t="shared" si="200"/>
        <v>-5.5746798539856988</v>
      </c>
      <c r="AR313" s="63">
        <f t="shared" si="201"/>
        <v>144.79120768945506</v>
      </c>
      <c r="AS313" s="60" t="str">
        <f t="shared" si="202"/>
        <v>0.50990862391605+0.648734399416837i</v>
      </c>
      <c r="AT313" s="66">
        <f t="shared" si="203"/>
        <v>-1.669401857589935</v>
      </c>
      <c r="AU313" s="63">
        <f t="shared" si="204"/>
        <v>51.832468317638792</v>
      </c>
      <c r="AX313" s="32">
        <f t="shared" si="205"/>
        <v>0</v>
      </c>
      <c r="AY313" s="32">
        <f t="shared" si="206"/>
        <v>0</v>
      </c>
    </row>
    <row r="314" spans="14:51" x14ac:dyDescent="0.3">
      <c r="N314" s="11">
        <v>96</v>
      </c>
      <c r="O314" s="52">
        <f t="shared" si="207"/>
        <v>9120.1083935591087</v>
      </c>
      <c r="P314" s="50" t="str">
        <f t="shared" si="173"/>
        <v>131.578947368421</v>
      </c>
      <c r="Q314" s="18" t="str">
        <f t="shared" si="174"/>
        <v>1+85.9549965874437i</v>
      </c>
      <c r="R314" s="18">
        <f t="shared" si="182"/>
        <v>85.960813388121565</v>
      </c>
      <c r="S314" s="18">
        <f t="shared" si="183"/>
        <v>1.559162856644815</v>
      </c>
      <c r="T314" s="18" t="str">
        <f t="shared" si="175"/>
        <v>1+0.000189100992492376i</v>
      </c>
      <c r="U314" s="18">
        <f t="shared" si="184"/>
        <v>1.0000000178795925</v>
      </c>
      <c r="V314" s="18">
        <f t="shared" si="185"/>
        <v>1.8910099023834357E-4</v>
      </c>
      <c r="W314" s="32" t="str">
        <f t="shared" si="176"/>
        <v>1-0.0458426648466366i</v>
      </c>
      <c r="X314" s="18">
        <f t="shared" si="186"/>
        <v>1.0010502234754464</v>
      </c>
      <c r="Y314" s="18">
        <f t="shared" si="187"/>
        <v>-4.5810591729337352E-2</v>
      </c>
      <c r="Z314" s="32" t="str">
        <f t="shared" si="177"/>
        <v>0.999946767118649+0.0194027068320194i</v>
      </c>
      <c r="AA314" s="18">
        <f t="shared" si="188"/>
        <v>1.0001349919403115</v>
      </c>
      <c r="AB314" s="18">
        <f t="shared" si="189"/>
        <v>1.9401305096537088E-2</v>
      </c>
      <c r="AC314" s="68" t="str">
        <f t="shared" si="190"/>
        <v>-0.0817581846065624-1.52990297344739i</v>
      </c>
      <c r="AD314" s="66">
        <f t="shared" si="191"/>
        <v>3.7056628767581925</v>
      </c>
      <c r="AE314" s="63">
        <f t="shared" si="192"/>
        <v>-93.058983032831662</v>
      </c>
      <c r="AF314" s="32" t="str">
        <f t="shared" si="178"/>
        <v>-0.434440565864413</v>
      </c>
      <c r="AG314" s="32" t="str">
        <f t="shared" si="179"/>
        <v>1.49561694062152i</v>
      </c>
      <c r="AH314" s="32">
        <f t="shared" si="193"/>
        <v>1.4956169406215201</v>
      </c>
      <c r="AI314" s="32">
        <f t="shared" si="194"/>
        <v>1.5707963267948966</v>
      </c>
      <c r="AJ314" s="32" t="str">
        <f t="shared" si="180"/>
        <v>1+0.0148080885210052i</v>
      </c>
      <c r="AK314" s="32">
        <f t="shared" si="195"/>
        <v>1.0001096337330453</v>
      </c>
      <c r="AL314" s="32">
        <f t="shared" si="196"/>
        <v>1.4807006293376394E-2</v>
      </c>
      <c r="AM314" s="32" t="str">
        <f t="shared" si="181"/>
        <v>1+1.49561694062152i</v>
      </c>
      <c r="AN314" s="32">
        <f t="shared" si="197"/>
        <v>1.7991303546641848</v>
      </c>
      <c r="AO314" s="32">
        <f t="shared" si="198"/>
        <v>0.98144235666568858</v>
      </c>
      <c r="AP314" s="60" t="str">
        <f t="shared" si="199"/>
        <v>-0.430044874104383+0.29684396833493i</v>
      </c>
      <c r="AQ314" s="51">
        <f t="shared" si="200"/>
        <v>-5.6374996948323073</v>
      </c>
      <c r="AR314" s="63">
        <f t="shared" si="201"/>
        <v>145.38412590448306</v>
      </c>
      <c r="AS314" s="60" t="str">
        <f t="shared" si="202"/>
        <v>0.489302158011664+0.633657507645632i</v>
      </c>
      <c r="AT314" s="66">
        <f t="shared" si="203"/>
        <v>-1.9318368180741199</v>
      </c>
      <c r="AU314" s="63">
        <f t="shared" si="204"/>
        <v>52.325142871651387</v>
      </c>
      <c r="AX314" s="32">
        <f t="shared" si="205"/>
        <v>0</v>
      </c>
      <c r="AY314" s="32">
        <f t="shared" si="206"/>
        <v>0</v>
      </c>
    </row>
    <row r="315" spans="14:51" x14ac:dyDescent="0.3">
      <c r="N315" s="11">
        <v>97</v>
      </c>
      <c r="O315" s="52">
        <f t="shared" si="207"/>
        <v>9332.5430079699217</v>
      </c>
      <c r="P315" s="50" t="str">
        <f t="shared" si="173"/>
        <v>131.578947368421</v>
      </c>
      <c r="Q315" s="18" t="str">
        <f t="shared" si="174"/>
        <v>1+87.9571456594471i</v>
      </c>
      <c r="R315" s="18">
        <f t="shared" si="182"/>
        <v>87.962830062232499</v>
      </c>
      <c r="S315" s="18">
        <f t="shared" si="183"/>
        <v>1.5594276436729844</v>
      </c>
      <c r="T315" s="18" t="str">
        <f t="shared" si="175"/>
        <v>1+0.000193505720450784i</v>
      </c>
      <c r="U315" s="18">
        <f t="shared" si="184"/>
        <v>1.0000000187222318</v>
      </c>
      <c r="V315" s="18">
        <f t="shared" si="185"/>
        <v>1.9350571803554474E-4</v>
      </c>
      <c r="W315" s="32" t="str">
        <f t="shared" si="176"/>
        <v>1-0.0469104776850385i</v>
      </c>
      <c r="X315" s="18">
        <f t="shared" si="186"/>
        <v>1.0010996917972947</v>
      </c>
      <c r="Y315" s="18">
        <f t="shared" si="187"/>
        <v>-4.687611275926401E-2</v>
      </c>
      <c r="Z315" s="32" t="str">
        <f t="shared" si="177"/>
        <v>0.999944258330243+0.0198546539324834i</v>
      </c>
      <c r="AA315" s="18">
        <f t="shared" si="188"/>
        <v>1.0001413535347883</v>
      </c>
      <c r="AB315" s="18">
        <f t="shared" si="189"/>
        <v>1.9853151956762953E-2</v>
      </c>
      <c r="AC315" s="68" t="str">
        <f t="shared" si="190"/>
        <v>-0.0825586948268393-1.49500264973139i</v>
      </c>
      <c r="AD315" s="66">
        <f t="shared" si="191"/>
        <v>3.5060633032179602</v>
      </c>
      <c r="AE315" s="63">
        <f t="shared" si="192"/>
        <v>-93.160840615777303</v>
      </c>
      <c r="AF315" s="32" t="str">
        <f t="shared" si="178"/>
        <v>-0.434440565864413</v>
      </c>
      <c r="AG315" s="32" t="str">
        <f t="shared" si="179"/>
        <v>1.53045433447438i</v>
      </c>
      <c r="AH315" s="32">
        <f t="shared" si="193"/>
        <v>1.53045433447438</v>
      </c>
      <c r="AI315" s="32">
        <f t="shared" si="194"/>
        <v>1.5707963267948966</v>
      </c>
      <c r="AJ315" s="32" t="str">
        <f t="shared" si="180"/>
        <v>1+0.0151530132126176i</v>
      </c>
      <c r="AK315" s="32">
        <f t="shared" si="195"/>
        <v>1.0001148003151548</v>
      </c>
      <c r="AL315" s="32">
        <f t="shared" si="196"/>
        <v>1.5151853592009696E-2</v>
      </c>
      <c r="AM315" s="32" t="str">
        <f t="shared" si="181"/>
        <v>1+1.53045433447438i</v>
      </c>
      <c r="AN315" s="32">
        <f t="shared" si="197"/>
        <v>1.828193225540292</v>
      </c>
      <c r="AO315" s="32">
        <f t="shared" si="198"/>
        <v>0.99203413912781213</v>
      </c>
      <c r="AP315" s="60" t="str">
        <f t="shared" si="199"/>
        <v>-0.430040430901636+0.290380197062892i</v>
      </c>
      <c r="AQ315" s="51">
        <f t="shared" si="200"/>
        <v>-5.6983552794078864</v>
      </c>
      <c r="AR315" s="63">
        <f t="shared" si="201"/>
        <v>145.97123204229524</v>
      </c>
      <c r="AS315" s="60" t="str">
        <f t="shared" si="202"/>
        <v>0.469622740736557+0.618938173616502i</v>
      </c>
      <c r="AT315" s="66">
        <f t="shared" si="203"/>
        <v>-2.1922919761899267</v>
      </c>
      <c r="AU315" s="63">
        <f t="shared" si="204"/>
        <v>52.810391426517974</v>
      </c>
      <c r="AX315" s="32">
        <f t="shared" si="205"/>
        <v>0</v>
      </c>
      <c r="AY315" s="32">
        <f t="shared" si="206"/>
        <v>0</v>
      </c>
    </row>
    <row r="316" spans="14:51" x14ac:dyDescent="0.3">
      <c r="N316" s="11">
        <v>98</v>
      </c>
      <c r="O316" s="52">
        <f t="shared" si="207"/>
        <v>9549.9258602143691</v>
      </c>
      <c r="P316" s="50" t="str">
        <f t="shared" si="173"/>
        <v>131.578947368421</v>
      </c>
      <c r="Q316" s="18" t="str">
        <f t="shared" si="174"/>
        <v>1+90.0059307743299i</v>
      </c>
      <c r="R316" s="18">
        <f t="shared" si="182"/>
        <v>90.011485792389095</v>
      </c>
      <c r="S316" s="18">
        <f t="shared" si="183"/>
        <v>1.559686404953033</v>
      </c>
      <c r="T316" s="18" t="str">
        <f t="shared" si="175"/>
        <v>1+0.000198013047703526i</v>
      </c>
      <c r="U316" s="18">
        <f t="shared" si="184"/>
        <v>1.0000000196045833</v>
      </c>
      <c r="V316" s="18">
        <f t="shared" si="185"/>
        <v>1.9801304511555051E-4</v>
      </c>
      <c r="W316" s="32" t="str">
        <f t="shared" si="176"/>
        <v>1-0.0480031630796426i</v>
      </c>
      <c r="X316" s="18">
        <f t="shared" si="186"/>
        <v>1.001151488869517</v>
      </c>
      <c r="Y316" s="18">
        <f t="shared" si="187"/>
        <v>-4.7966342685258102E-2</v>
      </c>
      <c r="Z316" s="32" t="str">
        <f t="shared" si="177"/>
        <v>0.999941631306281+0.0203171282332698i</v>
      </c>
      <c r="AA316" s="18">
        <f t="shared" si="188"/>
        <v>1.0001480149053505</v>
      </c>
      <c r="AB316" s="18">
        <f t="shared" si="189"/>
        <v>2.0315518849530013E-2</v>
      </c>
      <c r="AC316" s="68" t="str">
        <f t="shared" si="190"/>
        <v>-0.0833230535626173-1.46089417762335i</v>
      </c>
      <c r="AD316" s="66">
        <f t="shared" si="191"/>
        <v>3.306480119342265</v>
      </c>
      <c r="AE316" s="63">
        <f t="shared" si="192"/>
        <v>-93.26436553920739</v>
      </c>
      <c r="AF316" s="32" t="str">
        <f t="shared" si="178"/>
        <v>-0.434440565864413</v>
      </c>
      <c r="AG316" s="32" t="str">
        <f t="shared" si="179"/>
        <v>1.56610319547334i</v>
      </c>
      <c r="AH316" s="32">
        <f t="shared" si="193"/>
        <v>1.56610319547334</v>
      </c>
      <c r="AI316" s="32">
        <f t="shared" si="194"/>
        <v>1.5707963267948966</v>
      </c>
      <c r="AJ316" s="32" t="str">
        <f t="shared" si="180"/>
        <v>1+0.0155059722324093i</v>
      </c>
      <c r="AK316" s="32">
        <f t="shared" si="195"/>
        <v>1.0001202103621705</v>
      </c>
      <c r="AL316" s="32">
        <f t="shared" si="196"/>
        <v>1.5504729684607272E-2</v>
      </c>
      <c r="AM316" s="32" t="str">
        <f t="shared" si="181"/>
        <v>1+1.56610319547334i</v>
      </c>
      <c r="AN316" s="32">
        <f t="shared" si="197"/>
        <v>1.8581386436086536</v>
      </c>
      <c r="AO316" s="32">
        <f t="shared" si="198"/>
        <v>1.0025284377760975</v>
      </c>
      <c r="AP316" s="60" t="str">
        <f t="shared" si="199"/>
        <v>-0.430035778395601+0.284070382868683i</v>
      </c>
      <c r="AQ316" s="51">
        <f t="shared" si="200"/>
        <v>-5.7572818627399212</v>
      </c>
      <c r="AR316" s="63">
        <f t="shared" si="201"/>
        <v>146.55229275299496</v>
      </c>
      <c r="AS316" s="60" t="str">
        <f t="shared" si="202"/>
        <v>0.450828662565193+0.604567153100538i</v>
      </c>
      <c r="AT316" s="66">
        <f t="shared" si="203"/>
        <v>-2.4508017433976601</v>
      </c>
      <c r="AU316" s="63">
        <f t="shared" si="204"/>
        <v>53.287927213787569</v>
      </c>
      <c r="AX316" s="32">
        <f t="shared" si="205"/>
        <v>0</v>
      </c>
      <c r="AY316" s="32">
        <f t="shared" si="206"/>
        <v>0</v>
      </c>
    </row>
    <row r="317" spans="14:51" x14ac:dyDescent="0.3">
      <c r="N317" s="11">
        <v>99</v>
      </c>
      <c r="O317" s="52">
        <f t="shared" si="207"/>
        <v>9772.3722095581161</v>
      </c>
      <c r="P317" s="50" t="str">
        <f t="shared" si="173"/>
        <v>131.578947368421</v>
      </c>
      <c r="Q317" s="18" t="str">
        <f t="shared" si="174"/>
        <v>1+92.1024382250785i</v>
      </c>
      <c r="R317" s="18">
        <f t="shared" si="182"/>
        <v>92.107866803028287</v>
      </c>
      <c r="S317" s="18">
        <f t="shared" si="183"/>
        <v>1.5599392775449292</v>
      </c>
      <c r="T317" s="18" t="str">
        <f t="shared" si="175"/>
        <v>1+0.000202625364095173i</v>
      </c>
      <c r="U317" s="18">
        <f t="shared" si="184"/>
        <v>1.0000000205285189</v>
      </c>
      <c r="V317" s="18">
        <f t="shared" si="185"/>
        <v>2.0262536132210728E-4</v>
      </c>
      <c r="W317" s="32" t="str">
        <f t="shared" si="176"/>
        <v>1-0.0491213003867086i</v>
      </c>
      <c r="X317" s="18">
        <f t="shared" si="186"/>
        <v>1.0012057241904289</v>
      </c>
      <c r="Y317" s="18">
        <f t="shared" si="187"/>
        <v>-4.9081849188973702E-2</v>
      </c>
      <c r="Z317" s="32" t="str">
        <f t="shared" si="177"/>
        <v>0.999938880474495+0.0207903749443744i</v>
      </c>
      <c r="AA317" s="18">
        <f t="shared" si="188"/>
        <v>1.0001549901764797</v>
      </c>
      <c r="AB317" s="18">
        <f t="shared" si="189"/>
        <v>2.0788650472361666E-2</v>
      </c>
      <c r="AC317" s="68" t="str">
        <f t="shared" si="190"/>
        <v>-0.0840528808945073-1.42755952729205i</v>
      </c>
      <c r="AD317" s="66">
        <f t="shared" si="191"/>
        <v>3.1069142029104291</v>
      </c>
      <c r="AE317" s="63">
        <f t="shared" si="192"/>
        <v>-93.369612065049893</v>
      </c>
      <c r="AF317" s="32" t="str">
        <f t="shared" si="178"/>
        <v>-0.434440565864413</v>
      </c>
      <c r="AG317" s="32" t="str">
        <f t="shared" si="179"/>
        <v>1.60258242511637i</v>
      </c>
      <c r="AH317" s="32">
        <f t="shared" si="193"/>
        <v>1.6025824251163701</v>
      </c>
      <c r="AI317" s="32">
        <f t="shared" si="194"/>
        <v>1.5707963267948966</v>
      </c>
      <c r="AJ317" s="32" t="str">
        <f t="shared" si="180"/>
        <v>1+0.0158671527239244i</v>
      </c>
      <c r="AK317" s="32">
        <f t="shared" si="195"/>
        <v>1.0001258753454809</v>
      </c>
      <c r="AL317" s="32">
        <f t="shared" si="196"/>
        <v>1.5865821319017009E-2</v>
      </c>
      <c r="AM317" s="32" t="str">
        <f t="shared" si="181"/>
        <v>1+1.60258242511637i</v>
      </c>
      <c r="AN317" s="32">
        <f t="shared" si="197"/>
        <v>1.888986614376043</v>
      </c>
      <c r="AO317" s="32">
        <f t="shared" si="198"/>
        <v>1.0129215706851868</v>
      </c>
      <c r="AP317" s="60" t="str">
        <f t="shared" si="199"/>
        <v>-0.430030906731608+0.277911179751635i</v>
      </c>
      <c r="AQ317" s="51">
        <f t="shared" si="200"/>
        <v>-5.8143157612969478</v>
      </c>
      <c r="AR317" s="63">
        <f t="shared" si="201"/>
        <v>147.12708637793517</v>
      </c>
      <c r="AS317" s="60" t="str">
        <f t="shared" si="202"/>
        <v>0.432880088979889+0.59053548264383i</v>
      </c>
      <c r="AT317" s="66">
        <f t="shared" si="203"/>
        <v>-2.7074015583865139</v>
      </c>
      <c r="AU317" s="63">
        <f t="shared" si="204"/>
        <v>53.757474312885307</v>
      </c>
      <c r="AX317" s="32">
        <f t="shared" si="205"/>
        <v>0</v>
      </c>
      <c r="AY317" s="32">
        <f t="shared" si="206"/>
        <v>0</v>
      </c>
    </row>
    <row r="318" spans="14:51" x14ac:dyDescent="0.3">
      <c r="N318" s="11">
        <v>100</v>
      </c>
      <c r="O318" s="52">
        <f t="shared" si="207"/>
        <v>10000</v>
      </c>
      <c r="P318" s="50" t="str">
        <f t="shared" si="173"/>
        <v>131.578947368421</v>
      </c>
      <c r="Q318" s="18" t="str">
        <f t="shared" si="174"/>
        <v>1+94.2477796076938i</v>
      </c>
      <c r="R318" s="18">
        <f t="shared" si="182"/>
        <v>94.253084623159282</v>
      </c>
      <c r="S318" s="18">
        <f t="shared" si="183"/>
        <v>1.5601863953956356</v>
      </c>
      <c r="T318" s="18" t="str">
        <f t="shared" si="175"/>
        <v>1+0.000207345115136926i</v>
      </c>
      <c r="U318" s="18">
        <f t="shared" si="184"/>
        <v>1.0000000214959981</v>
      </c>
      <c r="V318" s="18">
        <f t="shared" si="185"/>
        <v>2.0734511216553259E-4</v>
      </c>
      <c r="W318" s="32" t="str">
        <f t="shared" si="176"/>
        <v>1-0.0502654824574367i</v>
      </c>
      <c r="X318" s="18">
        <f t="shared" si="186"/>
        <v>1.0012625123945662</v>
      </c>
      <c r="Y318" s="18">
        <f t="shared" si="187"/>
        <v>-5.0223212615727097E-2</v>
      </c>
      <c r="Z318" s="32" t="str">
        <f t="shared" si="177"/>
        <v>0.999936+0.0212746449874677i</v>
      </c>
      <c r="AA318" s="18">
        <f t="shared" si="188"/>
        <v>1.0001622941379777</v>
      </c>
      <c r="AB318" s="18">
        <f t="shared" si="189"/>
        <v>2.1272797197824218E-2</v>
      </c>
      <c r="AC318" s="68" t="str">
        <f t="shared" si="190"/>
        <v>-0.0847497237662792-1.39498107555378i</v>
      </c>
      <c r="AD318" s="66">
        <f t="shared" si="191"/>
        <v>2.907366467721737</v>
      </c>
      <c r="AE318" s="63">
        <f t="shared" si="192"/>
        <v>-93.47663532441166</v>
      </c>
      <c r="AF318" s="32" t="str">
        <f t="shared" si="178"/>
        <v>-0.434440565864413</v>
      </c>
      <c r="AG318" s="32" t="str">
        <f t="shared" si="179"/>
        <v>1.63991136517387i</v>
      </c>
      <c r="AH318" s="32">
        <f t="shared" si="193"/>
        <v>1.6399113651738699</v>
      </c>
      <c r="AI318" s="32">
        <f t="shared" si="194"/>
        <v>1.5707963267948966</v>
      </c>
      <c r="AJ318" s="32" t="str">
        <f t="shared" si="180"/>
        <v>1+0.0162367461898403i</v>
      </c>
      <c r="AK318" s="32">
        <f t="shared" si="195"/>
        <v>1.0001318072768375</v>
      </c>
      <c r="AL318" s="32">
        <f t="shared" si="196"/>
        <v>1.6235319573933225E-2</v>
      </c>
      <c r="AM318" s="32" t="str">
        <f t="shared" si="181"/>
        <v>1+1.63991136517387i</v>
      </c>
      <c r="AN318" s="32">
        <f t="shared" si="197"/>
        <v>1.9207574770455604</v>
      </c>
      <c r="AO318" s="32">
        <f t="shared" si="198"/>
        <v>1.0232100670262338</v>
      </c>
      <c r="AP318" s="60" t="str">
        <f t="shared" si="199"/>
        <v>-0.430025805591465+0.271899321534652i</v>
      </c>
      <c r="AQ318" s="51">
        <f t="shared" si="200"/>
        <v>-5.8694942386418951</v>
      </c>
      <c r="AR318" s="63">
        <f t="shared" si="201"/>
        <v>147.69540310526878</v>
      </c>
      <c r="AS318" s="60" t="str">
        <f t="shared" si="202"/>
        <v>0.415738976233+0.576834468407562i</v>
      </c>
      <c r="AT318" s="66">
        <f t="shared" si="203"/>
        <v>-2.9621277709201612</v>
      </c>
      <c r="AU318" s="63">
        <f t="shared" si="204"/>
        <v>54.218767780857156</v>
      </c>
      <c r="AX318" s="32">
        <f t="shared" si="205"/>
        <v>0</v>
      </c>
      <c r="AY318" s="32">
        <f t="shared" si="206"/>
        <v>0</v>
      </c>
    </row>
    <row r="319" spans="14:51" x14ac:dyDescent="0.3">
      <c r="N319" s="11">
        <v>1</v>
      </c>
      <c r="O319" s="52">
        <f>10^(4+(N319/100))</f>
        <v>10232.929922807549</v>
      </c>
      <c r="P319" s="50" t="str">
        <f t="shared" si="173"/>
        <v>131.578947368421</v>
      </c>
      <c r="Q319" s="18" t="str">
        <f t="shared" si="174"/>
        <v>1+96.443092410574i</v>
      </c>
      <c r="R319" s="18">
        <f t="shared" si="182"/>
        <v>96.448276675711085</v>
      </c>
      <c r="S319" s="18">
        <f t="shared" si="183"/>
        <v>1.560427889409512</v>
      </c>
      <c r="T319" s="18" t="str">
        <f t="shared" si="175"/>
        <v>1+0.000212174803303263i</v>
      </c>
      <c r="U319" s="18">
        <f t="shared" si="184"/>
        <v>1.0000000225090733</v>
      </c>
      <c r="V319" s="18">
        <f t="shared" si="185"/>
        <v>2.1217480011935757E-4</v>
      </c>
      <c r="W319" s="32" t="str">
        <f t="shared" si="176"/>
        <v>1-0.0514363159523062i</v>
      </c>
      <c r="X319" s="18">
        <f t="shared" si="186"/>
        <v>1.0013219734924155</v>
      </c>
      <c r="Y319" s="18">
        <f t="shared" si="187"/>
        <v>-5.1391026229830432E-2</v>
      </c>
      <c r="Z319" s="32" t="str">
        <f t="shared" si="177"/>
        <v>0.999932983772925+0.0217701951289366i</v>
      </c>
      <c r="AA319" s="18">
        <f t="shared" si="188"/>
        <v>1.0001699422762997</v>
      </c>
      <c r="AB319" s="18">
        <f t="shared" si="189"/>
        <v>2.1768215203950971E-2</v>
      </c>
      <c r="AC319" s="68" t="str">
        <f t="shared" si="190"/>
        <v>-0.0854150592566545-1.36314159677292i</v>
      </c>
      <c r="AD319" s="66">
        <f t="shared" si="191"/>
        <v>2.7078378654755082</v>
      </c>
      <c r="AE319" s="63">
        <f t="shared" si="192"/>
        <v>-93.585491343640243</v>
      </c>
      <c r="AF319" s="32" t="str">
        <f t="shared" si="178"/>
        <v>-0.434440565864413</v>
      </c>
      <c r="AG319" s="32" t="str">
        <f t="shared" si="179"/>
        <v>1.67810980794399i</v>
      </c>
      <c r="AH319" s="32">
        <f t="shared" si="193"/>
        <v>1.67810980794399</v>
      </c>
      <c r="AI319" s="32">
        <f t="shared" si="194"/>
        <v>1.5707963267948966</v>
      </c>
      <c r="AJ319" s="32" t="str">
        <f t="shared" si="180"/>
        <v>1+0.0166149485935049i</v>
      </c>
      <c r="AK319" s="32">
        <f t="shared" si="195"/>
        <v>1.0001380187337969</v>
      </c>
      <c r="AL319" s="32">
        <f t="shared" si="196"/>
        <v>1.6613419958412402E-2</v>
      </c>
      <c r="AM319" s="32" t="str">
        <f t="shared" si="181"/>
        <v>1+1.67810980794399i</v>
      </c>
      <c r="AN319" s="32">
        <f t="shared" si="197"/>
        <v>1.9534719162347369</v>
      </c>
      <c r="AO319" s="32">
        <f t="shared" si="198"/>
        <v>1.0333906689450183</v>
      </c>
      <c r="AP319" s="60" t="str">
        <f t="shared" si="199"/>
        <v>-0.430020464171704+0.266031620130113i</v>
      </c>
      <c r="AQ319" s="51">
        <f t="shared" si="200"/>
        <v>-5.9228553918746432</v>
      </c>
      <c r="AR319" s="63">
        <f t="shared" si="201"/>
        <v>148.25704507185498</v>
      </c>
      <c r="AS319" s="60" t="str">
        <f t="shared" si="202"/>
        <v>0.399368990885049+0.563455675578491i</v>
      </c>
      <c r="AT319" s="66">
        <f t="shared" si="203"/>
        <v>-3.2150175263991434</v>
      </c>
      <c r="AU319" s="63">
        <f t="shared" si="204"/>
        <v>54.671553728214711</v>
      </c>
      <c r="AX319" s="32">
        <f t="shared" si="205"/>
        <v>0</v>
      </c>
      <c r="AY319" s="32">
        <f t="shared" si="206"/>
        <v>0</v>
      </c>
    </row>
    <row r="320" spans="14:51" x14ac:dyDescent="0.3">
      <c r="N320" s="11">
        <v>2</v>
      </c>
      <c r="O320" s="52">
        <f t="shared" ref="O320:O383" si="208">10^(4+(N320/100))</f>
        <v>10471.285480509003</v>
      </c>
      <c r="P320" s="50" t="str">
        <f t="shared" si="173"/>
        <v>131.578947368421</v>
      </c>
      <c r="Q320" s="18" t="str">
        <f t="shared" si="174"/>
        <v>1+98.6895406176256i</v>
      </c>
      <c r="R320" s="18">
        <f t="shared" si="182"/>
        <v>98.694606880609115</v>
      </c>
      <c r="S320" s="18">
        <f t="shared" si="183"/>
        <v>1.5606638875171459</v>
      </c>
      <c r="T320" s="18" t="str">
        <f t="shared" si="175"/>
        <v>1+0.000217116989358776i</v>
      </c>
      <c r="U320" s="18">
        <f t="shared" si="184"/>
        <v>1.0000000235698931</v>
      </c>
      <c r="V320" s="18">
        <f t="shared" si="185"/>
        <v>2.1711698594715988E-4</v>
      </c>
      <c r="W320" s="32" t="str">
        <f t="shared" si="176"/>
        <v>1-0.0526344216627337i</v>
      </c>
      <c r="X320" s="18">
        <f t="shared" si="186"/>
        <v>1.0013842331212182</v>
      </c>
      <c r="Y320" s="18">
        <f t="shared" si="187"/>
        <v>-5.2585896473079145E-2</v>
      </c>
      <c r="Z320" s="32" t="str">
        <f t="shared" si="177"/>
        <v>0.999929825395447+0.0222772881160254i</v>
      </c>
      <c r="AA320" s="18">
        <f t="shared" si="188"/>
        <v>1.0001779508073418</v>
      </c>
      <c r="AB320" s="18">
        <f t="shared" si="189"/>
        <v>2.2275166607578972E-2</v>
      </c>
      <c r="AC320" s="68" t="str">
        <f t="shared" si="190"/>
        <v>-0.0860502977037457-1.33202425395709i</v>
      </c>
      <c r="AD320" s="66">
        <f t="shared" si="191"/>
        <v>2.5083293877258965</v>
      </c>
      <c r="AE320" s="63">
        <f t="shared" si="192"/>
        <v>-93.696237070641274</v>
      </c>
      <c r="AF320" s="32" t="str">
        <f t="shared" si="178"/>
        <v>-0.434440565864413</v>
      </c>
      <c r="AG320" s="32" t="str">
        <f t="shared" si="179"/>
        <v>1.71719800674669i</v>
      </c>
      <c r="AH320" s="32">
        <f t="shared" si="193"/>
        <v>1.7171980067466901</v>
      </c>
      <c r="AI320" s="32">
        <f t="shared" si="194"/>
        <v>1.5707963267948966</v>
      </c>
      <c r="AJ320" s="32" t="str">
        <f t="shared" si="180"/>
        <v>1+0.0170019604628385i</v>
      </c>
      <c r="AK320" s="32">
        <f t="shared" si="195"/>
        <v>1.0001445228863577</v>
      </c>
      <c r="AL320" s="32">
        <f t="shared" si="196"/>
        <v>1.7000322513609258E-2</v>
      </c>
      <c r="AM320" s="32" t="str">
        <f t="shared" si="181"/>
        <v>1+1.71719800674669i</v>
      </c>
      <c r="AN320" s="32">
        <f t="shared" si="197"/>
        <v>1.9871509742278783</v>
      </c>
      <c r="AO320" s="32">
        <f t="shared" si="198"/>
        <v>1.0434603325380174</v>
      </c>
      <c r="AP320" s="60" t="str">
        <f t="shared" si="199"/>
        <v>-0.430014871160805+0.260304963847038i</v>
      </c>
      <c r="AQ320" s="51">
        <f t="shared" si="200"/>
        <v>-5.9744380394845891</v>
      </c>
      <c r="AR320" s="63">
        <f t="shared" si="201"/>
        <v>148.81182641335479</v>
      </c>
      <c r="AS320" s="60" t="str">
        <f t="shared" si="202"/>
        <v>0.383735432950103+0.550390918315625i</v>
      </c>
      <c r="AT320" s="66">
        <f t="shared" si="203"/>
        <v>-3.4661086517586925</v>
      </c>
      <c r="AU320" s="63">
        <f t="shared" si="204"/>
        <v>55.115589342713534</v>
      </c>
      <c r="AX320" s="32">
        <f t="shared" si="205"/>
        <v>0</v>
      </c>
      <c r="AY320" s="32">
        <f t="shared" si="206"/>
        <v>0</v>
      </c>
    </row>
    <row r="321" spans="14:51" x14ac:dyDescent="0.3">
      <c r="N321" s="11">
        <v>3</v>
      </c>
      <c r="O321" s="52">
        <f t="shared" si="208"/>
        <v>10715.193052376071</v>
      </c>
      <c r="P321" s="50" t="str">
        <f t="shared" si="173"/>
        <v>131.578947368421</v>
      </c>
      <c r="Q321" s="18" t="str">
        <f t="shared" si="174"/>
        <v>1+100.988315325423i</v>
      </c>
      <c r="R321" s="18">
        <f t="shared" si="182"/>
        <v>100.99326627190085</v>
      </c>
      <c r="S321" s="18">
        <f t="shared" si="183"/>
        <v>1.5608945147426463</v>
      </c>
      <c r="T321" s="18" t="str">
        <f t="shared" si="175"/>
        <v>1+0.000222174293715931i</v>
      </c>
      <c r="U321" s="18">
        <f t="shared" si="184"/>
        <v>1.0000000246807081</v>
      </c>
      <c r="V321" s="18">
        <f t="shared" si="185"/>
        <v>2.2217429006031846E-4</v>
      </c>
      <c r="W321" s="32" t="str">
        <f t="shared" si="176"/>
        <v>1-0.0538604348402257i</v>
      </c>
      <c r="X321" s="18">
        <f t="shared" si="186"/>
        <v>1.0014494228073518</v>
      </c>
      <c r="Y321" s="18">
        <f t="shared" si="187"/>
        <v>-5.3808443226276828E-2</v>
      </c>
      <c r="Z321" s="32" t="str">
        <f t="shared" si="177"/>
        <v>0.999926518168224+0.0227961928161481i</v>
      </c>
      <c r="AA321" s="18">
        <f t="shared" si="188"/>
        <v>1.0001863367107846</v>
      </c>
      <c r="AB321" s="18">
        <f t="shared" si="189"/>
        <v>2.2793919600656624E-2</v>
      </c>
      <c r="AC321" s="68" t="str">
        <f t="shared" si="190"/>
        <v>-0.0866567856887049-1.30161259004315i</v>
      </c>
      <c r="AD321" s="66">
        <f t="shared" si="191"/>
        <v>2.3088420679144623</v>
      </c>
      <c r="AE321" s="63">
        <f t="shared" si="192"/>
        <v>-93.808930401450624</v>
      </c>
      <c r="AF321" s="32" t="str">
        <f t="shared" si="178"/>
        <v>-0.434440565864413</v>
      </c>
      <c r="AG321" s="32" t="str">
        <f t="shared" si="179"/>
        <v>1.75719668666236i</v>
      </c>
      <c r="AH321" s="32">
        <f t="shared" si="193"/>
        <v>1.7571966866623601</v>
      </c>
      <c r="AI321" s="32">
        <f t="shared" si="194"/>
        <v>1.5707963267948966</v>
      </c>
      <c r="AJ321" s="32" t="str">
        <f t="shared" si="180"/>
        <v>1+0.0173979869966571i</v>
      </c>
      <c r="AK321" s="32">
        <f t="shared" si="195"/>
        <v>1.0001513335248502</v>
      </c>
      <c r="AL321" s="32">
        <f t="shared" si="196"/>
        <v>1.7396231916779491E-2</v>
      </c>
      <c r="AM321" s="32" t="str">
        <f t="shared" si="181"/>
        <v>1+1.75719668666236i</v>
      </c>
      <c r="AN321" s="32">
        <f t="shared" si="197"/>
        <v>2.0218160637449629</v>
      </c>
      <c r="AO321" s="32">
        <f t="shared" si="198"/>
        <v>1.0534162279640977</v>
      </c>
      <c r="AP321" s="60" t="str">
        <f t="shared" si="199"/>
        <v>-0.430009014715357+0.254716315738567i</v>
      </c>
      <c r="AQ321" s="51">
        <f t="shared" si="200"/>
        <v>-6.024281611189223</v>
      </c>
      <c r="AR321" s="63">
        <f t="shared" si="201"/>
        <v>149.35957326467161</v>
      </c>
      <c r="AS321" s="60" t="str">
        <f t="shared" si="202"/>
        <v>0.368805162487125+0.537632250201185i</v>
      </c>
      <c r="AT321" s="66">
        <f t="shared" si="203"/>
        <v>-3.7154395432747656</v>
      </c>
      <c r="AU321" s="63">
        <f t="shared" si="204"/>
        <v>55.550642863220936</v>
      </c>
      <c r="AX321" s="32">
        <f t="shared" si="205"/>
        <v>0</v>
      </c>
      <c r="AY321" s="32">
        <f t="shared" si="206"/>
        <v>0</v>
      </c>
    </row>
    <row r="322" spans="14:51" x14ac:dyDescent="0.3">
      <c r="N322" s="11">
        <v>4</v>
      </c>
      <c r="O322" s="52">
        <f t="shared" si="208"/>
        <v>10964.781961431856</v>
      </c>
      <c r="P322" s="50" t="str">
        <f t="shared" si="173"/>
        <v>131.578947368421</v>
      </c>
      <c r="Q322" s="18" t="str">
        <f t="shared" si="174"/>
        <v>1+103.340635374745i</v>
      </c>
      <c r="R322" s="18">
        <f t="shared" si="182"/>
        <v>103.34547362925963</v>
      </c>
      <c r="S322" s="18">
        <f t="shared" si="183"/>
        <v>1.5611198932694297</v>
      </c>
      <c r="T322" s="18" t="str">
        <f t="shared" si="175"/>
        <v>1+0.000227349397824438i</v>
      </c>
      <c r="U322" s="18">
        <f t="shared" si="184"/>
        <v>1.0000000258438739</v>
      </c>
      <c r="V322" s="18">
        <f t="shared" si="185"/>
        <v>2.2734939390737862E-4</v>
      </c>
      <c r="W322" s="32" t="str">
        <f t="shared" si="176"/>
        <v>1-0.0551150055331971i</v>
      </c>
      <c r="X322" s="18">
        <f t="shared" si="186"/>
        <v>1.0015176802408055</v>
      </c>
      <c r="Y322" s="18">
        <f t="shared" si="187"/>
        <v>-5.5059300073657488E-2</v>
      </c>
      <c r="Z322" s="32" t="str">
        <f t="shared" si="177"/>
        <v>0.999923055076185+0.0233271843594453i</v>
      </c>
      <c r="AA322" s="18">
        <f t="shared" si="188"/>
        <v>1.000195117766044</v>
      </c>
      <c r="AB322" s="18">
        <f t="shared" si="189"/>
        <v>2.3324748589581459E-2</v>
      </c>
      <c r="AC322" s="68" t="str">
        <f t="shared" si="190"/>
        <v>-0.0872358088848316-1.27189051937066i</v>
      </c>
      <c r="AD322" s="66">
        <f t="shared" si="191"/>
        <v>2.109376983485526</v>
      </c>
      <c r="AE322" s="63">
        <f t="shared" si="192"/>
        <v>-93.923630207057727</v>
      </c>
      <c r="AF322" s="32" t="str">
        <f t="shared" si="178"/>
        <v>-0.434440565864413</v>
      </c>
      <c r="AG322" s="32" t="str">
        <f t="shared" si="179"/>
        <v>1.79812705552056i</v>
      </c>
      <c r="AH322" s="32">
        <f t="shared" si="193"/>
        <v>1.79812705552056</v>
      </c>
      <c r="AI322" s="32">
        <f t="shared" si="194"/>
        <v>1.5707963267948966</v>
      </c>
      <c r="AJ322" s="32" t="str">
        <f t="shared" si="180"/>
        <v>1+0.0178032381734709i</v>
      </c>
      <c r="AK322" s="32">
        <f t="shared" si="195"/>
        <v>1.0001584650891384</v>
      </c>
      <c r="AL322" s="32">
        <f t="shared" si="196"/>
        <v>1.7801357587592059E-2</v>
      </c>
      <c r="AM322" s="32" t="str">
        <f t="shared" si="181"/>
        <v>1+1.79812705552056i</v>
      </c>
      <c r="AN322" s="32">
        <f t="shared" si="197"/>
        <v>2.0574889812086572</v>
      </c>
      <c r="AO322" s="32">
        <f t="shared" si="198"/>
        <v>1.0632557387341341</v>
      </c>
      <c r="AP322" s="60" t="str">
        <f t="shared" si="199"/>
        <v>-0.43000288243511+0.249262711988876i</v>
      </c>
      <c r="AQ322" s="51">
        <f t="shared" si="200"/>
        <v>-6.0724260402858299</v>
      </c>
      <c r="AR322" s="63">
        <f t="shared" si="201"/>
        <v>149.90012371315822</v>
      </c>
      <c r="AS322" s="60" t="str">
        <f t="shared" si="202"/>
        <v>0.354546529483307+0.525171955166096i</v>
      </c>
      <c r="AT322" s="66">
        <f t="shared" si="203"/>
        <v>-3.9630490568003065</v>
      </c>
      <c r="AU322" s="63">
        <f t="shared" si="204"/>
        <v>55.976493506100454</v>
      </c>
      <c r="AX322" s="32">
        <f t="shared" si="205"/>
        <v>0</v>
      </c>
      <c r="AY322" s="32">
        <f t="shared" si="206"/>
        <v>0</v>
      </c>
    </row>
    <row r="323" spans="14:51" x14ac:dyDescent="0.3">
      <c r="N323" s="11">
        <v>5</v>
      </c>
      <c r="O323" s="52">
        <f t="shared" si="208"/>
        <v>11220.184543019639</v>
      </c>
      <c r="P323" s="50" t="str">
        <f t="shared" si="173"/>
        <v>131.578947368421</v>
      </c>
      <c r="Q323" s="18" t="str">
        <f t="shared" si="174"/>
        <v>1+105.747747996817i</v>
      </c>
      <c r="R323" s="18">
        <f t="shared" si="182"/>
        <v>105.75247612419442</v>
      </c>
      <c r="S323" s="18">
        <f t="shared" si="183"/>
        <v>1.5613401425045359</v>
      </c>
      <c r="T323" s="18" t="str">
        <f t="shared" si="175"/>
        <v>1+0.000232645045592997i</v>
      </c>
      <c r="U323" s="18">
        <f t="shared" si="184"/>
        <v>1.0000000270618583</v>
      </c>
      <c r="V323" s="18">
        <f t="shared" si="185"/>
        <v>2.3264504139579225E-4</v>
      </c>
      <c r="W323" s="32" t="str">
        <f t="shared" si="176"/>
        <v>1-0.0563987989316356i</v>
      </c>
      <c r="X323" s="18">
        <f t="shared" si="186"/>
        <v>1.0015891495622999</v>
      </c>
      <c r="Y323" s="18">
        <f t="shared" si="187"/>
        <v>-5.6339114570052459E-2</v>
      </c>
      <c r="Z323" s="32" t="str">
        <f t="shared" si="177"/>
        <v>0.999919428773645+0.0238705442846615i</v>
      </c>
      <c r="AA323" s="18">
        <f t="shared" si="188"/>
        <v>1.0002043125899123</v>
      </c>
      <c r="AB323" s="18">
        <f t="shared" si="189"/>
        <v>2.3867934337628596E-2</v>
      </c>
      <c r="AC323" s="68" t="str">
        <f t="shared" si="190"/>
        <v>-0.0877885947781389-1.2428423193391i</v>
      </c>
      <c r="AD323" s="66">
        <f t="shared" si="191"/>
        <v>1.9099352580875011</v>
      </c>
      <c r="AE323" s="63">
        <f t="shared" si="192"/>
        <v>-94.040396360477288</v>
      </c>
      <c r="AF323" s="32" t="str">
        <f t="shared" si="178"/>
        <v>-0.434440565864413</v>
      </c>
      <c r="AG323" s="32" t="str">
        <f t="shared" si="179"/>
        <v>1.84001081514461i</v>
      </c>
      <c r="AH323" s="32">
        <f t="shared" si="193"/>
        <v>1.84001081514461</v>
      </c>
      <c r="AI323" s="32">
        <f t="shared" si="194"/>
        <v>1.5707963267948966</v>
      </c>
      <c r="AJ323" s="32" t="str">
        <f t="shared" si="180"/>
        <v>1+0.018217928862818i</v>
      </c>
      <c r="AK323" s="32">
        <f t="shared" si="195"/>
        <v>1.000165932699195</v>
      </c>
      <c r="AL323" s="32">
        <f t="shared" si="196"/>
        <v>1.8215913796799092E-2</v>
      </c>
      <c r="AM323" s="32" t="str">
        <f t="shared" si="181"/>
        <v>1+1.84001081514461i</v>
      </c>
      <c r="AN323" s="32">
        <f t="shared" si="197"/>
        <v>2.0941919204908443</v>
      </c>
      <c r="AO323" s="32">
        <f t="shared" si="198"/>
        <v>1.0729764602248526</v>
      </c>
      <c r="AP323" s="60" t="str">
        <f t="shared" si="199"/>
        <v>-0.429996461336857+0.243941260338686i</v>
      </c>
      <c r="AQ323" s="51">
        <f t="shared" si="200"/>
        <v>-6.1189116589925039</v>
      </c>
      <c r="AR323" s="63">
        <f t="shared" si="201"/>
        <v>150.43332770723998</v>
      </c>
      <c r="AS323" s="60" t="str">
        <f t="shared" si="202"/>
        <v>0.340929306882171+0.513002538861964i</v>
      </c>
      <c r="AT323" s="66">
        <f t="shared" si="203"/>
        <v>-4.208976400904997</v>
      </c>
      <c r="AU323" s="63">
        <f t="shared" si="204"/>
        <v>56.392931346762708</v>
      </c>
      <c r="AX323" s="32">
        <f t="shared" si="205"/>
        <v>0</v>
      </c>
      <c r="AY323" s="32">
        <f t="shared" si="206"/>
        <v>0</v>
      </c>
    </row>
    <row r="324" spans="14:51" x14ac:dyDescent="0.3">
      <c r="N324" s="11">
        <v>6</v>
      </c>
      <c r="O324" s="52">
        <f t="shared" si="208"/>
        <v>11481.536214968832</v>
      </c>
      <c r="P324" s="50" t="str">
        <f t="shared" si="173"/>
        <v>131.578947368421</v>
      </c>
      <c r="Q324" s="18" t="str">
        <f t="shared" si="174"/>
        <v>1+108.210929474614i</v>
      </c>
      <c r="R324" s="18">
        <f t="shared" si="182"/>
        <v>108.21554998132147</v>
      </c>
      <c r="S324" s="18">
        <f t="shared" si="183"/>
        <v>1.5615553791415018</v>
      </c>
      <c r="T324" s="18" t="str">
        <f t="shared" si="175"/>
        <v>1+0.00023806404484415i</v>
      </c>
      <c r="U324" s="18">
        <f t="shared" si="184"/>
        <v>1.0000000283372443</v>
      </c>
      <c r="V324" s="18">
        <f t="shared" si="185"/>
        <v>2.3806404034676409E-4</v>
      </c>
      <c r="W324" s="32" t="str">
        <f t="shared" si="176"/>
        <v>1-0.057712495719794i</v>
      </c>
      <c r="X324" s="18">
        <f t="shared" si="186"/>
        <v>1.0016639816636153</v>
      </c>
      <c r="Y324" s="18">
        <f t="shared" si="187"/>
        <v>-5.7648548510628325E-2</v>
      </c>
      <c r="Z324" s="32" t="str">
        <f t="shared" si="177"/>
        <v>0.999915631568732+0.0244265606884216i</v>
      </c>
      <c r="AA324" s="18">
        <f t="shared" si="188"/>
        <v>1.0002139406759742</v>
      </c>
      <c r="AB324" s="18">
        <f t="shared" si="189"/>
        <v>2.4423764110531931E-2</v>
      </c>
      <c r="AC324" s="68" t="str">
        <f t="shared" si="190"/>
        <v>-0.0883163152650684-1.21445262224524i</v>
      </c>
      <c r="AD324" s="66">
        <f t="shared" si="191"/>
        <v>1.7105180638634843</v>
      </c>
      <c r="AE324" s="63">
        <f t="shared" si="192"/>
        <v>-94.159289764064241</v>
      </c>
      <c r="AF324" s="32" t="str">
        <f t="shared" si="178"/>
        <v>-0.434440565864413</v>
      </c>
      <c r="AG324" s="32" t="str">
        <f t="shared" si="179"/>
        <v>1.88287017285828i</v>
      </c>
      <c r="AH324" s="32">
        <f t="shared" si="193"/>
        <v>1.88287017285828</v>
      </c>
      <c r="AI324" s="32">
        <f t="shared" si="194"/>
        <v>1.5707963267948966</v>
      </c>
      <c r="AJ324" s="32" t="str">
        <f t="shared" si="180"/>
        <v>1+0.0186422789391909i</v>
      </c>
      <c r="AK324" s="32">
        <f t="shared" si="195"/>
        <v>1.0001737521871121</v>
      </c>
      <c r="AL324" s="32">
        <f t="shared" si="196"/>
        <v>1.8640119777308395E-2</v>
      </c>
      <c r="AM324" s="32" t="str">
        <f t="shared" si="181"/>
        <v>1+1.88287017285828i</v>
      </c>
      <c r="AN324" s="32">
        <f t="shared" si="197"/>
        <v>2.1319474871204895</v>
      </c>
      <c r="AO324" s="32">
        <f t="shared" si="198"/>
        <v>1.0825761974665327</v>
      </c>
      <c r="AP324" s="60" t="str">
        <f t="shared" si="199"/>
        <v>-0.429989737827101+0.238749138548467i</v>
      </c>
      <c r="AQ324" s="51">
        <f t="shared" si="200"/>
        <v>-6.1637790972028919</v>
      </c>
      <c r="AR324" s="63">
        <f t="shared" si="201"/>
        <v>150.95904692329549</v>
      </c>
      <c r="AS324" s="60" t="str">
        <f t="shared" si="202"/>
        <v>0.32792462661566+0.501116720453356i</v>
      </c>
      <c r="AT324" s="66">
        <f t="shared" si="203"/>
        <v>-4.4532610333394098</v>
      </c>
      <c r="AU324" s="63">
        <f t="shared" si="204"/>
        <v>56.799757159231248</v>
      </c>
      <c r="AX324" s="32">
        <f t="shared" si="205"/>
        <v>0</v>
      </c>
      <c r="AY324" s="32">
        <f t="shared" si="206"/>
        <v>0</v>
      </c>
    </row>
    <row r="325" spans="14:51" x14ac:dyDescent="0.3">
      <c r="N325" s="11">
        <v>7</v>
      </c>
      <c r="O325" s="52">
        <f t="shared" si="208"/>
        <v>11748.975549395318</v>
      </c>
      <c r="P325" s="50" t="str">
        <f t="shared" si="173"/>
        <v>131.578947368421</v>
      </c>
      <c r="Q325" s="18" t="str">
        <f t="shared" si="174"/>
        <v>1+110.731485819559i</v>
      </c>
      <c r="R325" s="18">
        <f t="shared" si="182"/>
        <v>110.73600115503176</v>
      </c>
      <c r="S325" s="18">
        <f t="shared" si="183"/>
        <v>1.561765717221826</v>
      </c>
      <c r="T325" s="18" t="str">
        <f t="shared" si="175"/>
        <v>1+0.000243609268803031i</v>
      </c>
      <c r="U325" s="18">
        <f t="shared" si="184"/>
        <v>1.0000000296727376</v>
      </c>
      <c r="V325" s="18">
        <f t="shared" si="185"/>
        <v>2.4360926398399519E-4</v>
      </c>
      <c r="W325" s="32" t="str">
        <f t="shared" si="176"/>
        <v>1-0.0590567924370983i</v>
      </c>
      <c r="X325" s="18">
        <f t="shared" si="186"/>
        <v>1.0017423345017213</v>
      </c>
      <c r="Y325" s="18">
        <f t="shared" si="187"/>
        <v>-5.8988278203004008E-2</v>
      </c>
      <c r="Z325" s="32" t="str">
        <f t="shared" si="177"/>
        <v>0.999911655407065+0.0249955283779824i</v>
      </c>
      <c r="AA325" s="18">
        <f t="shared" si="188"/>
        <v>1.0002240224358701</v>
      </c>
      <c r="AB325" s="18">
        <f t="shared" si="189"/>
        <v>2.499253182527688E-2</v>
      </c>
      <c r="AC325" s="68" t="str">
        <f t="shared" si="190"/>
        <v>-0.0888200891328505-1.18670640729748i</v>
      </c>
      <c r="AD325" s="66">
        <f t="shared" si="191"/>
        <v>1.5111266238375931</v>
      </c>
      <c r="AE325" s="63">
        <f t="shared" si="192"/>
        <v>-94.280372377066456</v>
      </c>
      <c r="AF325" s="32" t="str">
        <f t="shared" si="178"/>
        <v>-0.434440565864413</v>
      </c>
      <c r="AG325" s="32" t="str">
        <f t="shared" si="179"/>
        <v>1.92672785326033i</v>
      </c>
      <c r="AH325" s="32">
        <f t="shared" si="193"/>
        <v>1.92672785326033</v>
      </c>
      <c r="AI325" s="32">
        <f t="shared" si="194"/>
        <v>1.5707963267948966</v>
      </c>
      <c r="AJ325" s="32" t="str">
        <f t="shared" si="180"/>
        <v>1+0.0190765133986172i</v>
      </c>
      <c r="AK325" s="32">
        <f t="shared" si="195"/>
        <v>1.0001819401306182</v>
      </c>
      <c r="AL325" s="32">
        <f t="shared" si="196"/>
        <v>1.9074199837706387E-2</v>
      </c>
      <c r="AM325" s="32" t="str">
        <f t="shared" si="181"/>
        <v>1+1.92672785326033i</v>
      </c>
      <c r="AN325" s="32">
        <f t="shared" si="197"/>
        <v>2.1707787129344069</v>
      </c>
      <c r="AO325" s="32">
        <f t="shared" si="198"/>
        <v>1.0920529622565285</v>
      </c>
      <c r="AP325" s="60" t="str">
        <f t="shared" si="199"/>
        <v>-0.429982697673446+0.233683592898564i</v>
      </c>
      <c r="AQ325" s="51">
        <f t="shared" si="200"/>
        <v>-6.2070691850252304</v>
      </c>
      <c r="AR325" s="63">
        <f t="shared" si="201"/>
        <v>151.47715459376869</v>
      </c>
      <c r="AS325" s="60" t="str">
        <f t="shared" si="202"/>
        <v>0.315504918505961+0.489507424805998i</v>
      </c>
      <c r="AT325" s="66">
        <f t="shared" si="203"/>
        <v>-4.69594256118764</v>
      </c>
      <c r="AU325" s="63">
        <f t="shared" si="204"/>
        <v>57.196782216702182</v>
      </c>
      <c r="AX325" s="32">
        <f t="shared" si="205"/>
        <v>0</v>
      </c>
      <c r="AY325" s="32">
        <f t="shared" si="206"/>
        <v>0</v>
      </c>
    </row>
    <row r="326" spans="14:51" x14ac:dyDescent="0.3">
      <c r="N326" s="11">
        <v>8</v>
      </c>
      <c r="O326" s="52">
        <f t="shared" si="208"/>
        <v>12022.644346174151</v>
      </c>
      <c r="P326" s="50" t="str">
        <f t="shared" si="173"/>
        <v>131.578947368421</v>
      </c>
      <c r="Q326" s="18" t="str">
        <f t="shared" si="174"/>
        <v>1+113.310753463991i</v>
      </c>
      <c r="R326" s="18">
        <f t="shared" si="182"/>
        <v>113.31516602192907</v>
      </c>
      <c r="S326" s="18">
        <f t="shared" si="183"/>
        <v>1.5619712681950533</v>
      </c>
      <c r="T326" s="18" t="str">
        <f t="shared" si="175"/>
        <v>1+0.000249283657620779i</v>
      </c>
      <c r="U326" s="18">
        <f t="shared" si="184"/>
        <v>1.0000000310711705</v>
      </c>
      <c r="V326" s="18">
        <f t="shared" si="185"/>
        <v>2.4928365245708911E-4</v>
      </c>
      <c r="W326" s="32" t="str">
        <f t="shared" si="176"/>
        <v>1-0.0604324018474617i</v>
      </c>
      <c r="X326" s="18">
        <f t="shared" si="186"/>
        <v>1.0018243734273253</v>
      </c>
      <c r="Y326" s="18">
        <f t="shared" si="187"/>
        <v>-6.0358994741531009E-2</v>
      </c>
      <c r="Z326" s="32" t="str">
        <f t="shared" si="177"/>
        <v>0.999907491854672+0.0255777490275441i</v>
      </c>
      <c r="AA326" s="18">
        <f t="shared" si="188"/>
        <v>1.000234579242498</v>
      </c>
      <c r="AB326" s="18">
        <f t="shared" si="189"/>
        <v>2.5574538202170375E-2</v>
      </c>
      <c r="AC326" s="68" t="str">
        <f t="shared" si="190"/>
        <v>-0.0893009844276783-1.15958899280307i</v>
      </c>
      <c r="AD326" s="66">
        <f t="shared" si="191"/>
        <v>1.3117622143966978</v>
      </c>
      <c r="AE326" s="63">
        <f t="shared" si="192"/>
        <v>-94.403707243408448</v>
      </c>
      <c r="AF326" s="32" t="str">
        <f t="shared" si="178"/>
        <v>-0.434440565864413</v>
      </c>
      <c r="AG326" s="32" t="str">
        <f t="shared" si="179"/>
        <v>1.97160711027344i</v>
      </c>
      <c r="AH326" s="32">
        <f t="shared" si="193"/>
        <v>1.97160711027344</v>
      </c>
      <c r="AI326" s="32">
        <f t="shared" si="194"/>
        <v>1.5707963267948966</v>
      </c>
      <c r="AJ326" s="32" t="str">
        <f t="shared" si="180"/>
        <v>1+0.0195208624779548i</v>
      </c>
      <c r="AK326" s="32">
        <f t="shared" si="195"/>
        <v>1.0001905138881708</v>
      </c>
      <c r="AL326" s="32">
        <f t="shared" si="196"/>
        <v>1.9518383478277241E-2</v>
      </c>
      <c r="AM326" s="32" t="str">
        <f t="shared" si="181"/>
        <v>1+1.97160711027344i</v>
      </c>
      <c r="AN326" s="32">
        <f t="shared" si="197"/>
        <v>2.2107090711535937</v>
      </c>
      <c r="AO326" s="32">
        <f t="shared" si="198"/>
        <v>1.101404969652521</v>
      </c>
      <c r="AP326" s="60" t="str">
        <f t="shared" si="199"/>
        <v>-0.429975325974656+0.228741936725372i</v>
      </c>
      <c r="AQ326" s="51">
        <f t="shared" si="200"/>
        <v>-6.248822859424318</v>
      </c>
      <c r="AR326" s="63">
        <f t="shared" si="201"/>
        <v>151.98753529960078</v>
      </c>
      <c r="AS326" s="60" t="str">
        <f t="shared" si="202"/>
        <v>0.303643851908346+0.478167775047654i</v>
      </c>
      <c r="AT326" s="66">
        <f t="shared" si="203"/>
        <v>-4.9370606450276178</v>
      </c>
      <c r="AU326" s="63">
        <f t="shared" si="204"/>
        <v>57.583828056192374</v>
      </c>
      <c r="AX326" s="32">
        <f t="shared" si="205"/>
        <v>0</v>
      </c>
      <c r="AY326" s="32">
        <f t="shared" si="206"/>
        <v>0</v>
      </c>
    </row>
    <row r="327" spans="14:51" x14ac:dyDescent="0.3">
      <c r="N327" s="11">
        <v>9</v>
      </c>
      <c r="O327" s="52">
        <f t="shared" si="208"/>
        <v>12302.687708123816</v>
      </c>
      <c r="P327" s="50" t="str">
        <f t="shared" si="173"/>
        <v>131.578947368421</v>
      </c>
      <c r="Q327" s="18" t="str">
        <f t="shared" si="174"/>
        <v>1+115.950099969754i</v>
      </c>
      <c r="R327" s="18">
        <f t="shared" si="182"/>
        <v>115.95441208938945</v>
      </c>
      <c r="S327" s="18">
        <f t="shared" si="183"/>
        <v>1.5621721409775127</v>
      </c>
      <c r="T327" s="18" t="str">
        <f t="shared" si="175"/>
        <v>1+0.000255090219933458i</v>
      </c>
      <c r="U327" s="18">
        <f t="shared" si="184"/>
        <v>1.0000000325355096</v>
      </c>
      <c r="V327" s="18">
        <f t="shared" si="185"/>
        <v>2.5509021440046458E-4</v>
      </c>
      <c r="W327" s="32" t="str">
        <f t="shared" si="176"/>
        <v>1-0.061840053317202i</v>
      </c>
      <c r="X327" s="18">
        <f t="shared" si="186"/>
        <v>1.0019102715284809</v>
      </c>
      <c r="Y327" s="18">
        <f t="shared" si="187"/>
        <v>-6.1761404283501103E-2</v>
      </c>
      <c r="Z327" s="32" t="str">
        <f t="shared" si="177"/>
        <v>0.9999031320801+0.0261735313382017i</v>
      </c>
      <c r="AA327" s="18">
        <f t="shared" si="188"/>
        <v>1.0002456334752508</v>
      </c>
      <c r="AB327" s="18">
        <f t="shared" si="189"/>
        <v>2.6170090920248166E-2</v>
      </c>
      <c r="AC327" s="68" t="str">
        <f t="shared" si="190"/>
        <v>-0.0897600207157289-1.13308602852568i</v>
      </c>
      <c r="AD327" s="66">
        <f t="shared" si="191"/>
        <v>1.1124261678783349</v>
      </c>
      <c r="AE327" s="63">
        <f t="shared" si="192"/>
        <v>-94.529358519696771</v>
      </c>
      <c r="AF327" s="32" t="str">
        <f t="shared" si="178"/>
        <v>-0.434440565864413</v>
      </c>
      <c r="AG327" s="32" t="str">
        <f t="shared" si="179"/>
        <v>2.01753173947372i</v>
      </c>
      <c r="AH327" s="32">
        <f t="shared" si="193"/>
        <v>2.01753173947372</v>
      </c>
      <c r="AI327" s="32">
        <f t="shared" si="194"/>
        <v>1.5707963267948966</v>
      </c>
      <c r="AJ327" s="32" t="str">
        <f t="shared" si="180"/>
        <v>1+0.0199755617769675i</v>
      </c>
      <c r="AK327" s="32">
        <f t="shared" si="195"/>
        <v>1.0001994916356964</v>
      </c>
      <c r="AL327" s="32">
        <f t="shared" si="196"/>
        <v>1.9972905509568564E-2</v>
      </c>
      <c r="AM327" s="32" t="str">
        <f t="shared" si="181"/>
        <v>1+2.01753173947372i</v>
      </c>
      <c r="AN327" s="32">
        <f t="shared" si="197"/>
        <v>2.2517624918680599</v>
      </c>
      <c r="AO327" s="32">
        <f t="shared" si="198"/>
        <v>1.1106306339003886</v>
      </c>
      <c r="AP327" s="60" t="str">
        <f t="shared" si="199"/>
        <v>-0.429967607129312+0.223921548992828i</v>
      </c>
      <c r="AQ327" s="51">
        <f t="shared" si="200"/>
        <v>-6.2890810752319979</v>
      </c>
      <c r="AR327" s="63">
        <f t="shared" si="201"/>
        <v>152.49008473011963</v>
      </c>
      <c r="AS327" s="60" t="str">
        <f t="shared" si="202"/>
        <v>0.292316279972621+0.467091085480548i</v>
      </c>
      <c r="AT327" s="66">
        <f t="shared" si="203"/>
        <v>-5.1766549073536616</v>
      </c>
      <c r="AU327" s="63">
        <f t="shared" si="204"/>
        <v>57.960726210422933</v>
      </c>
      <c r="AX327" s="32">
        <f t="shared" si="205"/>
        <v>0</v>
      </c>
      <c r="AY327" s="32">
        <f t="shared" si="206"/>
        <v>0</v>
      </c>
    </row>
    <row r="328" spans="14:51" x14ac:dyDescent="0.3">
      <c r="N328" s="11">
        <v>10</v>
      </c>
      <c r="O328" s="52">
        <f t="shared" si="208"/>
        <v>12589.254117941671</v>
      </c>
      <c r="P328" s="50" t="str">
        <f t="shared" si="173"/>
        <v>131.578947368421</v>
      </c>
      <c r="Q328" s="18" t="str">
        <f t="shared" si="174"/>
        <v>1+118.650924753302i</v>
      </c>
      <c r="R328" s="18">
        <f t="shared" si="182"/>
        <v>118.65513872063751</v>
      </c>
      <c r="S328" s="18">
        <f t="shared" si="183"/>
        <v>1.5623684420097335</v>
      </c>
      <c r="T328" s="18" t="str">
        <f t="shared" si="175"/>
        <v>1+0.000261032034457264i</v>
      </c>
      <c r="U328" s="18">
        <f t="shared" si="184"/>
        <v>1.0000000340688608</v>
      </c>
      <c r="V328" s="18">
        <f t="shared" si="185"/>
        <v>2.6103202852855475E-4</v>
      </c>
      <c r="W328" s="32" t="str">
        <f t="shared" si="176"/>
        <v>1-0.063280493201761i</v>
      </c>
      <c r="X328" s="18">
        <f t="shared" si="186"/>
        <v>1.0020002099899272</v>
      </c>
      <c r="Y328" s="18">
        <f t="shared" si="187"/>
        <v>-6.3196228327017032E-2</v>
      </c>
      <c r="Z328" s="32" t="str">
        <f t="shared" si="177"/>
        <v>0.999898566835682+0.0267831912016225i</v>
      </c>
      <c r="AA328" s="18">
        <f t="shared" si="188"/>
        <v>1.0002572085673731</v>
      </c>
      <c r="AB328" s="18">
        <f t="shared" si="189"/>
        <v>2.6779504776083932E-2</v>
      </c>
      <c r="AC328" s="68" t="str">
        <f t="shared" si="190"/>
        <v>-0.09019817124174-1.10718348820907i</v>
      </c>
      <c r="AD328" s="66">
        <f t="shared" si="191"/>
        <v>0.91311987526298088</v>
      </c>
      <c r="AE328" s="63">
        <f t="shared" si="192"/>
        <v>-94.65739150343839</v>
      </c>
      <c r="AF328" s="32" t="str">
        <f t="shared" si="178"/>
        <v>-0.434440565864413</v>
      </c>
      <c r="AG328" s="32" t="str">
        <f t="shared" si="179"/>
        <v>2.06452609070745i</v>
      </c>
      <c r="AH328" s="32">
        <f t="shared" si="193"/>
        <v>2.0645260907074499</v>
      </c>
      <c r="AI328" s="32">
        <f t="shared" si="194"/>
        <v>1.5707963267948966</v>
      </c>
      <c r="AJ328" s="32" t="str">
        <f t="shared" si="180"/>
        <v>1+0.0204408523832421i</v>
      </c>
      <c r="AK328" s="32">
        <f t="shared" si="195"/>
        <v>1.0002088924050583</v>
      </c>
      <c r="AL328" s="32">
        <f t="shared" si="196"/>
        <v>2.0438006173548011E-2</v>
      </c>
      <c r="AM328" s="32" t="str">
        <f t="shared" si="181"/>
        <v>1+2.06452609070745i</v>
      </c>
      <c r="AN328" s="32">
        <f t="shared" si="197"/>
        <v>2.2939633779142565</v>
      </c>
      <c r="AO328" s="32">
        <f t="shared" si="198"/>
        <v>1.1197285638521404</v>
      </c>
      <c r="AP328" s="60" t="str">
        <f t="shared" si="199"/>
        <v>-0.429959524803024+0.219219872898394i</v>
      </c>
      <c r="AQ328" s="51">
        <f t="shared" si="200"/>
        <v>-6.3278847207414914</v>
      </c>
      <c r="AR328" s="63">
        <f t="shared" si="201"/>
        <v>152.98470941356589</v>
      </c>
      <c r="AS328" s="60" t="str">
        <f t="shared" si="202"/>
        <v>0.281498186405593+0.456270854824844i</v>
      </c>
      <c r="AT328" s="66">
        <f t="shared" si="203"/>
        <v>-5.41476484547852</v>
      </c>
      <c r="AU328" s="63">
        <f t="shared" si="204"/>
        <v>58.327317910127505</v>
      </c>
      <c r="AX328" s="32">
        <f t="shared" si="205"/>
        <v>0</v>
      </c>
      <c r="AY328" s="32">
        <f t="shared" si="206"/>
        <v>0</v>
      </c>
    </row>
    <row r="329" spans="14:51" x14ac:dyDescent="0.3">
      <c r="N329" s="11">
        <v>11</v>
      </c>
      <c r="O329" s="52">
        <f t="shared" si="208"/>
        <v>12882.49551693136</v>
      </c>
      <c r="P329" s="50" t="str">
        <f t="shared" si="173"/>
        <v>131.578947368421</v>
      </c>
      <c r="Q329" s="18" t="str">
        <f t="shared" si="174"/>
        <v>1+121.414659827685i</v>
      </c>
      <c r="R329" s="18">
        <f t="shared" si="182"/>
        <v>121.41877787670433</v>
      </c>
      <c r="S329" s="18">
        <f t="shared" si="183"/>
        <v>1.562560275312572</v>
      </c>
      <c r="T329" s="18" t="str">
        <f t="shared" si="175"/>
        <v>1+0.000267112251620907i</v>
      </c>
      <c r="U329" s="18">
        <f t="shared" si="184"/>
        <v>1.0000000356744769</v>
      </c>
      <c r="V329" s="18">
        <f t="shared" si="185"/>
        <v>2.6711224526818062E-4</v>
      </c>
      <c r="W329" s="32" t="str">
        <f t="shared" si="176"/>
        <v>1-0.064754485241432i</v>
      </c>
      <c r="X329" s="18">
        <f t="shared" si="186"/>
        <v>1.0020943784688561</v>
      </c>
      <c r="Y329" s="18">
        <f t="shared" si="187"/>
        <v>-6.4664203990238048E-2</v>
      </c>
      <c r="Z329" s="32" t="str">
        <f t="shared" si="177"/>
        <v>0.999893786437924+0.0274070518675359i</v>
      </c>
      <c r="AA329" s="18">
        <f t="shared" si="188"/>
        <v>1.0002693290555493</v>
      </c>
      <c r="AB329" s="18">
        <f t="shared" si="189"/>
        <v>2.7403101846063267E-2</v>
      </c>
      <c r="AC329" s="68" t="str">
        <f t="shared" si="190"/>
        <v>-0.0906163649897257-1.08186766226404i</v>
      </c>
      <c r="AD329" s="66">
        <f t="shared" si="191"/>
        <v>0.71384478897896098</v>
      </c>
      <c r="AE329" s="63">
        <f t="shared" si="192"/>
        <v>-94.787872661460455</v>
      </c>
      <c r="AF329" s="32" t="str">
        <f t="shared" si="178"/>
        <v>-0.434440565864413</v>
      </c>
      <c r="AG329" s="32" t="str">
        <f t="shared" si="179"/>
        <v>2.11261508100172i</v>
      </c>
      <c r="AH329" s="32">
        <f t="shared" si="193"/>
        <v>2.1126150810017199</v>
      </c>
      <c r="AI329" s="32">
        <f t="shared" si="194"/>
        <v>1.5707963267948966</v>
      </c>
      <c r="AJ329" s="32" t="str">
        <f t="shared" si="180"/>
        <v>1+0.020916981000017i</v>
      </c>
      <c r="AK329" s="32">
        <f t="shared" si="195"/>
        <v>1.0002187361243315</v>
      </c>
      <c r="AL329" s="32">
        <f t="shared" si="196"/>
        <v>2.0913931267403037E-2</v>
      </c>
      <c r="AM329" s="32" t="str">
        <f t="shared" si="181"/>
        <v>1+2.11261508100172i</v>
      </c>
      <c r="AN329" s="32">
        <f t="shared" si="197"/>
        <v>2.337336621130107</v>
      </c>
      <c r="AO329" s="32">
        <f t="shared" si="198"/>
        <v>1.1286975579292069</v>
      </c>
      <c r="AP329" s="60" t="str">
        <f t="shared" si="199"/>
        <v>-0.429951061894099+0.214634414512789i</v>
      </c>
      <c r="AQ329" s="51">
        <f t="shared" si="200"/>
        <v>-6.3652745380522422</v>
      </c>
      <c r="AR329" s="63">
        <f t="shared" si="201"/>
        <v>153.47132642141744</v>
      </c>
      <c r="AS329" s="60" t="str">
        <f t="shared" si="202"/>
        <v>0.271166634622678+0.445700759774463i</v>
      </c>
      <c r="AT329" s="66">
        <f t="shared" si="203"/>
        <v>-5.6514297490732872</v>
      </c>
      <c r="AU329" s="63">
        <f t="shared" si="204"/>
        <v>58.683453759956933</v>
      </c>
      <c r="AX329" s="32">
        <f t="shared" si="205"/>
        <v>0</v>
      </c>
      <c r="AY329" s="32">
        <f t="shared" si="206"/>
        <v>0</v>
      </c>
    </row>
    <row r="330" spans="14:51" x14ac:dyDescent="0.3">
      <c r="N330" s="11">
        <v>12</v>
      </c>
      <c r="O330" s="52">
        <f t="shared" si="208"/>
        <v>13182.567385564091</v>
      </c>
      <c r="P330" s="50" t="str">
        <f t="shared" si="173"/>
        <v>131.578947368421</v>
      </c>
      <c r="Q330" s="18" t="str">
        <f t="shared" si="174"/>
        <v>1+124.242770561822i</v>
      </c>
      <c r="R330" s="18">
        <f t="shared" si="182"/>
        <v>124.24679487567293</v>
      </c>
      <c r="S330" s="18">
        <f t="shared" si="183"/>
        <v>1.5627477425420768</v>
      </c>
      <c r="T330" s="18" t="str">
        <f t="shared" si="175"/>
        <v>1+0.000273334095236008i</v>
      </c>
      <c r="U330" s="18">
        <f t="shared" si="184"/>
        <v>1.0000000373557631</v>
      </c>
      <c r="V330" s="18">
        <f t="shared" si="185"/>
        <v>2.7333408842893905E-4</v>
      </c>
      <c r="W330" s="32" t="str">
        <f t="shared" si="176"/>
        <v>1-0.0662628109663049i</v>
      </c>
      <c r="X330" s="18">
        <f t="shared" si="186"/>
        <v>1.0021929754878329</v>
      </c>
      <c r="Y330" s="18">
        <f t="shared" si="187"/>
        <v>-6.6166084291682289E-2</v>
      </c>
      <c r="Z330" s="32" t="str">
        <f t="shared" si="177"/>
        <v>0.99988878074696+0.0280454441151246i</v>
      </c>
      <c r="AA330" s="18">
        <f t="shared" si="188"/>
        <v>1.0002820206318099</v>
      </c>
      <c r="AB330" s="18">
        <f t="shared" si="189"/>
        <v>2.804121165218721E-2</v>
      </c>
      <c r="AC330" s="68" t="str">
        <f t="shared" si="190"/>
        <v>-0.0910154886501451-1.05712515061533i</v>
      </c>
      <c r="AD330" s="66">
        <f t="shared" si="191"/>
        <v>0.51460242582458038</v>
      </c>
      <c r="AE330" s="63">
        <f t="shared" si="192"/>
        <v>-94.920869658517574</v>
      </c>
      <c r="AF330" s="32" t="str">
        <f t="shared" si="178"/>
        <v>-0.434440565864413</v>
      </c>
      <c r="AG330" s="32" t="str">
        <f t="shared" si="179"/>
        <v>2.1618242077757i</v>
      </c>
      <c r="AH330" s="32">
        <f t="shared" si="193"/>
        <v>2.1618242077756999</v>
      </c>
      <c r="AI330" s="32">
        <f t="shared" si="194"/>
        <v>1.5707963267948966</v>
      </c>
      <c r="AJ330" s="32" t="str">
        <f t="shared" si="180"/>
        <v>1+0.0214042000769871i</v>
      </c>
      <c r="AK330" s="32">
        <f t="shared" si="195"/>
        <v>1.0002290436599688</v>
      </c>
      <c r="AL330" s="32">
        <f t="shared" si="196"/>
        <v>2.1400932270029371E-2</v>
      </c>
      <c r="AM330" s="32" t="str">
        <f t="shared" si="181"/>
        <v>1+2.1618242077757i</v>
      </c>
      <c r="AN330" s="32">
        <f t="shared" si="197"/>
        <v>2.3819076189737154</v>
      </c>
      <c r="AO330" s="32">
        <f t="shared" si="198"/>
        <v>1.13753659868573</v>
      </c>
      <c r="AP330" s="60" t="str">
        <f t="shared" si="199"/>
        <v>-0.42994220049763+0.210162741452751i</v>
      </c>
      <c r="AQ330" s="51">
        <f t="shared" si="200"/>
        <v>-6.4012910482843495</v>
      </c>
      <c r="AR330" s="63">
        <f t="shared" si="201"/>
        <v>153.94986304964121</v>
      </c>
      <c r="AS330" s="60" t="str">
        <f t="shared" si="202"/>
        <v>0.261299719181581+0.435374648847567i</v>
      </c>
      <c r="AT330" s="66">
        <f t="shared" si="203"/>
        <v>-5.8866886224597694</v>
      </c>
      <c r="AU330" s="63">
        <f t="shared" si="204"/>
        <v>59.028993391123564</v>
      </c>
      <c r="AX330" s="32">
        <f t="shared" si="205"/>
        <v>0</v>
      </c>
      <c r="AY330" s="32">
        <f t="shared" si="206"/>
        <v>0</v>
      </c>
    </row>
    <row r="331" spans="14:51" x14ac:dyDescent="0.3">
      <c r="N331" s="11">
        <v>13</v>
      </c>
      <c r="O331" s="52">
        <f t="shared" si="208"/>
        <v>13489.628825916556</v>
      </c>
      <c r="P331" s="50" t="str">
        <f t="shared" si="173"/>
        <v>131.578947368421</v>
      </c>
      <c r="Q331" s="18" t="str">
        <f t="shared" si="174"/>
        <v>1+127.136756457458i</v>
      </c>
      <c r="R331" s="18">
        <f t="shared" si="182"/>
        <v>127.14068916960845</v>
      </c>
      <c r="S331" s="18">
        <f t="shared" si="183"/>
        <v>1.5629309430431171</v>
      </c>
      <c r="T331" s="18" t="str">
        <f t="shared" si="175"/>
        <v>1+0.000279700864206407i</v>
      </c>
      <c r="U331" s="18">
        <f t="shared" si="184"/>
        <v>1.000000039116286</v>
      </c>
      <c r="V331" s="18">
        <f t="shared" si="185"/>
        <v>2.7970085691250121E-4</v>
      </c>
      <c r="W331" s="32" t="str">
        <f t="shared" si="176"/>
        <v>1-0.0678062701106441i</v>
      </c>
      <c r="X331" s="18">
        <f t="shared" si="186"/>
        <v>1.0022962088456275</v>
      </c>
      <c r="Y331" s="18">
        <f t="shared" si="187"/>
        <v>-6.7702638431237638E-2</v>
      </c>
      <c r="Z331" s="32" t="str">
        <f t="shared" si="177"/>
        <v>0.999883539145049+0.0286987064284086i</v>
      </c>
      <c r="AA331" s="18">
        <f t="shared" si="188"/>
        <v>1.00029531019789</v>
      </c>
      <c r="AB331" s="18">
        <f t="shared" si="189"/>
        <v>2.8694171331469651E-2</v>
      </c>
      <c r="AC331" s="68" t="str">
        <f t="shared" si="190"/>
        <v>-0.0913963884976877-1.032942855705i</v>
      </c>
      <c r="AD331" s="66">
        <f t="shared" si="191"/>
        <v>0.3153943700104832</v>
      </c>
      <c r="AE331" s="63">
        <f t="shared" si="192"/>
        <v>-95.056451386073576</v>
      </c>
      <c r="AF331" s="32" t="str">
        <f t="shared" si="178"/>
        <v>-0.434440565864413</v>
      </c>
      <c r="AG331" s="32" t="str">
        <f t="shared" si="179"/>
        <v>2.21217956235976i</v>
      </c>
      <c r="AH331" s="32">
        <f t="shared" si="193"/>
        <v>2.21217956235976</v>
      </c>
      <c r="AI331" s="32">
        <f t="shared" si="194"/>
        <v>1.5707963267948966</v>
      </c>
      <c r="AJ331" s="32" t="str">
        <f t="shared" si="180"/>
        <v>1+0.0219027679441561i</v>
      </c>
      <c r="AK331" s="32">
        <f t="shared" si="195"/>
        <v>1.0002398368609478</v>
      </c>
      <c r="AL331" s="32">
        <f t="shared" si="196"/>
        <v>2.1899266471258935E-2</v>
      </c>
      <c r="AM331" s="32" t="str">
        <f t="shared" si="181"/>
        <v>1+2.21217956235976i</v>
      </c>
      <c r="AN331" s="32">
        <f t="shared" si="197"/>
        <v>2.4277022914933823</v>
      </c>
      <c r="AO331" s="32">
        <f t="shared" si="198"/>
        <v>1.1462448470254427</v>
      </c>
      <c r="AP331" s="60" t="str">
        <f t="shared" si="199"/>
        <v>-0.429932921867902+0.205802481586053i</v>
      </c>
      <c r="AQ331" s="51">
        <f t="shared" si="200"/>
        <v>-6.4359744817394224</v>
      </c>
      <c r="AR331" s="63">
        <f t="shared" si="201"/>
        <v>154.42025647994106</v>
      </c>
      <c r="AS331" s="60" t="str">
        <f t="shared" si="202"/>
        <v>0.251876519395658+0.425286536514998i</v>
      </c>
      <c r="AT331" s="66">
        <f t="shared" si="203"/>
        <v>-6.1205801117289429</v>
      </c>
      <c r="AU331" s="63">
        <f t="shared" si="204"/>
        <v>59.363805093867462</v>
      </c>
      <c r="AX331" s="32">
        <f t="shared" si="205"/>
        <v>0</v>
      </c>
      <c r="AY331" s="32">
        <f t="shared" si="206"/>
        <v>0</v>
      </c>
    </row>
    <row r="332" spans="14:51" x14ac:dyDescent="0.3">
      <c r="N332" s="11">
        <v>14</v>
      </c>
      <c r="O332" s="52">
        <f t="shared" si="208"/>
        <v>13803.842646028841</v>
      </c>
      <c r="P332" s="50" t="str">
        <f t="shared" si="173"/>
        <v>131.578947368421</v>
      </c>
      <c r="Q332" s="18" t="str">
        <f t="shared" si="174"/>
        <v>1+130.098151944221i</v>
      </c>
      <c r="R332" s="18">
        <f t="shared" si="182"/>
        <v>130.10199513958892</v>
      </c>
      <c r="S332" s="18">
        <f t="shared" si="183"/>
        <v>1.5631099739018064</v>
      </c>
      <c r="T332" s="18" t="str">
        <f t="shared" si="175"/>
        <v>1+0.000286215934277286i</v>
      </c>
      <c r="U332" s="18">
        <f t="shared" si="184"/>
        <v>1.0000000409597798</v>
      </c>
      <c r="V332" s="18">
        <f t="shared" si="185"/>
        <v>2.8621592646172514E-4</v>
      </c>
      <c r="W332" s="32" t="str">
        <f t="shared" si="176"/>
        <v>1-0.0693856810369179i</v>
      </c>
      <c r="X332" s="18">
        <f t="shared" si="186"/>
        <v>1.0024042960467383</v>
      </c>
      <c r="Y332" s="18">
        <f t="shared" si="187"/>
        <v>-6.9274652071499285E-2</v>
      </c>
      <c r="Z332" s="32" t="str">
        <f t="shared" si="177"/>
        <v>0.99987805051405+0.0293671851757131i</v>
      </c>
      <c r="AA332" s="18">
        <f t="shared" si="188"/>
        <v>1.0003092259221253</v>
      </c>
      <c r="AB332" s="18">
        <f t="shared" si="189"/>
        <v>2.9362325808991938E-2</v>
      </c>
      <c r="AC332" s="68" t="str">
        <f t="shared" si="190"/>
        <v>-0.0917598721836147-1.0093079756493i</v>
      </c>
      <c r="AD332" s="66">
        <f t="shared" si="191"/>
        <v>0.11622227632891154</v>
      </c>
      <c r="AE332" s="63">
        <f t="shared" si="192"/>
        <v>-95.194687991239491</v>
      </c>
      <c r="AF332" s="32" t="str">
        <f t="shared" si="178"/>
        <v>-0.434440565864413</v>
      </c>
      <c r="AG332" s="32" t="str">
        <f t="shared" si="179"/>
        <v>2.26370784382945i</v>
      </c>
      <c r="AH332" s="32">
        <f t="shared" si="193"/>
        <v>2.26370784382945</v>
      </c>
      <c r="AI332" s="32">
        <f t="shared" si="194"/>
        <v>1.5707963267948966</v>
      </c>
      <c r="AJ332" s="32" t="str">
        <f t="shared" si="180"/>
        <v>1+0.0224129489488064i</v>
      </c>
      <c r="AK332" s="32">
        <f t="shared" si="195"/>
        <v>1.0002511386049915</v>
      </c>
      <c r="AL332" s="32">
        <f t="shared" si="196"/>
        <v>2.2409197103875327E-2</v>
      </c>
      <c r="AM332" s="32" t="str">
        <f t="shared" si="181"/>
        <v>1+2.26370784382945i</v>
      </c>
      <c r="AN332" s="32">
        <f t="shared" si="197"/>
        <v>2.4747470986375513</v>
      </c>
      <c r="AO332" s="32">
        <f t="shared" si="198"/>
        <v>1.1548216361241233</v>
      </c>
      <c r="AP332" s="60" t="str">
        <f t="shared" si="199"/>
        <v>-0.42992320637906+0.2015513217681i</v>
      </c>
      <c r="AQ332" s="51">
        <f t="shared" si="200"/>
        <v>-6.4693647130423049</v>
      </c>
      <c r="AR332" s="63">
        <f t="shared" si="201"/>
        <v>154.88245342397596</v>
      </c>
      <c r="AS332" s="60" t="str">
        <f t="shared" si="202"/>
        <v>0.242877055029314+0.415430597591226i</v>
      </c>
      <c r="AT332" s="66">
        <f t="shared" si="203"/>
        <v>-6.3531424367133882</v>
      </c>
      <c r="AU332" s="63">
        <f t="shared" si="204"/>
        <v>59.687765432736491</v>
      </c>
      <c r="AX332" s="32">
        <f t="shared" si="205"/>
        <v>0</v>
      </c>
      <c r="AY332" s="32">
        <f t="shared" si="206"/>
        <v>0</v>
      </c>
    </row>
    <row r="333" spans="14:51" x14ac:dyDescent="0.3">
      <c r="N333" s="11">
        <v>15</v>
      </c>
      <c r="O333" s="52">
        <f t="shared" si="208"/>
        <v>14125.375446227561</v>
      </c>
      <c r="P333" s="50" t="str">
        <f t="shared" si="173"/>
        <v>131.578947368421</v>
      </c>
      <c r="Q333" s="18" t="str">
        <f t="shared" si="174"/>
        <v>1+133.128527193198i</v>
      </c>
      <c r="R333" s="18">
        <f t="shared" si="182"/>
        <v>133.13228290925557</v>
      </c>
      <c r="S333" s="18">
        <f t="shared" si="183"/>
        <v>1.5632849299967424</v>
      </c>
      <c r="T333" s="18" t="str">
        <f t="shared" si="175"/>
        <v>1+0.000292882759825037i</v>
      </c>
      <c r="U333" s="18">
        <f t="shared" si="184"/>
        <v>1.0000000428901545</v>
      </c>
      <c r="V333" s="18">
        <f t="shared" si="185"/>
        <v>2.9288275145051266E-4</v>
      </c>
      <c r="W333" s="32" t="str">
        <f t="shared" si="176"/>
        <v>1-0.0710018811697058i</v>
      </c>
      <c r="X333" s="18">
        <f t="shared" si="186"/>
        <v>1.0025174647504336</v>
      </c>
      <c r="Y333" s="18">
        <f t="shared" si="187"/>
        <v>-7.0882927619018488E-2</v>
      </c>
      <c r="Z333" s="32" t="str">
        <f t="shared" si="177"/>
        <v>0.999872303211842+0.0300512347933185i</v>
      </c>
      <c r="AA333" s="18">
        <f t="shared" si="188"/>
        <v>1.0003237972990329</v>
      </c>
      <c r="AB333" s="18">
        <f t="shared" si="189"/>
        <v>3.0046027974682022E-2</v>
      </c>
      <c r="AC333" s="68" t="str">
        <f t="shared" si="190"/>
        <v>-0.092106710446447-0.986207997545838i</v>
      </c>
      <c r="AD333" s="66">
        <f t="shared" si="191"/>
        <v>-8.2912126545386308E-2</v>
      </c>
      <c r="AE333" s="63">
        <f t="shared" si="192"/>
        <v>-95.335650905849732</v>
      </c>
      <c r="AF333" s="32" t="str">
        <f t="shared" si="178"/>
        <v>-0.434440565864413</v>
      </c>
      <c r="AG333" s="32" t="str">
        <f t="shared" si="179"/>
        <v>2.31643637316165i</v>
      </c>
      <c r="AH333" s="32">
        <f t="shared" si="193"/>
        <v>2.31643637316165</v>
      </c>
      <c r="AI333" s="32">
        <f t="shared" si="194"/>
        <v>1.5707963267948966</v>
      </c>
      <c r="AJ333" s="32" t="str">
        <f t="shared" si="180"/>
        <v>1+0.02293501359566i</v>
      </c>
      <c r="AK333" s="32">
        <f t="shared" si="195"/>
        <v>1.0002629728469574</v>
      </c>
      <c r="AL333" s="32">
        <f t="shared" si="196"/>
        <v>2.2930993478466909E-2</v>
      </c>
      <c r="AM333" s="32" t="str">
        <f t="shared" si="181"/>
        <v>1+2.31643637316165i</v>
      </c>
      <c r="AN333" s="32">
        <f t="shared" si="197"/>
        <v>2.5230690578948285</v>
      </c>
      <c r="AO333" s="32">
        <f t="shared" si="198"/>
        <v>1.1632664651077491</v>
      </c>
      <c r="AP333" s="60" t="str">
        <f t="shared" si="199"/>
        <v>-0.429913033483948+0.197407006609407i</v>
      </c>
      <c r="AQ333" s="51">
        <f t="shared" si="200"/>
        <v>-6.5015012012613589</v>
      </c>
      <c r="AR333" s="63">
        <f t="shared" si="201"/>
        <v>155.33640975341808</v>
      </c>
      <c r="AS333" s="60" t="str">
        <f t="shared" si="202"/>
        <v>0.234282243982041+0.405801161873189i</v>
      </c>
      <c r="AT333" s="66">
        <f t="shared" si="203"/>
        <v>-6.5844133278067405</v>
      </c>
      <c r="AU333" s="63">
        <f t="shared" si="204"/>
        <v>60.000758847568378</v>
      </c>
      <c r="AX333" s="32">
        <f t="shared" si="205"/>
        <v>0</v>
      </c>
      <c r="AY333" s="32">
        <f t="shared" si="206"/>
        <v>0</v>
      </c>
    </row>
    <row r="334" spans="14:51" x14ac:dyDescent="0.3">
      <c r="N334" s="11">
        <v>16</v>
      </c>
      <c r="O334" s="52">
        <f t="shared" si="208"/>
        <v>14454.397707459291</v>
      </c>
      <c r="P334" s="50" t="str">
        <f t="shared" si="173"/>
        <v>131.578947368421</v>
      </c>
      <c r="Q334" s="18" t="str">
        <f t="shared" si="174"/>
        <v>1+136.229488949458i</v>
      </c>
      <c r="R334" s="18">
        <f t="shared" si="182"/>
        <v>136.2331591773108</v>
      </c>
      <c r="S334" s="18">
        <f t="shared" si="183"/>
        <v>1.5634559040490956</v>
      </c>
      <c r="T334" s="18" t="str">
        <f t="shared" si="175"/>
        <v>1+0.000299704875688807i</v>
      </c>
      <c r="U334" s="18">
        <f t="shared" si="184"/>
        <v>1.0000000449115052</v>
      </c>
      <c r="V334" s="18">
        <f t="shared" si="185"/>
        <v>2.9970486671534254E-4</v>
      </c>
      <c r="W334" s="32" t="str">
        <f t="shared" si="176"/>
        <v>1-0.0726557274397108i</v>
      </c>
      <c r="X334" s="18">
        <f t="shared" si="186"/>
        <v>1.0026359532401545</v>
      </c>
      <c r="Y334" s="18">
        <f t="shared" si="187"/>
        <v>-7.252828450500616E-2</v>
      </c>
      <c r="Z334" s="32" t="str">
        <f t="shared" si="177"/>
        <v>0.999866285047625+0.0307512179733864i</v>
      </c>
      <c r="AA334" s="18">
        <f t="shared" si="188"/>
        <v>1.0003390552116744</v>
      </c>
      <c r="AB334" s="18">
        <f t="shared" si="189"/>
        <v>3.074563886387988E-2</v>
      </c>
      <c r="AC334" s="68" t="str">
        <f t="shared" si="190"/>
        <v>-0.0924376387446107-0.963630690927927i</v>
      </c>
      <c r="AD334" s="66">
        <f t="shared" si="191"/>
        <v>-0.28200703261746368</v>
      </c>
      <c r="AE334" s="63">
        <f t="shared" si="192"/>
        <v>-95.479412875656109</v>
      </c>
      <c r="AF334" s="32" t="str">
        <f t="shared" si="178"/>
        <v>-0.434440565864413</v>
      </c>
      <c r="AG334" s="32" t="str">
        <f t="shared" si="179"/>
        <v>2.37039310772057i</v>
      </c>
      <c r="AH334" s="32">
        <f t="shared" si="193"/>
        <v>2.3703931077205702</v>
      </c>
      <c r="AI334" s="32">
        <f t="shared" si="194"/>
        <v>1.5707963267948966</v>
      </c>
      <c r="AJ334" s="32" t="str">
        <f t="shared" si="180"/>
        <v>1+0.0234692386903026i</v>
      </c>
      <c r="AK334" s="32">
        <f t="shared" si="195"/>
        <v>1.0002753646695006</v>
      </c>
      <c r="AL334" s="32">
        <f t="shared" si="196"/>
        <v>2.3464931121164392E-2</v>
      </c>
      <c r="AM334" s="32" t="str">
        <f t="shared" si="181"/>
        <v>1+2.37039310772057i</v>
      </c>
      <c r="AN334" s="32">
        <f t="shared" si="197"/>
        <v>2.5726957622558451</v>
      </c>
      <c r="AO334" s="32">
        <f t="shared" si="198"/>
        <v>1.1715789925343221</v>
      </c>
      <c r="AP334" s="60" t="str">
        <f t="shared" si="199"/>
        <v>-0.429902381671039+0.193367337273247i</v>
      </c>
      <c r="AQ334" s="51">
        <f t="shared" si="200"/>
        <v>-6.5324229349705867</v>
      </c>
      <c r="AR334" s="63">
        <f t="shared" si="201"/>
        <v>155.78209011859767</v>
      </c>
      <c r="AS334" s="60" t="str">
        <f t="shared" si="202"/>
        <v>0.226073861871868+0.396392709013353i</v>
      </c>
      <c r="AT334" s="66">
        <f t="shared" si="203"/>
        <v>-6.8144299675880484</v>
      </c>
      <c r="AU334" s="63">
        <f t="shared" si="204"/>
        <v>60.302677242941542</v>
      </c>
      <c r="AX334" s="32">
        <f t="shared" si="205"/>
        <v>0</v>
      </c>
      <c r="AY334" s="32">
        <f t="shared" si="206"/>
        <v>0</v>
      </c>
    </row>
    <row r="335" spans="14:51" x14ac:dyDescent="0.3">
      <c r="N335" s="11">
        <v>17</v>
      </c>
      <c r="O335" s="52">
        <f t="shared" si="208"/>
        <v>14791.083881682089</v>
      </c>
      <c r="P335" s="50" t="str">
        <f t="shared" si="173"/>
        <v>131.578947368421</v>
      </c>
      <c r="Q335" s="18" t="str">
        <f t="shared" si="174"/>
        <v>1+139.402681383968i</v>
      </c>
      <c r="R335" s="18">
        <f t="shared" si="182"/>
        <v>139.40626806940961</v>
      </c>
      <c r="S335" s="18">
        <f t="shared" si="183"/>
        <v>1.563622986671565</v>
      </c>
      <c r="T335" s="18" t="str">
        <f t="shared" si="175"/>
        <v>1+0.000306685899044731i</v>
      </c>
      <c r="U335" s="18">
        <f t="shared" si="184"/>
        <v>1.0000000470281192</v>
      </c>
      <c r="V335" s="18">
        <f t="shared" si="185"/>
        <v>3.0668588942949062E-4</v>
      </c>
      <c r="W335" s="32" t="str">
        <f t="shared" si="176"/>
        <v>1-0.0743480967381166i</v>
      </c>
      <c r="X335" s="18">
        <f t="shared" si="186"/>
        <v>1.002760010914167</v>
      </c>
      <c r="Y335" s="18">
        <f t="shared" si="187"/>
        <v>-7.4211559465001034E-2</v>
      </c>
      <c r="Z335" s="32" t="str">
        <f t="shared" si="177"/>
        <v>0.999859983256067+0.0314675058562642i</v>
      </c>
      <c r="AA335" s="18">
        <f t="shared" si="188"/>
        <v>1.000355031996959</v>
      </c>
      <c r="AB335" s="18">
        <f t="shared" si="189"/>
        <v>3.1461527841756494E-2</v>
      </c>
      <c r="AC335" s="68" t="str">
        <f t="shared" si="190"/>
        <v>-0.0927533588144682-0.941564101363049i</v>
      </c>
      <c r="AD335" s="66">
        <f t="shared" si="191"/>
        <v>-0.48106055499241607</v>
      </c>
      <c r="AE335" s="63">
        <f t="shared" si="192"/>
        <v>-95.626047989615373</v>
      </c>
      <c r="AF335" s="32" t="str">
        <f t="shared" si="178"/>
        <v>-0.434440565864413</v>
      </c>
      <c r="AG335" s="32" t="str">
        <f t="shared" si="179"/>
        <v>2.42560665608105i</v>
      </c>
      <c r="AH335" s="32">
        <f t="shared" si="193"/>
        <v>2.4256066560810501</v>
      </c>
      <c r="AI335" s="32">
        <f t="shared" si="194"/>
        <v>1.5707963267948966</v>
      </c>
      <c r="AJ335" s="32" t="str">
        <f t="shared" si="180"/>
        <v>1+0.024015907485951i</v>
      </c>
      <c r="AK335" s="32">
        <f t="shared" si="195"/>
        <v>1.0002883403361122</v>
      </c>
      <c r="AL335" s="32">
        <f t="shared" si="196"/>
        <v>2.4011291914316158E-2</v>
      </c>
      <c r="AM335" s="32" t="str">
        <f t="shared" si="181"/>
        <v>1+2.42560665608105i</v>
      </c>
      <c r="AN335" s="32">
        <f t="shared" si="197"/>
        <v>2.6236553984898041</v>
      </c>
      <c r="AO335" s="32">
        <f t="shared" si="198"/>
        <v>1.1797590297248299</v>
      </c>
      <c r="AP335" s="60" t="str">
        <f t="shared" si="199"/>
        <v>-0.429891228419372+0.189430170302843i</v>
      </c>
      <c r="AQ335" s="51">
        <f t="shared" si="200"/>
        <v>-6.5621683821854573</v>
      </c>
      <c r="AR335" s="63">
        <f t="shared" si="201"/>
        <v>156.21946755833483</v>
      </c>
      <c r="AS335" s="60" t="str">
        <f t="shared" si="202"/>
        <v>0.21823450343302+0.387199863614158i</v>
      </c>
      <c r="AT335" s="66">
        <f t="shared" si="203"/>
        <v>-7.0432289371778722</v>
      </c>
      <c r="AU335" s="63">
        <f t="shared" si="204"/>
        <v>60.593419568719476</v>
      </c>
      <c r="AX335" s="32">
        <f t="shared" si="205"/>
        <v>0</v>
      </c>
      <c r="AY335" s="32">
        <f t="shared" si="206"/>
        <v>0</v>
      </c>
    </row>
    <row r="336" spans="14:51" x14ac:dyDescent="0.3">
      <c r="N336" s="11">
        <v>18</v>
      </c>
      <c r="O336" s="52">
        <f t="shared" si="208"/>
        <v>15135.612484362096</v>
      </c>
      <c r="P336" s="50" t="str">
        <f t="shared" si="173"/>
        <v>131.578947368421</v>
      </c>
      <c r="Q336" s="18" t="str">
        <f t="shared" si="174"/>
        <v>1+142.649786965362i</v>
      </c>
      <c r="R336" s="18">
        <f t="shared" si="182"/>
        <v>142.65329200990479</v>
      </c>
      <c r="S336" s="18">
        <f t="shared" si="183"/>
        <v>1.5637862664162321</v>
      </c>
      <c r="T336" s="18" t="str">
        <f t="shared" si="175"/>
        <v>1+0.000313829531323796i</v>
      </c>
      <c r="U336" s="18">
        <f t="shared" si="184"/>
        <v>1.0000000492444863</v>
      </c>
      <c r="V336" s="18">
        <f t="shared" si="185"/>
        <v>3.1382952102088036E-4</v>
      </c>
      <c r="W336" s="32" t="str">
        <f t="shared" si="176"/>
        <v>1-0.0760798863815262i</v>
      </c>
      <c r="X336" s="18">
        <f t="shared" si="186"/>
        <v>1.0028898987983805</v>
      </c>
      <c r="Y336" s="18">
        <f t="shared" si="187"/>
        <v>-7.5933606816961555E-2</v>
      </c>
      <c r="Z336" s="32" t="str">
        <f t="shared" si="177"/>
        <v>0.999853384470223+0.0322004782272688i</v>
      </c>
      <c r="AA336" s="18">
        <f t="shared" si="188"/>
        <v>1.0003717615140006</v>
      </c>
      <c r="AB336" s="18">
        <f t="shared" si="189"/>
        <v>3.2194072791650111E-2</v>
      </c>
      <c r="AC336" s="68" t="str">
        <f t="shared" si="190"/>
        <v>-0.0930545401570384-0.919996544192433i</v>
      </c>
      <c r="AD336" s="66">
        <f t="shared" si="191"/>
        <v>-0.68007072214811493</v>
      </c>
      <c r="AE336" s="63">
        <f t="shared" si="192"/>
        <v>-95.775631709245758</v>
      </c>
      <c r="AF336" s="32" t="str">
        <f t="shared" si="178"/>
        <v>-0.434440565864413</v>
      </c>
      <c r="AG336" s="32" t="str">
        <f t="shared" si="179"/>
        <v>2.4821062931973i</v>
      </c>
      <c r="AH336" s="32">
        <f t="shared" si="193"/>
        <v>2.4821062931973001</v>
      </c>
      <c r="AI336" s="32">
        <f t="shared" si="194"/>
        <v>1.5707963267948966</v>
      </c>
      <c r="AJ336" s="32" t="str">
        <f t="shared" si="180"/>
        <v>1+0.0245753098336366i</v>
      </c>
      <c r="AK336" s="32">
        <f t="shared" si="195"/>
        <v>1.0003019273466482</v>
      </c>
      <c r="AL336" s="32">
        <f t="shared" si="196"/>
        <v>2.4570364240145179E-2</v>
      </c>
      <c r="AM336" s="32" t="str">
        <f t="shared" si="181"/>
        <v>1+2.4821062931973i</v>
      </c>
      <c r="AN336" s="32">
        <f t="shared" si="197"/>
        <v>2.6759767657305327</v>
      </c>
      <c r="AO336" s="32">
        <f t="shared" si="198"/>
        <v>1.1878065339862662</v>
      </c>
      <c r="AP336" s="60" t="str">
        <f t="shared" si="199"/>
        <v>-0.429879550151398+0.185593416477408i</v>
      </c>
      <c r="AQ336" s="51">
        <f t="shared" si="200"/>
        <v>-6.5907754450776821</v>
      </c>
      <c r="AR336" s="63">
        <f t="shared" si="201"/>
        <v>156.64852310341624</v>
      </c>
      <c r="AS336" s="60" t="str">
        <f t="shared" si="202"/>
        <v>0.210747545646335+0.378217390531805i</v>
      </c>
      <c r="AT336" s="66">
        <f t="shared" si="203"/>
        <v>-7.2708461672257974</v>
      </c>
      <c r="AU336" s="63">
        <f t="shared" si="204"/>
        <v>60.872891394170495</v>
      </c>
      <c r="AX336" s="32">
        <f t="shared" si="205"/>
        <v>0</v>
      </c>
      <c r="AY336" s="32">
        <f t="shared" si="206"/>
        <v>0</v>
      </c>
    </row>
    <row r="337" spans="14:51" x14ac:dyDescent="0.3">
      <c r="N337" s="11">
        <v>19</v>
      </c>
      <c r="O337" s="52">
        <f t="shared" si="208"/>
        <v>15488.166189124853</v>
      </c>
      <c r="P337" s="50" t="str">
        <f t="shared" si="173"/>
        <v>131.578947368421</v>
      </c>
      <c r="Q337" s="18" t="str">
        <f t="shared" si="174"/>
        <v>1+145.972527351997i</v>
      </c>
      <c r="R337" s="18">
        <f t="shared" si="182"/>
        <v>145.97595261387923</v>
      </c>
      <c r="S337" s="18">
        <f t="shared" si="183"/>
        <v>1.563945829821334</v>
      </c>
      <c r="T337" s="18" t="str">
        <f t="shared" si="175"/>
        <v>1+0.000321139560174394i</v>
      </c>
      <c r="U337" s="18">
        <f t="shared" si="184"/>
        <v>1.0000000515653074</v>
      </c>
      <c r="V337" s="18">
        <f t="shared" si="185"/>
        <v>3.2113954913462098E-4</v>
      </c>
      <c r="W337" s="32" t="str">
        <f t="shared" si="176"/>
        <v>1-0.0778520145877319i</v>
      </c>
      <c r="X337" s="18">
        <f t="shared" si="186"/>
        <v>1.0030258900822893</v>
      </c>
      <c r="Y337" s="18">
        <f t="shared" si="187"/>
        <v>-7.7695298737201865E-2</v>
      </c>
      <c r="Z337" s="32" t="str">
        <f t="shared" si="177"/>
        <v>0.999846474693183+0.0329505237180532i</v>
      </c>
      <c r="AA337" s="18">
        <f t="shared" si="188"/>
        <v>1.0003892792156859</v>
      </c>
      <c r="AB337" s="18">
        <f t="shared" si="189"/>
        <v>3.2943660307383126E-2</v>
      </c>
      <c r="AC337" s="68" t="str">
        <f t="shared" si="190"/>
        <v>-0.0933418214565468-0.89891659840899i</v>
      </c>
      <c r="AD337" s="66">
        <f t="shared" si="191"/>
        <v>-0.87903547405297844</v>
      </c>
      <c r="AE337" s="63">
        <f t="shared" si="192"/>
        <v>-95.928240898023063</v>
      </c>
      <c r="AF337" s="32" t="str">
        <f t="shared" si="178"/>
        <v>-0.434440565864413</v>
      </c>
      <c r="AG337" s="32" t="str">
        <f t="shared" si="179"/>
        <v>2.53992197592476i</v>
      </c>
      <c r="AH337" s="32">
        <f t="shared" si="193"/>
        <v>2.5399219759247602</v>
      </c>
      <c r="AI337" s="32">
        <f t="shared" si="194"/>
        <v>1.5707963267948966</v>
      </c>
      <c r="AJ337" s="32" t="str">
        <f t="shared" si="180"/>
        <v>1+0.0251477423358887i</v>
      </c>
      <c r="AK337" s="32">
        <f t="shared" si="195"/>
        <v>1.0003161544954635</v>
      </c>
      <c r="AL337" s="32">
        <f t="shared" si="196"/>
        <v>2.514244312744034E-2</v>
      </c>
      <c r="AM337" s="32" t="str">
        <f t="shared" si="181"/>
        <v>1+2.53992197592476i</v>
      </c>
      <c r="AN337" s="32">
        <f t="shared" si="197"/>
        <v>2.7296892943676827</v>
      </c>
      <c r="AO337" s="32">
        <f t="shared" si="198"/>
        <v>1.1957216017667653</v>
      </c>
      <c r="AP337" s="60" t="str">
        <f t="shared" si="199"/>
        <v>-0.429867322183644+0.181855039696431i</v>
      </c>
      <c r="AQ337" s="51">
        <f t="shared" si="200"/>
        <v>-6.6182814193492092</v>
      </c>
      <c r="AR337" s="63">
        <f t="shared" si="201"/>
        <v>157.06924537600818</v>
      </c>
      <c r="AS337" s="60" t="str">
        <f t="shared" si="202"/>
        <v>0.203597112524717+0.369440190378185i</v>
      </c>
      <c r="AT337" s="66">
        <f t="shared" si="203"/>
        <v>-7.4973168934021919</v>
      </c>
      <c r="AU337" s="63">
        <f t="shared" si="204"/>
        <v>61.141004477985142</v>
      </c>
      <c r="AX337" s="32">
        <f t="shared" si="205"/>
        <v>0</v>
      </c>
      <c r="AY337" s="32">
        <f t="shared" si="206"/>
        <v>0</v>
      </c>
    </row>
    <row r="338" spans="14:51" x14ac:dyDescent="0.3">
      <c r="N338" s="11">
        <v>20</v>
      </c>
      <c r="O338" s="52">
        <f t="shared" si="208"/>
        <v>15848.931924611146</v>
      </c>
      <c r="P338" s="50" t="str">
        <f t="shared" si="173"/>
        <v>131.578947368421</v>
      </c>
      <c r="Q338" s="18" t="str">
        <f t="shared" si="174"/>
        <v>1+149.372664304809i</v>
      </c>
      <c r="R338" s="18">
        <f t="shared" si="182"/>
        <v>149.37601159997934</v>
      </c>
      <c r="S338" s="18">
        <f t="shared" si="183"/>
        <v>1.5641017614569814</v>
      </c>
      <c r="T338" s="18" t="str">
        <f t="shared" si="175"/>
        <v>1+0.000328619861470581i</v>
      </c>
      <c r="U338" s="18">
        <f t="shared" si="184"/>
        <v>1.0000000539955052</v>
      </c>
      <c r="V338" s="18">
        <f t="shared" si="185"/>
        <v>3.2861984964125117E-4</v>
      </c>
      <c r="W338" s="32" t="str">
        <f t="shared" si="176"/>
        <v>1-0.079665420962565i</v>
      </c>
      <c r="X338" s="18">
        <f t="shared" si="186"/>
        <v>1.0031682706790235</v>
      </c>
      <c r="Y338" s="18">
        <f t="shared" si="187"/>
        <v>-7.9497525533536451E-2</v>
      </c>
      <c r="Z338" s="32" t="str">
        <f t="shared" si="177"/>
        <v>0.999839239268383+0.0337180400126645i</v>
      </c>
      <c r="AA338" s="18">
        <f t="shared" si="188"/>
        <v>1.0004076222235987</v>
      </c>
      <c r="AB338" s="18">
        <f t="shared" si="189"/>
        <v>3.3710685889625495E-2</v>
      </c>
      <c r="AC338" s="68" t="str">
        <f t="shared" si="190"/>
        <v>-0.0936158119337745-0.878313100670269i</v>
      </c>
      <c r="AD338" s="66">
        <f t="shared" si="191"/>
        <v>-1.0779526581270513</v>
      </c>
      <c r="AE338" s="63">
        <f t="shared" si="192"/>
        <v>-96.083953850786116</v>
      </c>
      <c r="AF338" s="32" t="str">
        <f t="shared" si="178"/>
        <v>-0.434440565864413</v>
      </c>
      <c r="AG338" s="32" t="str">
        <f t="shared" si="179"/>
        <v>2.59908435890368i</v>
      </c>
      <c r="AH338" s="32">
        <f t="shared" si="193"/>
        <v>2.5990843589036801</v>
      </c>
      <c r="AI338" s="32">
        <f t="shared" si="194"/>
        <v>1.5707963267948966</v>
      </c>
      <c r="AJ338" s="32" t="str">
        <f t="shared" si="180"/>
        <v>1+0.0257335085039969i</v>
      </c>
      <c r="AK338" s="32">
        <f t="shared" si="195"/>
        <v>1.0003310519322717</v>
      </c>
      <c r="AL338" s="32">
        <f t="shared" si="196"/>
        <v>2.5727830401328339E-2</v>
      </c>
      <c r="AM338" s="32" t="str">
        <f t="shared" si="181"/>
        <v>1+2.59908435890368i</v>
      </c>
      <c r="AN338" s="32">
        <f t="shared" si="197"/>
        <v>2.7848230652409054</v>
      </c>
      <c r="AO338" s="32">
        <f t="shared" si="198"/>
        <v>1.2035044617801536</v>
      </c>
      <c r="AP338" s="60" t="str">
        <f t="shared" si="199"/>
        <v>-0.429854518675105+0.178213055891538i</v>
      </c>
      <c r="AQ338" s="51">
        <f t="shared" si="200"/>
        <v>-6.6447229581256009</v>
      </c>
      <c r="AR338" s="63">
        <f t="shared" si="201"/>
        <v>157.48163018714206</v>
      </c>
      <c r="AS338" s="60" t="str">
        <f t="shared" si="202"/>
        <v>0.196768041479192+0.360863295210172i</v>
      </c>
      <c r="AT338" s="66">
        <f t="shared" si="203"/>
        <v>-7.7226756162526584</v>
      </c>
      <c r="AU338" s="63">
        <f t="shared" si="204"/>
        <v>61.397676336355993</v>
      </c>
      <c r="AX338" s="32">
        <f t="shared" si="205"/>
        <v>0</v>
      </c>
      <c r="AY338" s="32">
        <f t="shared" si="206"/>
        <v>0</v>
      </c>
    </row>
    <row r="339" spans="14:51" x14ac:dyDescent="0.3">
      <c r="N339" s="11">
        <v>21</v>
      </c>
      <c r="O339" s="52">
        <f t="shared" si="208"/>
        <v>16218.100973589309</v>
      </c>
      <c r="P339" s="50" t="str">
        <f t="shared" ref="P339:P402" si="209">COMPLEX(Adc,0)</f>
        <v>131.578947368421</v>
      </c>
      <c r="Q339" s="18" t="str">
        <f t="shared" ref="Q339:Q402" si="210">IMSUM(COMPLEX(1,0),IMDIV(COMPLEX(0,2*PI()*O339),COMPLEX(wp_lf,0)))</f>
        <v>1+152.852000621416i</v>
      </c>
      <c r="R339" s="18">
        <f t="shared" si="182"/>
        <v>152.85527172449554</v>
      </c>
      <c r="S339" s="18">
        <f t="shared" si="183"/>
        <v>1.5642541439698425</v>
      </c>
      <c r="T339" s="18" t="str">
        <f t="shared" ref="T339:T402" si="211">IMSUM(COMPLEX(1,0),IMDIV(COMPLEX(0,2*PI()*O339),COMPLEX(wz_esr,0)))</f>
        <v>1+0.000336274401367116i</v>
      </c>
      <c r="U339" s="18">
        <f t="shared" si="184"/>
        <v>1.0000000565402349</v>
      </c>
      <c r="V339" s="18">
        <f t="shared" si="185"/>
        <v>3.362743886917607E-4</v>
      </c>
      <c r="W339" s="32" t="str">
        <f t="shared" ref="W339:W402" si="212">IMSUB(COMPLEX(1,0),IMDIV(COMPLEX(0,2*PI()*O339),COMPLEX(wz_rhp,0)))</f>
        <v>1-0.0815210669980888i</v>
      </c>
      <c r="X339" s="18">
        <f t="shared" si="186"/>
        <v>1.0033173398105442</v>
      </c>
      <c r="Y339" s="18">
        <f t="shared" si="187"/>
        <v>-8.1341195914955783E-2</v>
      </c>
      <c r="Z339" s="32" t="str">
        <f t="shared" ref="Z339:Z402" si="213">IMSUM(COMPLEX(1,0),IMDIV(COMPLEX(0,2*PI()*O339),COMPLEX(Q*(wsl/2),0)),IMDIV(IMPOWER(COMPLEX(0,2*PI()*O339),2),IMPOWER(COMPLEX(wsl/2,0),2)))</f>
        <v>0.999831662848519+0.0345034340584016i</v>
      </c>
      <c r="AA339" s="18">
        <f t="shared" si="188"/>
        <v>1.0004268294064573</v>
      </c>
      <c r="AB339" s="18">
        <f t="shared" si="189"/>
        <v>3.4495554146367131E-2</v>
      </c>
      <c r="AC339" s="68" t="str">
        <f t="shared" si="190"/>
        <v>-0.0938770926371044-0.858175139444111i</v>
      </c>
      <c r="AD339" s="66">
        <f t="shared" si="191"/>
        <v>-1.2768200250356463</v>
      </c>
      <c r="AE339" s="63">
        <f t="shared" si="192"/>
        <v>-96.242850323116627</v>
      </c>
      <c r="AF339" s="32" t="str">
        <f t="shared" ref="AF339:AF402" si="214">COMPLEX(Adc_ea,0)</f>
        <v>-0.434440565864413</v>
      </c>
      <c r="AG339" s="32" t="str">
        <f t="shared" ref="AG339:AG402" si="215">IMDIV(COMPLEX(0,2*PI()*O339),COMPLEX(wp0_ea,0))</f>
        <v>2.65962481081265i</v>
      </c>
      <c r="AH339" s="32">
        <f t="shared" si="193"/>
        <v>2.6596248108126499</v>
      </c>
      <c r="AI339" s="32">
        <f t="shared" si="194"/>
        <v>1.5707963267948966</v>
      </c>
      <c r="AJ339" s="32" t="str">
        <f t="shared" ref="AJ339:AJ402" si="216">IMSUM(COMPLEX(1,0),IMDIV(COMPLEX(0,2*PI()*O339),COMPLEX(wp1_ea,0)))</f>
        <v>1+0.0263329189189371i</v>
      </c>
      <c r="AK339" s="32">
        <f t="shared" si="195"/>
        <v>1.0003466512258594</v>
      </c>
      <c r="AL339" s="32">
        <f t="shared" si="196"/>
        <v>2.6326834836175202E-2</v>
      </c>
      <c r="AM339" s="32" t="str">
        <f t="shared" ref="AM339:AM402" si="217">IMSUM(COMPLEX(1,0),IMDIV(COMPLEX(0,2*PI()*O339),COMPLEX(wz_ea,0)))</f>
        <v>1+2.65962481081265i</v>
      </c>
      <c r="AN339" s="32">
        <f t="shared" si="197"/>
        <v>2.8414088291356849</v>
      </c>
      <c r="AO339" s="32">
        <f t="shared" si="198"/>
        <v>1.2111554681342107</v>
      </c>
      <c r="AP339" s="60" t="str">
        <f t="shared" si="199"/>
        <v>-0.429841112573236+0.174665531965348i</v>
      </c>
      <c r="AQ339" s="51">
        <f t="shared" si="200"/>
        <v>-6.6701360402113217</v>
      </c>
      <c r="AR339" s="63">
        <f t="shared" si="201"/>
        <v>157.88568013423082</v>
      </c>
      <c r="AS339" s="60" t="str">
        <f t="shared" si="202"/>
        <v>0.190245851194716+0.352481864396528i</v>
      </c>
      <c r="AT339" s="66">
        <f t="shared" si="203"/>
        <v>-7.9469560652469777</v>
      </c>
      <c r="AU339" s="63">
        <f t="shared" si="204"/>
        <v>61.64282981111419</v>
      </c>
      <c r="AX339" s="32">
        <f t="shared" si="205"/>
        <v>0</v>
      </c>
      <c r="AY339" s="32">
        <f t="shared" si="206"/>
        <v>0</v>
      </c>
    </row>
    <row r="340" spans="14:51" x14ac:dyDescent="0.3">
      <c r="N340" s="11">
        <v>22</v>
      </c>
      <c r="O340" s="52">
        <f t="shared" si="208"/>
        <v>16595.869074375616</v>
      </c>
      <c r="P340" s="50" t="str">
        <f t="shared" si="209"/>
        <v>131.578947368421</v>
      </c>
      <c r="Q340" s="18" t="str">
        <f t="shared" si="210"/>
        <v>1+156.412381091989i</v>
      </c>
      <c r="R340" s="18">
        <f t="shared" ref="R340:R403" si="218">IMABS(Q340)</f>
        <v>156.41557773721132</v>
      </c>
      <c r="S340" s="18">
        <f t="shared" ref="S340:S403" si="219">IMARGUMENT(Q340)</f>
        <v>1.5644030581268193</v>
      </c>
      <c r="T340" s="18" t="str">
        <f t="shared" si="211"/>
        <v>1+0.000344107238402377i</v>
      </c>
      <c r="U340" s="18">
        <f t="shared" ref="U340:U403" si="220">IMABS(T340)</f>
        <v>1.0000000592048941</v>
      </c>
      <c r="V340" s="18">
        <f t="shared" ref="V340:V403" si="221">IMARGUMENT(T340)</f>
        <v>3.4410722482048917E-4</v>
      </c>
      <c r="W340" s="32" t="str">
        <f t="shared" si="212"/>
        <v>1-0.0834199365823944i</v>
      </c>
      <c r="X340" s="18">
        <f t="shared" ref="X340:X403" si="222">IMABS(W340)</f>
        <v>1.0034734106190411</v>
      </c>
      <c r="Y340" s="18">
        <f t="shared" ref="Y340:Y403" si="223">IMARGUMENT(W340)</f>
        <v>-8.3227237257088901E-2</v>
      </c>
      <c r="Z340" s="32" t="str">
        <f t="shared" si="213"/>
        <v>0.999823729362986+0.0353071222815836i</v>
      </c>
      <c r="AA340" s="18">
        <f t="shared" ref="AA340:AA403" si="224">IMABS(Z340)</f>
        <v>1.0004469414622228</v>
      </c>
      <c r="AB340" s="18">
        <f t="shared" ref="AB340:AB403" si="225">IMARGUMENT(Z340)</f>
        <v>3.5298678997561339E-2</v>
      </c>
      <c r="AC340" s="68" t="str">
        <f t="shared" ref="AC340:AC403" si="226">(IMDIV(IMPRODUCT(P340,T340,W340),IMPRODUCT(Q340,Z340)))</f>
        <v>-0.0941262176739658-0.838492049283843i</v>
      </c>
      <c r="AD340" s="66">
        <f t="shared" ref="AD340:AD403" si="227">20*LOG(IMABS(AC340))</f>
        <v>-1.4756352243128921</v>
      </c>
      <c r="AE340" s="63">
        <f t="shared" ref="AE340:AE403" si="228">(180/PI())*IMARGUMENT(AC340)</f>
        <v>-96.405011560656277</v>
      </c>
      <c r="AF340" s="32" t="str">
        <f t="shared" si="214"/>
        <v>-0.434440565864413</v>
      </c>
      <c r="AG340" s="32" t="str">
        <f t="shared" si="215"/>
        <v>2.72157543100062i</v>
      </c>
      <c r="AH340" s="32">
        <f t="shared" ref="AH340:AH403" si="229">IMABS(AG340)</f>
        <v>2.7215754310006202</v>
      </c>
      <c r="AI340" s="32">
        <f t="shared" ref="AI340:AI403" si="230">IMARGUMENT(AG340)</f>
        <v>1.5707963267948966</v>
      </c>
      <c r="AJ340" s="32" t="str">
        <f t="shared" si="216"/>
        <v>1+0.0269462913960457i</v>
      </c>
      <c r="AK340" s="32">
        <f t="shared" ref="AK340:AK403" si="231">IMABS(AJ340)</f>
        <v>1.0003629854307887</v>
      </c>
      <c r="AL340" s="32">
        <f t="shared" ref="AL340:AL403" si="232">IMARGUMENT(AJ340)</f>
        <v>2.6939772311664001E-2</v>
      </c>
      <c r="AM340" s="32" t="str">
        <f t="shared" si="217"/>
        <v>1+2.72157543100062i</v>
      </c>
      <c r="AN340" s="32">
        <f t="shared" ref="AN340:AN403" si="233">IMABS(AM340)</f>
        <v>2.8994780265810278</v>
      </c>
      <c r="AO340" s="32">
        <f t="shared" ref="AO340:AO403" si="234">IMARGUMENT(AM340)</f>
        <v>1.2186750934940302</v>
      </c>
      <c r="AP340" s="60" t="str">
        <f t="shared" ref="AP340:AP403" si="235">IMPRODUCT(AF340,IMDIV(AM340,IMPRODUCT(AG340,AJ340)))</f>
        <v>-0.429827075557472+0.171210584756695i</v>
      </c>
      <c r="AQ340" s="51">
        <f t="shared" ref="AQ340:AQ403" si="236">20*LOG(IMABS(AP340))</f>
        <v>-6.6945559425344054</v>
      </c>
      <c r="AR340" s="63">
        <f t="shared" ref="AR340:AR403" si="237">(180/PI())*IMARGUMENT(AP340)</f>
        <v>158.28140420041723</v>
      </c>
      <c r="AS340" s="60" t="str">
        <f t="shared" ref="AS340:AS403" si="238">IMPRODUCT(AC340,AP340)</f>
        <v>0.184016710947813+0.34429118065297i</v>
      </c>
      <c r="AT340" s="66">
        <f t="shared" ref="AT340:AT403" si="239">20*LOG(IMABS(AS340))</f>
        <v>-8.1701911668473048</v>
      </c>
      <c r="AU340" s="63">
        <f t="shared" ref="AU340:AU403" si="240">(180/PI())*IMARGUMENT(AS340)</f>
        <v>61.87639263976093</v>
      </c>
      <c r="AX340" s="32">
        <f t="shared" ref="AX340:AX403" si="241">SUM((AT341&lt;0)*(AT340&gt;0))*O340</f>
        <v>0</v>
      </c>
      <c r="AY340" s="32">
        <f t="shared" ref="AY340:AY403" si="242">IF(AX340&gt;0,AU340,0)</f>
        <v>0</v>
      </c>
    </row>
    <row r="341" spans="14:51" x14ac:dyDescent="0.3">
      <c r="N341" s="11">
        <v>23</v>
      </c>
      <c r="O341" s="52">
        <f t="shared" si="208"/>
        <v>16982.436524617482</v>
      </c>
      <c r="P341" s="50" t="str">
        <f t="shared" si="209"/>
        <v>131.578947368421</v>
      </c>
      <c r="Q341" s="18" t="str">
        <f t="shared" si="210"/>
        <v>1+160.05569347738i</v>
      </c>
      <c r="R341" s="18">
        <f t="shared" si="218"/>
        <v>160.05881735951013</v>
      </c>
      <c r="S341" s="18">
        <f t="shared" si="219"/>
        <v>1.5645485828577359</v>
      </c>
      <c r="T341" s="18" t="str">
        <f t="shared" si="211"/>
        <v>1+0.000352122525650237i</v>
      </c>
      <c r="U341" s="18">
        <f t="shared" si="220"/>
        <v>1.0000000619951346</v>
      </c>
      <c r="V341" s="18">
        <f t="shared" si="221"/>
        <v>3.5212251109698203E-4</v>
      </c>
      <c r="W341" s="32" t="str">
        <f t="shared" si="212"/>
        <v>1-0.0853630365212696i</v>
      </c>
      <c r="X341" s="18">
        <f t="shared" si="222"/>
        <v>1.0036368108056477</v>
      </c>
      <c r="Y341" s="18">
        <f t="shared" si="223"/>
        <v>-8.5156595862655837E-2</v>
      </c>
      <c r="Z341" s="32" t="str">
        <f t="shared" si="213"/>
        <v>0.9998154219838+0.0361295308083443i</v>
      </c>
      <c r="AA341" s="18">
        <f t="shared" si="224"/>
        <v>1.0004680010040676</v>
      </c>
      <c r="AB341" s="18">
        <f t="shared" si="225"/>
        <v>3.6120483884001589E-2</v>
      </c>
      <c r="AC341" s="68" t="str">
        <f t="shared" si="226"/>
        <v>-0.0943637153852792-0.819253405230376i</v>
      </c>
      <c r="AD341" s="66">
        <f t="shared" si="227"/>
        <v>-1.6743957998081234</v>
      </c>
      <c r="AE341" s="63">
        <f t="shared" si="228"/>
        <v>-96.57052032831983</v>
      </c>
      <c r="AF341" s="32" t="str">
        <f t="shared" si="214"/>
        <v>-0.434440565864413</v>
      </c>
      <c r="AG341" s="32" t="str">
        <f t="shared" si="215"/>
        <v>2.78496906650642i</v>
      </c>
      <c r="AH341" s="32">
        <f t="shared" si="229"/>
        <v>2.7849690665064202</v>
      </c>
      <c r="AI341" s="32">
        <f t="shared" si="230"/>
        <v>1.5707963267948966</v>
      </c>
      <c r="AJ341" s="32" t="str">
        <f t="shared" si="216"/>
        <v>1+0.0275739511535289i</v>
      </c>
      <c r="AK341" s="32">
        <f t="shared" si="231"/>
        <v>1.000380089157225</v>
      </c>
      <c r="AL341" s="32">
        <f t="shared" si="232"/>
        <v>2.756696597209507E-2</v>
      </c>
      <c r="AM341" s="32" t="str">
        <f t="shared" si="217"/>
        <v>1+2.78496906650642i</v>
      </c>
      <c r="AN341" s="32">
        <f t="shared" si="233"/>
        <v>2.9590628079507946</v>
      </c>
      <c r="AO341" s="32">
        <f t="shared" si="234"/>
        <v>1.2260639223089775</v>
      </c>
      <c r="AP341" s="60" t="str">
        <f t="shared" si="235"/>
        <v>-0.429812377980124+0.167846380031638i</v>
      </c>
      <c r="AQ341" s="51">
        <f t="shared" si="236"/>
        <v>-6.7180172165974206</v>
      </c>
      <c r="AR341" s="63">
        <f t="shared" si="237"/>
        <v>158.66881735737832</v>
      </c>
      <c r="AS341" s="60" t="str">
        <f t="shared" si="238"/>
        <v>0.178067411301298+0.336286646236627i</v>
      </c>
      <c r="AT341" s="66">
        <f t="shared" si="239"/>
        <v>-8.3924130164055448</v>
      </c>
      <c r="AU341" s="63">
        <f t="shared" si="240"/>
        <v>62.09829702905845</v>
      </c>
      <c r="AX341" s="32">
        <f t="shared" si="241"/>
        <v>0</v>
      </c>
      <c r="AY341" s="32">
        <f t="shared" si="242"/>
        <v>0</v>
      </c>
    </row>
    <row r="342" spans="14:51" x14ac:dyDescent="0.3">
      <c r="N342" s="11">
        <v>24</v>
      </c>
      <c r="O342" s="52">
        <f t="shared" si="208"/>
        <v>17378.008287493791</v>
      </c>
      <c r="P342" s="50" t="str">
        <f t="shared" si="209"/>
        <v>131.578947368421</v>
      </c>
      <c r="Q342" s="18" t="str">
        <f t="shared" si="210"/>
        <v>1+163.783869510039i</v>
      </c>
      <c r="R342" s="18">
        <f t="shared" si="218"/>
        <v>163.78692228527129</v>
      </c>
      <c r="S342" s="18">
        <f t="shared" si="219"/>
        <v>1.5646907952970617</v>
      </c>
      <c r="T342" s="18" t="str">
        <f t="shared" si="211"/>
        <v>1+0.000360324512922086i</v>
      </c>
      <c r="U342" s="18">
        <f t="shared" si="220"/>
        <v>1.0000000649168752</v>
      </c>
      <c r="V342" s="18">
        <f t="shared" si="221"/>
        <v>3.6032449732799246E-4</v>
      </c>
      <c r="W342" s="32" t="str">
        <f t="shared" si="212"/>
        <v>1-0.0873513970720208i</v>
      </c>
      <c r="X342" s="18">
        <f t="shared" si="222"/>
        <v>1.0038078832976127</v>
      </c>
      <c r="Y342" s="18">
        <f t="shared" si="223"/>
        <v>-8.7130237216052481E-2</v>
      </c>
      <c r="Z342" s="32" t="str">
        <f t="shared" si="213"/>
        <v>0.999806723089894+0.0369710956905702i</v>
      </c>
      <c r="AA342" s="18">
        <f t="shared" si="224"/>
        <v>1.0004900526503566</v>
      </c>
      <c r="AB342" s="18">
        <f t="shared" si="225"/>
        <v>3.6961401980493747E-2</v>
      </c>
      <c r="AC342" s="68" t="str">
        <f t="shared" si="226"/>
        <v>-0.094590089465408-0.800449017338562i</v>
      </c>
      <c r="AD342" s="66">
        <f t="shared" si="227"/>
        <v>-1.8730991849483511</v>
      </c>
      <c r="AE342" s="63">
        <f t="shared" si="228"/>
        <v>-96.739460939360086</v>
      </c>
      <c r="AF342" s="32" t="str">
        <f t="shared" si="214"/>
        <v>-0.434440565864413</v>
      </c>
      <c r="AG342" s="32" t="str">
        <f t="shared" si="215"/>
        <v>2.84983932947468i</v>
      </c>
      <c r="AH342" s="32">
        <f t="shared" si="229"/>
        <v>2.8498393294746802</v>
      </c>
      <c r="AI342" s="32">
        <f t="shared" si="230"/>
        <v>1.5707963267948966</v>
      </c>
      <c r="AJ342" s="32" t="str">
        <f t="shared" si="216"/>
        <v>1+0.0282162309848978i</v>
      </c>
      <c r="AK342" s="32">
        <f t="shared" si="231"/>
        <v>1.0003979986440361</v>
      </c>
      <c r="AL342" s="32">
        <f t="shared" si="232"/>
        <v>2.8208746388955808E-2</v>
      </c>
      <c r="AM342" s="32" t="str">
        <f t="shared" si="217"/>
        <v>1+2.84983932947468i</v>
      </c>
      <c r="AN342" s="32">
        <f t="shared" si="233"/>
        <v>3.020196053871453</v>
      </c>
      <c r="AO342" s="32">
        <f t="shared" si="234"/>
        <v>1.2333226441288372</v>
      </c>
      <c r="AP342" s="60" t="str">
        <f t="shared" si="235"/>
        <v>-0.429796988804573+0.164571131499656i</v>
      </c>
      <c r="AQ342" s="51">
        <f t="shared" si="236"/>
        <v>-6.7405536687415619</v>
      </c>
      <c r="AR342" s="63">
        <f t="shared" si="237"/>
        <v>159.04794017305542</v>
      </c>
      <c r="AS342" s="60" t="str">
        <f t="shared" si="238"/>
        <v>0.172385336114182+0.328463779291718i</v>
      </c>
      <c r="AT342" s="66">
        <f t="shared" si="239"/>
        <v>-8.6136528536899064</v>
      </c>
      <c r="AU342" s="63">
        <f t="shared" si="240"/>
        <v>62.308479233695451</v>
      </c>
      <c r="AX342" s="32">
        <f t="shared" si="241"/>
        <v>0</v>
      </c>
      <c r="AY342" s="32">
        <f t="shared" si="242"/>
        <v>0</v>
      </c>
    </row>
    <row r="343" spans="14:51" x14ac:dyDescent="0.3">
      <c r="N343" s="11">
        <v>25</v>
      </c>
      <c r="O343" s="52">
        <f t="shared" si="208"/>
        <v>17782.794100389234</v>
      </c>
      <c r="P343" s="50" t="str">
        <f t="shared" si="209"/>
        <v>131.578947368421</v>
      </c>
      <c r="Q343" s="18" t="str">
        <f t="shared" si="210"/>
        <v>1+167.598885918247i</v>
      </c>
      <c r="R343" s="18">
        <f t="shared" si="218"/>
        <v>167.60186920508244</v>
      </c>
      <c r="S343" s="18">
        <f t="shared" si="219"/>
        <v>1.5648297708246923</v>
      </c>
      <c r="T343" s="18" t="str">
        <f t="shared" si="211"/>
        <v>1+0.000368717549020145i</v>
      </c>
      <c r="U343" s="18">
        <f t="shared" si="220"/>
        <v>1.0000000679763132</v>
      </c>
      <c r="V343" s="18">
        <f t="shared" si="221"/>
        <v>3.6871753231077273E-4</v>
      </c>
      <c r="W343" s="32" t="str">
        <f t="shared" si="212"/>
        <v>1-0.089386072489732i</v>
      </c>
      <c r="X343" s="18">
        <f t="shared" si="222"/>
        <v>1.0039869869451197</v>
      </c>
      <c r="Y343" s="18">
        <f t="shared" si="223"/>
        <v>-8.9149146231142201E-2</v>
      </c>
      <c r="Z343" s="32" t="str">
        <f t="shared" si="213"/>
        <v>0.999797614229749+0.0378322631371015i</v>
      </c>
      <c r="AA343" s="18">
        <f t="shared" si="224"/>
        <v>1.0005131431188563</v>
      </c>
      <c r="AB343" s="18">
        <f t="shared" si="225"/>
        <v>3.7821876413381736E-2</v>
      </c>
      <c r="AC343" s="68" t="str">
        <f t="shared" si="226"/>
        <v>-0.0948058200299624-0.782068925325052i</v>
      </c>
      <c r="AD343" s="66">
        <f t="shared" si="227"/>
        <v>-2.0717426978117546</v>
      </c>
      <c r="AE343" s="63">
        <f t="shared" si="228"/>
        <v>-96.911919284236049</v>
      </c>
      <c r="AF343" s="32" t="str">
        <f t="shared" si="214"/>
        <v>-0.434440565864413</v>
      </c>
      <c r="AG343" s="32" t="str">
        <f t="shared" si="215"/>
        <v>2.91622061497751i</v>
      </c>
      <c r="AH343" s="32">
        <f t="shared" si="229"/>
        <v>2.9162206149775098</v>
      </c>
      <c r="AI343" s="32">
        <f t="shared" si="230"/>
        <v>1.5707963267948966</v>
      </c>
      <c r="AJ343" s="32" t="str">
        <f t="shared" si="216"/>
        <v>1+0.0288734714354209i</v>
      </c>
      <c r="AK343" s="32">
        <f t="shared" si="231"/>
        <v>1.00041675183532</v>
      </c>
      <c r="AL343" s="32">
        <f t="shared" si="232"/>
        <v>2.8865451726805037E-2</v>
      </c>
      <c r="AM343" s="32" t="str">
        <f t="shared" si="217"/>
        <v>1+2.91622061497751i</v>
      </c>
      <c r="AN343" s="32">
        <f t="shared" si="233"/>
        <v>3.0829113959405006</v>
      </c>
      <c r="AO343" s="32">
        <f t="shared" si="234"/>
        <v>1.2404520470319769</v>
      </c>
      <c r="AP343" s="60" t="str">
        <f t="shared" si="235"/>
        <v>-0.429780875540606+0.161383099854458i</v>
      </c>
      <c r="AQ343" s="51">
        <f t="shared" si="236"/>
        <v>-6.7621983440254994</v>
      </c>
      <c r="AR343" s="63">
        <f t="shared" si="237"/>
        <v>159.41879842561124</v>
      </c>
      <c r="AS343" s="60" t="str">
        <f t="shared" si="238"/>
        <v>0.166958435807624+0.320818210338622i</v>
      </c>
      <c r="AT343" s="66">
        <f t="shared" si="239"/>
        <v>-8.8339410418372637</v>
      </c>
      <c r="AU343" s="63">
        <f t="shared" si="240"/>
        <v>62.506879141375151</v>
      </c>
      <c r="AX343" s="32">
        <f t="shared" si="241"/>
        <v>0</v>
      </c>
      <c r="AY343" s="32">
        <f t="shared" si="242"/>
        <v>0</v>
      </c>
    </row>
    <row r="344" spans="14:51" x14ac:dyDescent="0.3">
      <c r="N344" s="11">
        <v>26</v>
      </c>
      <c r="O344" s="52">
        <f t="shared" si="208"/>
        <v>18197.008586099837</v>
      </c>
      <c r="P344" s="50" t="str">
        <f t="shared" si="209"/>
        <v>131.578947368421</v>
      </c>
      <c r="Q344" s="18" t="str">
        <f t="shared" si="210"/>
        <v>1+171.502765474204i</v>
      </c>
      <c r="R344" s="18">
        <f t="shared" si="218"/>
        <v>171.50568085430822</v>
      </c>
      <c r="S344" s="18">
        <f t="shared" si="219"/>
        <v>1.5649655831058058</v>
      </c>
      <c r="T344" s="18" t="str">
        <f t="shared" si="211"/>
        <v>1+0.00037730608404325i</v>
      </c>
      <c r="U344" s="18">
        <f t="shared" si="220"/>
        <v>1.0000000711799379</v>
      </c>
      <c r="V344" s="18">
        <f t="shared" si="221"/>
        <v>3.7730606613883513E-4</v>
      </c>
      <c r="W344" s="32" t="str">
        <f t="shared" si="212"/>
        <v>1-0.0914681415862424i</v>
      </c>
      <c r="X344" s="18">
        <f t="shared" si="222"/>
        <v>1.0041744972489797</v>
      </c>
      <c r="Y344" s="18">
        <f t="shared" si="223"/>
        <v>-9.1214327491248803E-2</v>
      </c>
      <c r="Z344" s="32" t="str">
        <f t="shared" si="213"/>
        <v>0.999788076082251+0.0387134897503175i</v>
      </c>
      <c r="AA344" s="18">
        <f t="shared" si="224"/>
        <v>1.000537321325345</v>
      </c>
      <c r="AB344" s="18">
        <f t="shared" si="225"/>
        <v>3.8702360482484814E-2</v>
      </c>
      <c r="AC344" s="68" t="str">
        <f t="shared" si="226"/>
        <v>-0.0950113646337248-0.764103393335159i</v>
      </c>
      <c r="AD344" s="66">
        <f t="shared" si="227"/>
        <v>-2.2703235360048826</v>
      </c>
      <c r="AE344" s="63">
        <f t="shared" si="228"/>
        <v>-97.087982859231076</v>
      </c>
      <c r="AF344" s="32" t="str">
        <f t="shared" si="214"/>
        <v>-0.434440565864413</v>
      </c>
      <c r="AG344" s="32" t="str">
        <f t="shared" si="215"/>
        <v>2.98414811925116i</v>
      </c>
      <c r="AH344" s="32">
        <f t="shared" si="229"/>
        <v>2.9841481192511599</v>
      </c>
      <c r="AI344" s="32">
        <f t="shared" si="230"/>
        <v>1.5707963267948966</v>
      </c>
      <c r="AJ344" s="32" t="str">
        <f t="shared" si="216"/>
        <v>1+0.0295460209826848i</v>
      </c>
      <c r="AK344" s="32">
        <f t="shared" si="231"/>
        <v>1.0004363884605105</v>
      </c>
      <c r="AL344" s="32">
        <f t="shared" si="232"/>
        <v>2.9537427912512841E-2</v>
      </c>
      <c r="AM344" s="32" t="str">
        <f t="shared" si="217"/>
        <v>1+2.98414811925116i</v>
      </c>
      <c r="AN344" s="32">
        <f t="shared" si="233"/>
        <v>3.1472432377606654</v>
      </c>
      <c r="AO344" s="32">
        <f t="shared" si="234"/>
        <v>1.247453011185611</v>
      </c>
      <c r="AP344" s="60" t="str">
        <f t="shared" si="235"/>
        <v>-0.42976400417679+0.158280591838869i</v>
      </c>
      <c r="AQ344" s="51">
        <f t="shared" si="236"/>
        <v>-6.7829835135152532</v>
      </c>
      <c r="AR344" s="63">
        <f t="shared" si="237"/>
        <v>159.78142272476251</v>
      </c>
      <c r="AS344" s="60" t="str">
        <f t="shared" si="238"/>
        <v>0.161775201830468+0.313345678899146i</v>
      </c>
      <c r="AT344" s="66">
        <f t="shared" si="239"/>
        <v>-9.053307049520134</v>
      </c>
      <c r="AU344" s="63">
        <f t="shared" si="240"/>
        <v>62.693439865531396</v>
      </c>
      <c r="AX344" s="32">
        <f t="shared" si="241"/>
        <v>0</v>
      </c>
      <c r="AY344" s="32">
        <f t="shared" si="242"/>
        <v>0</v>
      </c>
    </row>
    <row r="345" spans="14:51" x14ac:dyDescent="0.3">
      <c r="N345" s="11">
        <v>27</v>
      </c>
      <c r="O345" s="52">
        <f t="shared" si="208"/>
        <v>18620.871366628675</v>
      </c>
      <c r="P345" s="50" t="str">
        <f t="shared" si="209"/>
        <v>131.578947368421</v>
      </c>
      <c r="Q345" s="18" t="str">
        <f t="shared" si="210"/>
        <v>1+175.497578066523i</v>
      </c>
      <c r="R345" s="18">
        <f t="shared" si="218"/>
        <v>175.50042708556393</v>
      </c>
      <c r="S345" s="18">
        <f t="shared" si="219"/>
        <v>1.5650983041298197</v>
      </c>
      <c r="T345" s="18" t="str">
        <f t="shared" si="211"/>
        <v>1+0.000386094671746351i</v>
      </c>
      <c r="U345" s="18">
        <f t="shared" si="220"/>
        <v>1.000000074534545</v>
      </c>
      <c r="V345" s="18">
        <f t="shared" si="221"/>
        <v>3.8609465256142489E-4</v>
      </c>
      <c r="W345" s="32" t="str">
        <f t="shared" si="212"/>
        <v>1-0.0935987083021456i</v>
      </c>
      <c r="X345" s="18">
        <f t="shared" si="222"/>
        <v>1.0043708071204729</v>
      </c>
      <c r="Y345" s="18">
        <f t="shared" si="223"/>
        <v>-9.3326805480284949E-2</v>
      </c>
      <c r="Z345" s="32" t="str">
        <f t="shared" si="213"/>
        <v>0.99977808841571+0.0396152427682327i</v>
      </c>
      <c r="AA345" s="18">
        <f t="shared" si="224"/>
        <v>1.0005626384868453</v>
      </c>
      <c r="AB345" s="18">
        <f t="shared" si="225"/>
        <v>3.9603317887502799E-2</v>
      </c>
      <c r="AC345" s="68" t="str">
        <f t="shared" si="226"/>
        <v>-0.0952071592408573-0.74654290482616i</v>
      </c>
      <c r="AD345" s="66">
        <f t="shared" si="227"/>
        <v>-2.4688387713373707</v>
      </c>
      <c r="AE345" s="63">
        <f t="shared" si="228"/>
        <v>-97.267740794764492</v>
      </c>
      <c r="AF345" s="32" t="str">
        <f t="shared" si="214"/>
        <v>-0.434440565864413</v>
      </c>
      <c r="AG345" s="32" t="str">
        <f t="shared" si="215"/>
        <v>3.0536578583575i</v>
      </c>
      <c r="AH345" s="32">
        <f t="shared" si="229"/>
        <v>3.0536578583575</v>
      </c>
      <c r="AI345" s="32">
        <f t="shared" si="230"/>
        <v>1.5707963267948966</v>
      </c>
      <c r="AJ345" s="32" t="str">
        <f t="shared" si="216"/>
        <v>1+0.0302342362213614i</v>
      </c>
      <c r="AK345" s="32">
        <f t="shared" si="231"/>
        <v>1.0004569501182392</v>
      </c>
      <c r="AL345" s="32">
        <f t="shared" si="232"/>
        <v>3.0225028807900643E-2</v>
      </c>
      <c r="AM345" s="32" t="str">
        <f t="shared" si="217"/>
        <v>1+3.0536578583575i</v>
      </c>
      <c r="AN345" s="32">
        <f t="shared" si="233"/>
        <v>3.2132267762964561</v>
      </c>
      <c r="AO345" s="32">
        <f t="shared" si="234"/>
        <v>1.2543265025557016</v>
      </c>
      <c r="AP345" s="60" t="str">
        <f t="shared" si="235"/>
        <v>-0.429746339109742+0.155261959333196i</v>
      </c>
      <c r="AQ345" s="51">
        <f t="shared" si="236"/>
        <v>-6.8029406647804178</v>
      </c>
      <c r="AR345" s="63">
        <f t="shared" si="237"/>
        <v>160.1358481414932</v>
      </c>
      <c r="AS345" s="60" t="str">
        <f t="shared" si="238"/>
        <v>0.156824642270402+0.306042030251112i</v>
      </c>
      <c r="AT345" s="66">
        <f t="shared" si="239"/>
        <v>-9.2717794361177823</v>
      </c>
      <c r="AU345" s="63">
        <f t="shared" si="240"/>
        <v>62.868107346728692</v>
      </c>
      <c r="AX345" s="32">
        <f t="shared" si="241"/>
        <v>0</v>
      </c>
      <c r="AY345" s="32">
        <f t="shared" si="242"/>
        <v>0</v>
      </c>
    </row>
    <row r="346" spans="14:51" x14ac:dyDescent="0.3">
      <c r="N346" s="11">
        <v>28</v>
      </c>
      <c r="O346" s="52">
        <f t="shared" si="208"/>
        <v>19054.607179632505</v>
      </c>
      <c r="P346" s="50" t="str">
        <f t="shared" si="209"/>
        <v>131.578947368421</v>
      </c>
      <c r="Q346" s="18" t="str">
        <f t="shared" si="210"/>
        <v>1+179.585441797719i</v>
      </c>
      <c r="R346" s="18">
        <f t="shared" si="218"/>
        <v>179.58822596618612</v>
      </c>
      <c r="S346" s="18">
        <f t="shared" si="219"/>
        <v>1.5652280042484639</v>
      </c>
      <c r="T346" s="18" t="str">
        <f t="shared" si="211"/>
        <v>1+0.000395087971954982i</v>
      </c>
      <c r="U346" s="18">
        <f t="shared" si="220"/>
        <v>1.0000000780472498</v>
      </c>
      <c r="V346" s="18">
        <f t="shared" si="221"/>
        <v>3.9508795139796342E-4</v>
      </c>
      <c r="W346" s="32" t="str">
        <f t="shared" si="212"/>
        <v>1-0.0957789022921168i</v>
      </c>
      <c r="X346" s="18">
        <f t="shared" si="222"/>
        <v>1.0045763276746487</v>
      </c>
      <c r="Y346" s="18">
        <f t="shared" si="223"/>
        <v>-9.5487624803867521E-2</v>
      </c>
      <c r="Z346" s="32" t="str">
        <f t="shared" si="213"/>
        <v>0.999767630044947+0.0405380003122336i</v>
      </c>
      <c r="AA346" s="18">
        <f t="shared" si="224"/>
        <v>1.000589148229684</v>
      </c>
      <c r="AB346" s="18">
        <f t="shared" si="225"/>
        <v>4.0525222958945666E-2</v>
      </c>
      <c r="AC346" s="68" t="str">
        <f t="shared" si="226"/>
        <v>-0.0953936191494364-0.729378157564488i</v>
      </c>
      <c r="AD346" s="66">
        <f t="shared" si="227"/>
        <v>-2.6672853442884104</v>
      </c>
      <c r="AE346" s="63">
        <f t="shared" si="228"/>
        <v>-97.451283883334852</v>
      </c>
      <c r="AF346" s="32" t="str">
        <f t="shared" si="214"/>
        <v>-0.434440565864413</v>
      </c>
      <c r="AG346" s="32" t="str">
        <f t="shared" si="215"/>
        <v>3.12478668728031i</v>
      </c>
      <c r="AH346" s="32">
        <f t="shared" si="229"/>
        <v>3.1247866872803098</v>
      </c>
      <c r="AI346" s="32">
        <f t="shared" si="230"/>
        <v>1.5707963267948966</v>
      </c>
      <c r="AJ346" s="32" t="str">
        <f t="shared" si="216"/>
        <v>1+0.0309384820522803i</v>
      </c>
      <c r="AK346" s="32">
        <f t="shared" si="231"/>
        <v>1.0004784803641202</v>
      </c>
      <c r="AL346" s="32">
        <f t="shared" si="232"/>
        <v>3.0928616385823043E-2</v>
      </c>
      <c r="AM346" s="32" t="str">
        <f t="shared" si="217"/>
        <v>1+3.12478668728031i</v>
      </c>
      <c r="AN346" s="32">
        <f t="shared" si="233"/>
        <v>3.2808980235606611</v>
      </c>
      <c r="AO346" s="32">
        <f t="shared" si="234"/>
        <v>1.2610735667815598</v>
      </c>
      <c r="AP346" s="60" t="str">
        <f t="shared" si="235"/>
        <v>-0.429727843070153+0.152325598466549i</v>
      </c>
      <c r="AQ346" s="51">
        <f t="shared" si="236"/>
        <v>-6.822100495391334</v>
      </c>
      <c r="AR346" s="63">
        <f t="shared" si="237"/>
        <v>160.48211384700565</v>
      </c>
      <c r="AS346" s="60" t="str">
        <f t="shared" si="238"/>
        <v>0.152096258559182+0.298903212305842i</v>
      </c>
      <c r="AT346" s="66">
        <f t="shared" si="239"/>
        <v>-9.4893858396797413</v>
      </c>
      <c r="AU346" s="63">
        <f t="shared" si="240"/>
        <v>63.030829963670911</v>
      </c>
      <c r="AX346" s="32">
        <f t="shared" si="241"/>
        <v>0</v>
      </c>
      <c r="AY346" s="32">
        <f t="shared" si="242"/>
        <v>0</v>
      </c>
    </row>
    <row r="347" spans="14:51" x14ac:dyDescent="0.3">
      <c r="N347" s="11">
        <v>29</v>
      </c>
      <c r="O347" s="52">
        <f t="shared" si="208"/>
        <v>19498.445997580486</v>
      </c>
      <c r="P347" s="50" t="str">
        <f t="shared" si="209"/>
        <v>131.578947368421</v>
      </c>
      <c r="Q347" s="18" t="str">
        <f t="shared" si="210"/>
        <v>1+183.768524107248i</v>
      </c>
      <c r="R347" s="18">
        <f t="shared" si="218"/>
        <v>183.77124490125269</v>
      </c>
      <c r="S347" s="18">
        <f t="shared" si="219"/>
        <v>1.5653547522129934</v>
      </c>
      <c r="T347" s="18" t="str">
        <f t="shared" si="211"/>
        <v>1+0.000404290753035946i</v>
      </c>
      <c r="U347" s="18">
        <f t="shared" si="220"/>
        <v>1.000000081725503</v>
      </c>
      <c r="V347" s="18">
        <f t="shared" si="221"/>
        <v>4.0429073100870379E-4</v>
      </c>
      <c r="W347" s="32" t="str">
        <f t="shared" si="212"/>
        <v>1-0.0980098795238656i</v>
      </c>
      <c r="X347" s="18">
        <f t="shared" si="222"/>
        <v>1.0047914890584428</v>
      </c>
      <c r="Y347" s="18">
        <f t="shared" si="223"/>
        <v>-9.7697850399171463E-2</v>
      </c>
      <c r="Z347" s="32" t="str">
        <f t="shared" si="213"/>
        <v>0.999756678786355+0.0414822516405834i</v>
      </c>
      <c r="AA347" s="18">
        <f t="shared" si="224"/>
        <v>1.0006169067026081</v>
      </c>
      <c r="AB347" s="18">
        <f t="shared" si="225"/>
        <v>4.1468560893635702E-2</v>
      </c>
      <c r="AC347" s="68" t="str">
        <f t="shared" si="226"/>
        <v>-0.0955711398722822-0.712600058734423i</v>
      </c>
      <c r="AD347" s="66">
        <f t="shared" si="227"/>
        <v>-2.8656600582580132</v>
      </c>
      <c r="AE347" s="63">
        <f t="shared" si="228"/>
        <v>-97.638704607027805</v>
      </c>
      <c r="AF347" s="32" t="str">
        <f t="shared" si="214"/>
        <v>-0.434440565864413</v>
      </c>
      <c r="AG347" s="32" t="str">
        <f t="shared" si="215"/>
        <v>3.19757231946612i</v>
      </c>
      <c r="AH347" s="32">
        <f t="shared" si="229"/>
        <v>3.1975723194661199</v>
      </c>
      <c r="AI347" s="32">
        <f t="shared" si="230"/>
        <v>1.5707963267948966</v>
      </c>
      <c r="AJ347" s="32" t="str">
        <f t="shared" si="216"/>
        <v>1+0.0316591318759022i</v>
      </c>
      <c r="AK347" s="32">
        <f t="shared" si="231"/>
        <v>1.0005010248026414</v>
      </c>
      <c r="AL347" s="32">
        <f t="shared" si="232"/>
        <v>3.1648560909725863E-2</v>
      </c>
      <c r="AM347" s="32" t="str">
        <f t="shared" si="217"/>
        <v>1+3.19757231946612i</v>
      </c>
      <c r="AN347" s="32">
        <f t="shared" si="233"/>
        <v>3.3502938286389061</v>
      </c>
      <c r="AO347" s="32">
        <f t="shared" si="234"/>
        <v>1.2676953232278334</v>
      </c>
      <c r="AP347" s="60" t="str">
        <f t="shared" si="235"/>
        <v>-0.429708477045434+0.149469948750576i</v>
      </c>
      <c r="AQ347" s="51">
        <f t="shared" si="236"/>
        <v>-6.8404929092131086</v>
      </c>
      <c r="AR347" s="63">
        <f t="shared" si="237"/>
        <v>160.82026276163759</v>
      </c>
      <c r="AS347" s="60" t="str">
        <f t="shared" si="238"/>
        <v>0.147580023222706+0.291925272602512i</v>
      </c>
      <c r="AT347" s="66">
        <f t="shared" si="239"/>
        <v>-9.7061529674711124</v>
      </c>
      <c r="AU347" s="63">
        <f t="shared" si="240"/>
        <v>63.18155815460986</v>
      </c>
      <c r="AX347" s="32">
        <f t="shared" si="241"/>
        <v>0</v>
      </c>
      <c r="AY347" s="32">
        <f t="shared" si="242"/>
        <v>0</v>
      </c>
    </row>
    <row r="348" spans="14:51" x14ac:dyDescent="0.3">
      <c r="N348" s="11">
        <v>30</v>
      </c>
      <c r="O348" s="52">
        <f t="shared" si="208"/>
        <v>19952.623149688792</v>
      </c>
      <c r="P348" s="50" t="str">
        <f t="shared" si="209"/>
        <v>131.578947368421</v>
      </c>
      <c r="Q348" s="18" t="str">
        <f t="shared" si="210"/>
        <v>1+188.049042920724i</v>
      </c>
      <c r="R348" s="18">
        <f t="shared" si="218"/>
        <v>188.05170178278181</v>
      </c>
      <c r="S348" s="18">
        <f t="shared" si="219"/>
        <v>1.5654786152105575</v>
      </c>
      <c r="T348" s="18" t="str">
        <f t="shared" si="211"/>
        <v>1+0.000413707894425593i</v>
      </c>
      <c r="U348" s="18">
        <f t="shared" si="220"/>
        <v>1.0000000855771074</v>
      </c>
      <c r="V348" s="18">
        <f t="shared" si="221"/>
        <v>4.1370787082297788E-4</v>
      </c>
      <c r="W348" s="32" t="str">
        <f t="shared" si="212"/>
        <v>1-0.100292822891053i</v>
      </c>
      <c r="X348" s="18">
        <f t="shared" si="222"/>
        <v>1.0050167413150171</v>
      </c>
      <c r="Y348" s="18">
        <f t="shared" si="223"/>
        <v>-9.9958567732218548E-2</v>
      </c>
      <c r="Z348" s="32" t="str">
        <f t="shared" si="213"/>
        <v>0.999745211410846+0.0424484974078359i</v>
      </c>
      <c r="AA348" s="18">
        <f t="shared" si="224"/>
        <v>1.0006459726951888</v>
      </c>
      <c r="AB348" s="18">
        <f t="shared" si="225"/>
        <v>4.2433827994838594E-2</v>
      </c>
      <c r="AC348" s="68" t="str">
        <f t="shared" si="226"/>
        <v>-0.0957400979759398-0.69619972015579i</v>
      </c>
      <c r="AD348" s="66">
        <f t="shared" si="227"/>
        <v>-3.063959573597868</v>
      </c>
      <c r="AE348" s="63">
        <f t="shared" si="228"/>
        <v>-97.83009716451707</v>
      </c>
      <c r="AF348" s="32" t="str">
        <f t="shared" si="214"/>
        <v>-0.434440565864413</v>
      </c>
      <c r="AG348" s="32" t="str">
        <f t="shared" si="215"/>
        <v>3.2720533468206i</v>
      </c>
      <c r="AH348" s="32">
        <f t="shared" si="229"/>
        <v>3.2720533468205999</v>
      </c>
      <c r="AI348" s="32">
        <f t="shared" si="230"/>
        <v>1.5707963267948966</v>
      </c>
      <c r="AJ348" s="32" t="str">
        <f t="shared" si="216"/>
        <v>1+0.032396567790303i</v>
      </c>
      <c r="AK348" s="32">
        <f t="shared" si="231"/>
        <v>1.0005246311833564</v>
      </c>
      <c r="AL348" s="32">
        <f t="shared" si="232"/>
        <v>3.2385241116724618E-2</v>
      </c>
      <c r="AM348" s="32" t="str">
        <f t="shared" si="217"/>
        <v>1+3.2720533468206i</v>
      </c>
      <c r="AN348" s="32">
        <f t="shared" si="233"/>
        <v>3.4214519000622952</v>
      </c>
      <c r="AO348" s="32">
        <f t="shared" si="234"/>
        <v>1.2741929592244745</v>
      </c>
      <c r="AP348" s="60" t="str">
        <f t="shared" si="235"/>
        <v>-0.429688200198823+0.146693492235072i</v>
      </c>
      <c r="AQ348" s="51">
        <f t="shared" si="236"/>
        <v>-6.8581470152958071</v>
      </c>
      <c r="AR348" s="63">
        <f t="shared" si="237"/>
        <v>161.15034121434556</v>
      </c>
      <c r="AS348" s="60" t="str">
        <f t="shared" si="238"/>
        <v>0.143266358628873+0.285104355413647i</v>
      </c>
      <c r="AT348" s="66">
        <f t="shared" si="239"/>
        <v>-9.9221065888936781</v>
      </c>
      <c r="AU348" s="63">
        <f t="shared" si="240"/>
        <v>63.32024404982851</v>
      </c>
      <c r="AX348" s="32">
        <f t="shared" si="241"/>
        <v>0</v>
      </c>
      <c r="AY348" s="32">
        <f t="shared" si="242"/>
        <v>0</v>
      </c>
    </row>
    <row r="349" spans="14:51" x14ac:dyDescent="0.3">
      <c r="N349" s="11">
        <v>31</v>
      </c>
      <c r="O349" s="52">
        <f t="shared" si="208"/>
        <v>20417.379446695286</v>
      </c>
      <c r="P349" s="50" t="str">
        <f t="shared" si="209"/>
        <v>131.578947368421</v>
      </c>
      <c r="Q349" s="18" t="str">
        <f t="shared" si="210"/>
        <v>1+192.429267825879i</v>
      </c>
      <c r="R349" s="18">
        <f t="shared" si="218"/>
        <v>192.43186616567402</v>
      </c>
      <c r="S349" s="18">
        <f t="shared" si="219"/>
        <v>1.5655996588997461</v>
      </c>
      <c r="T349" s="18" t="str">
        <f t="shared" si="211"/>
        <v>1+0.000423344389216934i</v>
      </c>
      <c r="U349" s="18">
        <f t="shared" si="220"/>
        <v>1.0000000896102319</v>
      </c>
      <c r="V349" s="18">
        <f t="shared" si="221"/>
        <v>4.233443639262763E-4</v>
      </c>
      <c r="W349" s="32" t="str">
        <f t="shared" si="212"/>
        <v>1-0.102628942840469i</v>
      </c>
      <c r="X349" s="18">
        <f t="shared" si="222"/>
        <v>1.0052525552857612</v>
      </c>
      <c r="Y349" s="18">
        <f t="shared" si="223"/>
        <v>-0.10227088298115397</v>
      </c>
      <c r="Z349" s="32" t="str">
        <f t="shared" si="213"/>
        <v>0.999733203594579+0.0434372499302861i</v>
      </c>
      <c r="AA349" s="18">
        <f t="shared" si="224"/>
        <v>1.0006764077617631</v>
      </c>
      <c r="AB349" s="18">
        <f t="shared" si="225"/>
        <v>4.3421531917060323E-2</v>
      </c>
      <c r="AC349" s="68" t="str">
        <f t="shared" si="226"/>
        <v>-0.0959008518796061-0.680168453608514i</v>
      </c>
      <c r="AD349" s="66">
        <f t="shared" si="227"/>
        <v>-3.2621804014131053</v>
      </c>
      <c r="AE349" s="63">
        <f t="shared" si="228"/>
        <v>-98.02555749747971</v>
      </c>
      <c r="AF349" s="32" t="str">
        <f t="shared" si="214"/>
        <v>-0.434440565864413</v>
      </c>
      <c r="AG349" s="32" t="str">
        <f t="shared" si="215"/>
        <v>3.3482692601703i</v>
      </c>
      <c r="AH349" s="32">
        <f t="shared" si="229"/>
        <v>3.3482692601703001</v>
      </c>
      <c r="AI349" s="32">
        <f t="shared" si="230"/>
        <v>1.5707963267948966</v>
      </c>
      <c r="AJ349" s="32" t="str">
        <f t="shared" si="216"/>
        <v>1+0.0331511807937653i</v>
      </c>
      <c r="AK349" s="32">
        <f t="shared" si="231"/>
        <v>1.0005493495015729</v>
      </c>
      <c r="AL349" s="32">
        <f t="shared" si="232"/>
        <v>3.3139044404229656E-2</v>
      </c>
      <c r="AM349" s="32" t="str">
        <f t="shared" si="217"/>
        <v>1+3.3482692601703i</v>
      </c>
      <c r="AN349" s="32">
        <f t="shared" si="233"/>
        <v>3.494410828537676</v>
      </c>
      <c r="AO349" s="32">
        <f t="shared" si="234"/>
        <v>1.2805677245031133</v>
      </c>
      <c r="AP349" s="60" t="str">
        <f t="shared" si="235"/>
        <v>-0.429666969784801+0.143994752684937i</v>
      </c>
      <c r="AQ349" s="51">
        <f t="shared" si="236"/>
        <v>-6.8750911291639563</v>
      </c>
      <c r="AR349" s="63">
        <f t="shared" si="237"/>
        <v>161.47239861324093</v>
      </c>
      <c r="AS349" s="60" t="str">
        <f t="shared" si="238"/>
        <v>0.139146116688345+0.278436698956506i</v>
      </c>
      <c r="AT349" s="66">
        <f t="shared" si="239"/>
        <v>-10.137271530577054</v>
      </c>
      <c r="AU349" s="63">
        <f t="shared" si="240"/>
        <v>63.446841115761316</v>
      </c>
      <c r="AX349" s="32">
        <f t="shared" si="241"/>
        <v>0</v>
      </c>
      <c r="AY349" s="32">
        <f t="shared" si="242"/>
        <v>0</v>
      </c>
    </row>
    <row r="350" spans="14:51" x14ac:dyDescent="0.3">
      <c r="N350" s="11">
        <v>32</v>
      </c>
      <c r="O350" s="52">
        <f t="shared" si="208"/>
        <v>20892.961308540423</v>
      </c>
      <c r="P350" s="50" t="str">
        <f t="shared" si="209"/>
        <v>131.578947368421</v>
      </c>
      <c r="Q350" s="18" t="str">
        <f t="shared" si="210"/>
        <v>1+196.911521275939i</v>
      </c>
      <c r="R350" s="18">
        <f t="shared" si="218"/>
        <v>196.91406047107094</v>
      </c>
      <c r="S350" s="18">
        <f t="shared" si="219"/>
        <v>1.5657179474453293</v>
      </c>
      <c r="T350" s="18" t="str">
        <f t="shared" si="211"/>
        <v>1+0.000433205346807067i</v>
      </c>
      <c r="U350" s="18">
        <f t="shared" si="220"/>
        <v>1.0000000938334319</v>
      </c>
      <c r="V350" s="18">
        <f t="shared" si="221"/>
        <v>4.332053197076392E-4</v>
      </c>
      <c r="W350" s="32" t="str">
        <f t="shared" si="212"/>
        <v>1-0.105019478013834i</v>
      </c>
      <c r="X350" s="18">
        <f t="shared" si="222"/>
        <v>1.0054994235514498</v>
      </c>
      <c r="Y350" s="18">
        <f t="shared" si="223"/>
        <v>-0.10463592320402369</v>
      </c>
      <c r="Z350" s="32" t="str">
        <f t="shared" si="213"/>
        <v>0.999720629867366+0.0444490334576097i</v>
      </c>
      <c r="AA350" s="18">
        <f t="shared" si="224"/>
        <v>1.0007082763511645</v>
      </c>
      <c r="AB350" s="18">
        <f t="shared" si="225"/>
        <v>4.443219191556512E-2</v>
      </c>
      <c r="AC350" s="68" t="str">
        <f t="shared" si="226"/>
        <v>-0.0960537426156909-0.664497766261478i</v>
      </c>
      <c r="AD350" s="66">
        <f t="shared" si="227"/>
        <v>-3.4603188971318715</v>
      </c>
      <c r="AE350" s="63">
        <f t="shared" si="228"/>
        <v>-98.225183316344271</v>
      </c>
      <c r="AF350" s="32" t="str">
        <f t="shared" si="214"/>
        <v>-0.434440565864413</v>
      </c>
      <c r="AG350" s="32" t="str">
        <f t="shared" si="215"/>
        <v>3.42626047020135i</v>
      </c>
      <c r="AH350" s="32">
        <f t="shared" si="229"/>
        <v>3.4262604702013499</v>
      </c>
      <c r="AI350" s="32">
        <f t="shared" si="230"/>
        <v>1.5707963267948966</v>
      </c>
      <c r="AJ350" s="32" t="str">
        <f t="shared" si="216"/>
        <v>1+0.0339233709920926i</v>
      </c>
      <c r="AK350" s="32">
        <f t="shared" si="231"/>
        <v>1.0005752321037469</v>
      </c>
      <c r="AL350" s="32">
        <f t="shared" si="232"/>
        <v>3.3910367020158323E-2</v>
      </c>
      <c r="AM350" s="32" t="str">
        <f t="shared" si="217"/>
        <v>1+3.42626047020135i</v>
      </c>
      <c r="AN350" s="32">
        <f t="shared" si="233"/>
        <v>3.5692101100473725</v>
      </c>
      <c r="AO350" s="32">
        <f t="shared" si="234"/>
        <v>1.2868209258365133</v>
      </c>
      <c r="AP350" s="60" t="str">
        <f t="shared" si="235"/>
        <v>-0.429644741060657+0.141372294777961i</v>
      </c>
      <c r="AQ350" s="51">
        <f t="shared" si="236"/>
        <v>-6.8913527763137274</v>
      </c>
      <c r="AR350" s="63">
        <f t="shared" si="237"/>
        <v>161.78648712755466</v>
      </c>
      <c r="AS350" s="60" t="str">
        <f t="shared" si="238"/>
        <v>0.13521055946524+0.271918632705206i</v>
      </c>
      <c r="AT350" s="66">
        <f t="shared" si="239"/>
        <v>-10.35167167344559</v>
      </c>
      <c r="AU350" s="63">
        <f t="shared" si="240"/>
        <v>63.561303811210358</v>
      </c>
      <c r="AX350" s="32">
        <f t="shared" si="241"/>
        <v>0</v>
      </c>
      <c r="AY350" s="32">
        <f t="shared" si="242"/>
        <v>0</v>
      </c>
    </row>
    <row r="351" spans="14:51" x14ac:dyDescent="0.3">
      <c r="N351" s="11">
        <v>33</v>
      </c>
      <c r="O351" s="52">
        <f t="shared" si="208"/>
        <v>21379.620895022348</v>
      </c>
      <c r="P351" s="50" t="str">
        <f t="shared" si="209"/>
        <v>131.578947368421</v>
      </c>
      <c r="Q351" s="18" t="str">
        <f t="shared" si="210"/>
        <v>1+201.498179821011i</v>
      </c>
      <c r="R351" s="18">
        <f t="shared" si="218"/>
        <v>201.50066121772522</v>
      </c>
      <c r="S351" s="18">
        <f t="shared" si="219"/>
        <v>1.565833543552211</v>
      </c>
      <c r="T351" s="18" t="str">
        <f t="shared" si="211"/>
        <v>1+0.000443295995606224i</v>
      </c>
      <c r="U351" s="18">
        <f t="shared" si="220"/>
        <v>1.0000000982556649</v>
      </c>
      <c r="V351" s="18">
        <f t="shared" si="221"/>
        <v>4.432959665686641E-4</v>
      </c>
      <c r="W351" s="32" t="str">
        <f t="shared" si="212"/>
        <v>1-0.107465695904539i</v>
      </c>
      <c r="X351" s="18">
        <f t="shared" si="222"/>
        <v>1.0057578614140914</v>
      </c>
      <c r="Y351" s="18">
        <f t="shared" si="223"/>
        <v>-0.10705483648940523</v>
      </c>
      <c r="Z351" s="32" t="str">
        <f t="shared" si="213"/>
        <v>0.999707463558646+0.0454843844508247i</v>
      </c>
      <c r="AA351" s="18">
        <f t="shared" si="224"/>
        <v>1.000741645942514</v>
      </c>
      <c r="AB351" s="18">
        <f t="shared" si="225"/>
        <v>4.5466339100643828E-2</v>
      </c>
      <c r="AC351" s="68" t="str">
        <f t="shared" si="226"/>
        <v>-0.0961990945536237-0.649179356203617i</v>
      </c>
      <c r="AD351" s="66">
        <f t="shared" si="227"/>
        <v>-3.658371253834388</v>
      </c>
      <c r="AE351" s="63">
        <f t="shared" si="228"/>
        <v>-98.429074125279897</v>
      </c>
      <c r="AF351" s="32" t="str">
        <f t="shared" si="214"/>
        <v>-0.434440565864413</v>
      </c>
      <c r="AG351" s="32" t="str">
        <f t="shared" si="215"/>
        <v>3.50606832888559i</v>
      </c>
      <c r="AH351" s="32">
        <f t="shared" si="229"/>
        <v>3.5060683288855898</v>
      </c>
      <c r="AI351" s="32">
        <f t="shared" si="230"/>
        <v>1.5707963267948966</v>
      </c>
      <c r="AJ351" s="32" t="str">
        <f t="shared" si="216"/>
        <v>1+0.0347135478107485i</v>
      </c>
      <c r="AK351" s="32">
        <f t="shared" si="231"/>
        <v>1.0006023337978025</v>
      </c>
      <c r="AL351" s="32">
        <f t="shared" si="232"/>
        <v>3.4699614256755766E-2</v>
      </c>
      <c r="AM351" s="32" t="str">
        <f t="shared" si="217"/>
        <v>1+3.50606832888559i</v>
      </c>
      <c r="AN351" s="32">
        <f t="shared" si="233"/>
        <v>3.6458901693296513</v>
      </c>
      <c r="AO351" s="32">
        <f t="shared" si="234"/>
        <v>1.2929539218859232</v>
      </c>
      <c r="AP351" s="60" t="str">
        <f t="shared" si="235"/>
        <v>-0.429621467194028+0.138824723322933i</v>
      </c>
      <c r="AQ351" s="51">
        <f t="shared" si="236"/>
        <v>-6.9069586977323949</v>
      </c>
      <c r="AR351" s="63">
        <f t="shared" si="237"/>
        <v>162.09266138130673</v>
      </c>
      <c r="AS351" s="60" t="str">
        <f t="shared" si="238"/>
        <v>0.131451340656792+0.265546574798949i</v>
      </c>
      <c r="AT351" s="66">
        <f t="shared" si="239"/>
        <v>-10.565329951566778</v>
      </c>
      <c r="AU351" s="63">
        <f t="shared" si="240"/>
        <v>63.663587256026787</v>
      </c>
      <c r="AX351" s="32">
        <f t="shared" si="241"/>
        <v>0</v>
      </c>
      <c r="AY351" s="32">
        <f t="shared" si="242"/>
        <v>0</v>
      </c>
    </row>
    <row r="352" spans="14:51" x14ac:dyDescent="0.3">
      <c r="N352" s="11">
        <v>34</v>
      </c>
      <c r="O352" s="52">
        <f t="shared" si="208"/>
        <v>21877.61623949555</v>
      </c>
      <c r="P352" s="50" t="str">
        <f t="shared" si="209"/>
        <v>131.578947368421</v>
      </c>
      <c r="Q352" s="18" t="str">
        <f t="shared" si="210"/>
        <v>1+206.191675368168i</v>
      </c>
      <c r="R352" s="18">
        <f t="shared" si="218"/>
        <v>206.19410028206912</v>
      </c>
      <c r="S352" s="18">
        <f t="shared" si="219"/>
        <v>1.5659465084986133</v>
      </c>
      <c r="T352" s="18" t="str">
        <f t="shared" si="211"/>
        <v>1+0.00045362168580997i</v>
      </c>
      <c r="U352" s="18">
        <f t="shared" si="220"/>
        <v>1.0000001028863117</v>
      </c>
      <c r="V352" s="18">
        <f t="shared" si="221"/>
        <v>4.5362165469566414E-4</v>
      </c>
      <c r="W352" s="32" t="str">
        <f t="shared" si="212"/>
        <v>1-0.10996889352969i</v>
      </c>
      <c r="X352" s="18">
        <f t="shared" si="222"/>
        <v>1.0060284079210409</v>
      </c>
      <c r="Y352" s="18">
        <f t="shared" si="223"/>
        <v>-0.10952879208817669</v>
      </c>
      <c r="Z352" s="32" t="str">
        <f t="shared" si="213"/>
        <v>0.999693676740913+0.0465438518667326i</v>
      </c>
      <c r="AA352" s="18">
        <f t="shared" si="224"/>
        <v>1.0007765871873491</v>
      </c>
      <c r="AB352" s="18">
        <f t="shared" si="225"/>
        <v>4.6524516696678932E-2</v>
      </c>
      <c r="AC352" s="68" t="str">
        <f t="shared" si="226"/>
        <v>-0.0963372160884543-0.634205108074937i</v>
      </c>
      <c r="AD352" s="66">
        <f t="shared" si="227"/>
        <v>-3.8563334953369348</v>
      </c>
      <c r="AE352" s="63">
        <f t="shared" si="228"/>
        <v>-98.637331246331854</v>
      </c>
      <c r="AF352" s="32" t="str">
        <f t="shared" si="214"/>
        <v>-0.434440565864413</v>
      </c>
      <c r="AG352" s="32" t="str">
        <f t="shared" si="215"/>
        <v>3.58773515140613i</v>
      </c>
      <c r="AH352" s="32">
        <f t="shared" si="229"/>
        <v>3.5877351514061302</v>
      </c>
      <c r="AI352" s="32">
        <f t="shared" si="230"/>
        <v>1.5707963267948966</v>
      </c>
      <c r="AJ352" s="32" t="str">
        <f t="shared" si="216"/>
        <v>1+0.0355221302119418i</v>
      </c>
      <c r="AK352" s="32">
        <f t="shared" si="231"/>
        <v>1.0006307119686033</v>
      </c>
      <c r="AL352" s="32">
        <f t="shared" si="232"/>
        <v>3.5507200648059241E-2</v>
      </c>
      <c r="AM352" s="32" t="str">
        <f t="shared" si="217"/>
        <v>1+3.58773515140613i</v>
      </c>
      <c r="AN352" s="32">
        <f t="shared" si="233"/>
        <v>3.7244923837531432</v>
      </c>
      <c r="AO352" s="32">
        <f t="shared" si="234"/>
        <v>1.2989681182596602</v>
      </c>
      <c r="AP352" s="60" t="str">
        <f t="shared" si="235"/>
        <v>-0.429597099166249+0.136350682497527i</v>
      </c>
      <c r="AQ352" s="51">
        <f t="shared" si="236"/>
        <v>-6.9219348572615047</v>
      </c>
      <c r="AR352" s="63">
        <f t="shared" si="237"/>
        <v>162.39097815887098</v>
      </c>
      <c r="AS352" s="60" t="str">
        <f t="shared" si="238"/>
        <v>0.127860487902788+0.259317029541838i</v>
      </c>
      <c r="AT352" s="66">
        <f t="shared" si="239"/>
        <v>-10.778268352598433</v>
      </c>
      <c r="AU352" s="63">
        <f t="shared" si="240"/>
        <v>63.753646912539054</v>
      </c>
      <c r="AX352" s="32">
        <f t="shared" si="241"/>
        <v>0</v>
      </c>
      <c r="AY352" s="32">
        <f t="shared" si="242"/>
        <v>0</v>
      </c>
    </row>
    <row r="353" spans="14:51" x14ac:dyDescent="0.3">
      <c r="N353" s="11">
        <v>35</v>
      </c>
      <c r="O353" s="52">
        <f t="shared" si="208"/>
        <v>22387.211385683382</v>
      </c>
      <c r="P353" s="50" t="str">
        <f t="shared" si="209"/>
        <v>131.578947368421</v>
      </c>
      <c r="Q353" s="18" t="str">
        <f t="shared" si="210"/>
        <v>1+210.994496470873i</v>
      </c>
      <c r="R353" s="18">
        <f t="shared" si="218"/>
        <v>210.99686618762192</v>
      </c>
      <c r="S353" s="18">
        <f t="shared" si="219"/>
        <v>1.5660569021685065</v>
      </c>
      <c r="T353" s="18" t="str">
        <f t="shared" si="211"/>
        <v>1+0.000464187892235922i</v>
      </c>
      <c r="U353" s="18">
        <f t="shared" si="220"/>
        <v>1.0000001077351939</v>
      </c>
      <c r="V353" s="18">
        <f t="shared" si="221"/>
        <v>4.6418785889634279E-4</v>
      </c>
      <c r="W353" s="32" t="str">
        <f t="shared" si="212"/>
        <v>1-0.112530398117799i</v>
      </c>
      <c r="X353" s="18">
        <f t="shared" si="222"/>
        <v>1.0063116269330044</v>
      </c>
      <c r="Y353" s="18">
        <f t="shared" si="223"/>
        <v>-0.11205898052456212</v>
      </c>
      <c r="Z353" s="32" t="str">
        <f t="shared" si="213"/>
        <v>0.999679240170479+0.0476279974489808i</v>
      </c>
      <c r="AA353" s="18">
        <f t="shared" si="224"/>
        <v>1.0008131740583885</v>
      </c>
      <c r="AB353" s="18">
        <f t="shared" si="225"/>
        <v>4.7607280306028871E-2</v>
      </c>
      <c r="AC353" s="68" t="str">
        <f t="shared" si="226"/>
        <v>-0.0964684002957027-0.619567088795332i</v>
      </c>
      <c r="AD353" s="66">
        <f t="shared" si="227"/>
        <v>-4.0542014690247345</v>
      </c>
      <c r="AE353" s="63">
        <f t="shared" si="228"/>
        <v>-98.850057842599327</v>
      </c>
      <c r="AF353" s="32" t="str">
        <f t="shared" si="214"/>
        <v>-0.434440565864413</v>
      </c>
      <c r="AG353" s="32" t="str">
        <f t="shared" si="215"/>
        <v>3.6713042385932i</v>
      </c>
      <c r="AH353" s="32">
        <f t="shared" si="229"/>
        <v>3.6713042385932</v>
      </c>
      <c r="AI353" s="32">
        <f t="shared" si="230"/>
        <v>1.5707963267948966</v>
      </c>
      <c r="AJ353" s="32" t="str">
        <f t="shared" si="216"/>
        <v>1+0.0363495469167644i</v>
      </c>
      <c r="AK353" s="32">
        <f t="shared" si="231"/>
        <v>1.0006604266988148</v>
      </c>
      <c r="AL353" s="32">
        <f t="shared" si="232"/>
        <v>3.6333550171020523E-2</v>
      </c>
      <c r="AM353" s="32" t="str">
        <f t="shared" si="217"/>
        <v>1+3.6713042385932i</v>
      </c>
      <c r="AN353" s="32">
        <f t="shared" si="233"/>
        <v>3.8050591075977249</v>
      </c>
      <c r="AO353" s="32">
        <f t="shared" si="234"/>
        <v>1.3048649627846993</v>
      </c>
      <c r="AP353" s="60" t="str">
        <f t="shared" si="235"/>
        <v>-0.429571585671308+0.133948855105514i</v>
      </c>
      <c r="AQ353" s="51">
        <f t="shared" si="236"/>
        <v>-6.9363064506326335</v>
      </c>
      <c r="AR353" s="63">
        <f t="shared" si="237"/>
        <v>162.68149612253217</v>
      </c>
      <c r="AS353" s="60" t="str">
        <f t="shared" si="238"/>
        <v>0.124430385887391+0.253226584990097i</v>
      </c>
      <c r="AT353" s="66">
        <f t="shared" si="239"/>
        <v>-10.990507919657365</v>
      </c>
      <c r="AU353" s="63">
        <f t="shared" si="240"/>
        <v>63.83143827993274</v>
      </c>
      <c r="AX353" s="32">
        <f t="shared" si="241"/>
        <v>0</v>
      </c>
      <c r="AY353" s="32">
        <f t="shared" si="242"/>
        <v>0</v>
      </c>
    </row>
    <row r="354" spans="14:51" x14ac:dyDescent="0.3">
      <c r="N354" s="11">
        <v>36</v>
      </c>
      <c r="O354" s="52">
        <f t="shared" si="208"/>
        <v>22908.676527677751</v>
      </c>
      <c r="P354" s="50" t="str">
        <f t="shared" si="209"/>
        <v>131.578947368421</v>
      </c>
      <c r="Q354" s="18" t="str">
        <f t="shared" si="210"/>
        <v>1+215.909189648452i</v>
      </c>
      <c r="R354" s="18">
        <f t="shared" si="218"/>
        <v>215.91150542444748</v>
      </c>
      <c r="S354" s="18">
        <f t="shared" si="219"/>
        <v>1.566164783083307</v>
      </c>
      <c r="T354" s="18" t="str">
        <f t="shared" si="211"/>
        <v>1+0.000475000217226596i</v>
      </c>
      <c r="U354" s="18">
        <f t="shared" si="220"/>
        <v>1.0000001128125968</v>
      </c>
      <c r="V354" s="18">
        <f t="shared" si="221"/>
        <v>4.7500018150259344E-4</v>
      </c>
      <c r="W354" s="32" t="str">
        <f t="shared" si="212"/>
        <v>1-0.115151567812508i</v>
      </c>
      <c r="X354" s="18">
        <f t="shared" si="222"/>
        <v>1.0066081082375995</v>
      </c>
      <c r="Y354" s="18">
        <f t="shared" si="223"/>
        <v>-0.11464661368450499</v>
      </c>
      <c r="Z354" s="32" t="str">
        <f t="shared" si="213"/>
        <v>0.99966412322544+0.048737396025908i</v>
      </c>
      <c r="AA354" s="18">
        <f t="shared" si="224"/>
        <v>1.0008514840052314</v>
      </c>
      <c r="AB354" s="18">
        <f t="shared" si="225"/>
        <v>4.8715198177766518E-2</v>
      </c>
      <c r="AC354" s="68" t="str">
        <f t="shared" si="226"/>
        <v>-0.0965929255538675-0.605257543389114i</v>
      </c>
      <c r="AD354" s="66">
        <f t="shared" si="227"/>
        <v>-4.2519708384279218</v>
      </c>
      <c r="AE354" s="63">
        <f t="shared" si="228"/>
        <v>-99.067358940345812</v>
      </c>
      <c r="AF354" s="32" t="str">
        <f t="shared" si="214"/>
        <v>-0.434440565864413</v>
      </c>
      <c r="AG354" s="32" t="str">
        <f t="shared" si="215"/>
        <v>3.75681989988308i</v>
      </c>
      <c r="AH354" s="32">
        <f t="shared" si="229"/>
        <v>3.7568198998830802</v>
      </c>
      <c r="AI354" s="32">
        <f t="shared" si="230"/>
        <v>1.5707963267948966</v>
      </c>
      <c r="AJ354" s="32" t="str">
        <f t="shared" si="216"/>
        <v>1+0.0371962366325057i</v>
      </c>
      <c r="AK354" s="32">
        <f t="shared" si="231"/>
        <v>1.0006915408954056</v>
      </c>
      <c r="AL354" s="32">
        <f t="shared" si="232"/>
        <v>3.7179096450311554E-2</v>
      </c>
      <c r="AM354" s="32" t="str">
        <f t="shared" si="217"/>
        <v>1+3.75681989988308i</v>
      </c>
      <c r="AN354" s="32">
        <f t="shared" si="233"/>
        <v>3.887633696756617</v>
      </c>
      <c r="AO354" s="32">
        <f t="shared" si="234"/>
        <v>1.3106459409918743</v>
      </c>
      <c r="AP354" s="60" t="str">
        <f t="shared" si="235"/>
        <v>-0.429544873010251+0.131617961852726i</v>
      </c>
      <c r="AQ354" s="51">
        <f t="shared" si="236"/>
        <v>-6.9500979160122176</v>
      </c>
      <c r="AR354" s="63">
        <f t="shared" si="237"/>
        <v>162.96427554207412</v>
      </c>
      <c r="AS354" s="60" t="str">
        <f t="shared" si="238"/>
        <v>0.121153760197588+0.247271910622781i</v>
      </c>
      <c r="AT354" s="66">
        <f t="shared" si="239"/>
        <v>-11.202068754440145</v>
      </c>
      <c r="AU354" s="63">
        <f t="shared" si="240"/>
        <v>63.896916601728215</v>
      </c>
      <c r="AX354" s="32">
        <f t="shared" si="241"/>
        <v>0</v>
      </c>
      <c r="AY354" s="32">
        <f t="shared" si="242"/>
        <v>0</v>
      </c>
    </row>
    <row r="355" spans="14:51" x14ac:dyDescent="0.3">
      <c r="N355" s="11">
        <v>37</v>
      </c>
      <c r="O355" s="52">
        <f t="shared" si="208"/>
        <v>23442.288153199243</v>
      </c>
      <c r="P355" s="50" t="str">
        <f t="shared" si="209"/>
        <v>131.578947368421</v>
      </c>
      <c r="Q355" s="18" t="str">
        <f t="shared" si="210"/>
        <v>1+220.938360736278i</v>
      </c>
      <c r="R355" s="18">
        <f t="shared" si="218"/>
        <v>220.94062379932242</v>
      </c>
      <c r="S355" s="18">
        <f t="shared" si="219"/>
        <v>1.5662702084328535</v>
      </c>
      <c r="T355" s="18" t="str">
        <f t="shared" si="211"/>
        <v>1+0.000486064393619812i</v>
      </c>
      <c r="U355" s="18">
        <f t="shared" si="220"/>
        <v>1.0000001181292903</v>
      </c>
      <c r="V355" s="18">
        <f t="shared" si="221"/>
        <v>4.8606435534085388E-4</v>
      </c>
      <c r="W355" s="32" t="str">
        <f t="shared" si="212"/>
        <v>1-0.117833792392682i</v>
      </c>
      <c r="X355" s="18">
        <f t="shared" si="222"/>
        <v>1.006918468710174</v>
      </c>
      <c r="Y355" s="18">
        <f t="shared" si="223"/>
        <v>-0.11729292487923589</v>
      </c>
      <c r="Z355" s="32" t="str">
        <f t="shared" si="213"/>
        <v>0.999648293840731+0.0498726358153235i</v>
      </c>
      <c r="AA355" s="18">
        <f t="shared" si="224"/>
        <v>1.0008915981173248</v>
      </c>
      <c r="AB355" s="18">
        <f t="shared" si="225"/>
        <v>4.9848851481285678E-2</v>
      </c>
      <c r="AC355" s="68" t="str">
        <f t="shared" si="226"/>
        <v>-0.0967110561359007-0.59126889090314i</v>
      </c>
      <c r="AD355" s="66">
        <f t="shared" si="227"/>
        <v>-4.4496370755362751</v>
      </c>
      <c r="AE355" s="63">
        <f t="shared" si="228"/>
        <v>-99.28934144992283</v>
      </c>
      <c r="AF355" s="32" t="str">
        <f t="shared" si="214"/>
        <v>-0.434440565864413</v>
      </c>
      <c r="AG355" s="32" t="str">
        <f t="shared" si="215"/>
        <v>3.84432747681124i</v>
      </c>
      <c r="AH355" s="32">
        <f t="shared" si="229"/>
        <v>3.8443274768112401</v>
      </c>
      <c r="AI355" s="32">
        <f t="shared" si="230"/>
        <v>1.5707963267948966</v>
      </c>
      <c r="AJ355" s="32" t="str">
        <f t="shared" si="216"/>
        <v>1+0.0380626482852598i</v>
      </c>
      <c r="AK355" s="32">
        <f t="shared" si="231"/>
        <v>1.0007241204220509</v>
      </c>
      <c r="AL355" s="32">
        <f t="shared" si="232"/>
        <v>3.8044282966823759E-2</v>
      </c>
      <c r="AM355" s="32" t="str">
        <f t="shared" si="217"/>
        <v>1+3.84432747681124i</v>
      </c>
      <c r="AN355" s="32">
        <f t="shared" si="233"/>
        <v>3.9722605338731092</v>
      </c>
      <c r="AO355" s="32">
        <f t="shared" si="234"/>
        <v>1.3163125718139841</v>
      </c>
      <c r="AP355" s="60" t="str">
        <f t="shared" si="235"/>
        <v>-0.429516904980801+0.129356760641342i</v>
      </c>
      <c r="AQ355" s="51">
        <f t="shared" si="236"/>
        <v>-6.963332945900655</v>
      </c>
      <c r="AR355" s="63">
        <f t="shared" si="237"/>
        <v>163.23937803635195</v>
      </c>
      <c r="AS355" s="60" t="str">
        <f t="shared" si="238"/>
        <v>0.118023661904146+0.241449755092204i</v>
      </c>
      <c r="AT355" s="66">
        <f t="shared" si="239"/>
        <v>-11.412970021436941</v>
      </c>
      <c r="AU355" s="63">
        <f t="shared" si="240"/>
        <v>63.950036586429022</v>
      </c>
      <c r="AX355" s="32">
        <f t="shared" si="241"/>
        <v>0</v>
      </c>
      <c r="AY355" s="32">
        <f t="shared" si="242"/>
        <v>0</v>
      </c>
    </row>
    <row r="356" spans="14:51" x14ac:dyDescent="0.3">
      <c r="N356" s="11">
        <v>38</v>
      </c>
      <c r="O356" s="52">
        <f t="shared" si="208"/>
        <v>23988.329190194923</v>
      </c>
      <c r="P356" s="50" t="str">
        <f t="shared" si="209"/>
        <v>131.578947368421</v>
      </c>
      <c r="Q356" s="18" t="str">
        <f t="shared" si="210"/>
        <v>1+226.08467626743i</v>
      </c>
      <c r="R356" s="18">
        <f t="shared" si="218"/>
        <v>226.08688781738013</v>
      </c>
      <c r="S356" s="18">
        <f t="shared" si="219"/>
        <v>1.5663732341056824</v>
      </c>
      <c r="T356" s="18" t="str">
        <f t="shared" si="211"/>
        <v>1+0.000497386287788346i</v>
      </c>
      <c r="U356" s="18">
        <f t="shared" si="220"/>
        <v>1.0000001236965521</v>
      </c>
      <c r="V356" s="18">
        <f t="shared" si="221"/>
        <v>4.9738624677170371E-4</v>
      </c>
      <c r="W356" s="32" t="str">
        <f t="shared" si="212"/>
        <v>1-0.120578494009296i</v>
      </c>
      <c r="X356" s="18">
        <f t="shared" si="222"/>
        <v>1.0072433535236407</v>
      </c>
      <c r="Y356" s="18">
        <f t="shared" si="223"/>
        <v>-0.119999168881846</v>
      </c>
      <c r="Z356" s="32" t="str">
        <f t="shared" si="213"/>
        <v>0.999631718440104+0.0510343187363906i</v>
      </c>
      <c r="AA356" s="18">
        <f t="shared" si="224"/>
        <v>1.0009336012945129</v>
      </c>
      <c r="AB356" s="18">
        <f t="shared" si="225"/>
        <v>5.1008834584801335E-2</v>
      </c>
      <c r="AC356" s="68" t="str">
        <f t="shared" si="226"/>
        <v>-0.0968230427709309-0.577593720416535i</v>
      </c>
      <c r="AD356" s="66">
        <f t="shared" si="227"/>
        <v>-4.647195452847674</v>
      </c>
      <c r="AE356" s="63">
        <f t="shared" si="228"/>
        <v>-99.516114185382435</v>
      </c>
      <c r="AF356" s="32" t="str">
        <f t="shared" si="214"/>
        <v>-0.434440565864413</v>
      </c>
      <c r="AG356" s="32" t="str">
        <f t="shared" si="215"/>
        <v>3.93387336705328i</v>
      </c>
      <c r="AH356" s="32">
        <f t="shared" si="229"/>
        <v>3.9338733670532799</v>
      </c>
      <c r="AI356" s="32">
        <f t="shared" si="230"/>
        <v>1.5707963267948966</v>
      </c>
      <c r="AJ356" s="32" t="str">
        <f t="shared" si="216"/>
        <v>1+0.0389492412579533i</v>
      </c>
      <c r="AK356" s="32">
        <f t="shared" si="231"/>
        <v>1.0007582342377055</v>
      </c>
      <c r="AL356" s="32">
        <f t="shared" si="232"/>
        <v>3.8929563269876087E-2</v>
      </c>
      <c r="AM356" s="32" t="str">
        <f t="shared" si="217"/>
        <v>1+3.93387336705328i</v>
      </c>
      <c r="AN356" s="32">
        <f t="shared" si="233"/>
        <v>4.0589850539280263</v>
      </c>
      <c r="AO356" s="32">
        <f t="shared" si="234"/>
        <v>1.3218664034952212</v>
      </c>
      <c r="AP356" s="60" t="str">
        <f t="shared" si="235"/>
        <v>-0.42948762276202+0.127164045881927i</v>
      </c>
      <c r="AQ356" s="51">
        <f t="shared" si="236"/>
        <v>-6.9760345002387165</v>
      </c>
      <c r="AR356" s="63">
        <f t="shared" si="237"/>
        <v>163.50686632676189</v>
      </c>
      <c r="AS356" s="60" t="str">
        <f t="shared" si="238"/>
        <v>0.115033452832434+0.235756944050618i</v>
      </c>
      <c r="AT356" s="66">
        <f t="shared" si="239"/>
        <v>-11.623229953086385</v>
      </c>
      <c r="AU356" s="63">
        <f t="shared" si="240"/>
        <v>63.990752141379396</v>
      </c>
      <c r="AX356" s="32">
        <f t="shared" si="241"/>
        <v>0</v>
      </c>
      <c r="AY356" s="32">
        <f t="shared" si="242"/>
        <v>0</v>
      </c>
    </row>
    <row r="357" spans="14:51" x14ac:dyDescent="0.3">
      <c r="N357" s="11">
        <v>39</v>
      </c>
      <c r="O357" s="52">
        <f t="shared" si="208"/>
        <v>24547.089156850321</v>
      </c>
      <c r="P357" s="50" t="str">
        <f t="shared" si="209"/>
        <v>131.578947368421</v>
      </c>
      <c r="Q357" s="18" t="str">
        <f t="shared" si="210"/>
        <v>1+231.350864886523i</v>
      </c>
      <c r="R357" s="18">
        <f t="shared" si="218"/>
        <v>231.353026095926</v>
      </c>
      <c r="S357" s="18">
        <f t="shared" si="219"/>
        <v>1.5664739147186157</v>
      </c>
      <c r="T357" s="18" t="str">
        <f t="shared" si="211"/>
        <v>1+0.000508971902750352i</v>
      </c>
      <c r="U357" s="18">
        <f t="shared" si="220"/>
        <v>1.0000001295261904</v>
      </c>
      <c r="V357" s="18">
        <f t="shared" si="221"/>
        <v>5.0897185880022819E-4</v>
      </c>
      <c r="W357" s="32" t="str">
        <f t="shared" si="212"/>
        <v>1-0.123387127939479i</v>
      </c>
      <c r="X357" s="18">
        <f t="shared" si="222"/>
        <v>1.0075834374091077</v>
      </c>
      <c r="Y357" s="18">
        <f t="shared" si="223"/>
        <v>-0.12276662193446819</v>
      </c>
      <c r="Z357" s="32" t="str">
        <f t="shared" si="213"/>
        <v>0.999614361864912+0.0522230607287708i</v>
      </c>
      <c r="AA357" s="18">
        <f t="shared" si="224"/>
        <v>1.0009775824255387</v>
      </c>
      <c r="AB357" s="18">
        <f t="shared" si="225"/>
        <v>5.2195755338743322E-2</v>
      </c>
      <c r="AC357" s="68" t="str">
        <f t="shared" si="226"/>
        <v>-0.0969291231774194-0.564224787139988i</v>
      </c>
      <c r="AD357" s="66">
        <f t="shared" si="227"/>
        <v>-4.844641035146819</v>
      </c>
      <c r="AE357" s="63">
        <f t="shared" si="228"/>
        <v>-99.747787882643195</v>
      </c>
      <c r="AF357" s="32" t="str">
        <f t="shared" si="214"/>
        <v>-0.434440565864413</v>
      </c>
      <c r="AG357" s="32" t="str">
        <f t="shared" si="215"/>
        <v>4.02550504902551i</v>
      </c>
      <c r="AH357" s="32">
        <f t="shared" si="229"/>
        <v>4.0255050490255098</v>
      </c>
      <c r="AI357" s="32">
        <f t="shared" si="230"/>
        <v>1.5707963267948966</v>
      </c>
      <c r="AJ357" s="32" t="str">
        <f t="shared" si="216"/>
        <v>1+0.039856485633916i</v>
      </c>
      <c r="AK357" s="32">
        <f t="shared" si="231"/>
        <v>1.0007939545416362</v>
      </c>
      <c r="AL357" s="32">
        <f t="shared" si="232"/>
        <v>3.983540119313287E-2</v>
      </c>
      <c r="AM357" s="32" t="str">
        <f t="shared" si="217"/>
        <v>1+4.02550504902551i</v>
      </c>
      <c r="AN357" s="32">
        <f t="shared" si="233"/>
        <v>4.14785377029252</v>
      </c>
      <c r="AO357" s="32">
        <f t="shared" si="234"/>
        <v>1.3273090097092806</v>
      </c>
      <c r="AP357" s="60" t="str">
        <f t="shared" si="235"/>
        <v>-0.42945696479378+0.125038647822777i</v>
      </c>
      <c r="AQ357" s="51">
        <f t="shared" si="236"/>
        <v>-6.988224820583234</v>
      </c>
      <c r="AR357" s="63">
        <f t="shared" si="237"/>
        <v>163.76680400245368</v>
      </c>
      <c r="AS357" s="60" t="str">
        <f t="shared" si="238"/>
        <v>0.112176791491975+0.230190378049804i</v>
      </c>
      <c r="AT357" s="66">
        <f t="shared" si="239"/>
        <v>-11.832865855730056</v>
      </c>
      <c r="AU357" s="63">
        <f t="shared" si="240"/>
        <v>64.019016119810544</v>
      </c>
      <c r="AX357" s="32">
        <f t="shared" si="241"/>
        <v>0</v>
      </c>
      <c r="AY357" s="32">
        <f t="shared" si="242"/>
        <v>0</v>
      </c>
    </row>
    <row r="358" spans="14:51" x14ac:dyDescent="0.3">
      <c r="N358" s="11">
        <v>40</v>
      </c>
      <c r="O358" s="52">
        <f t="shared" si="208"/>
        <v>25118.86431509586</v>
      </c>
      <c r="P358" s="50" t="str">
        <f t="shared" si="209"/>
        <v>131.578947368421</v>
      </c>
      <c r="Q358" s="18" t="str">
        <f t="shared" si="210"/>
        <v>1+236.739718796472i</v>
      </c>
      <c r="R358" s="18">
        <f t="shared" si="218"/>
        <v>236.74183081118687</v>
      </c>
      <c r="S358" s="18">
        <f t="shared" si="219"/>
        <v>1.5665723036456782</v>
      </c>
      <c r="T358" s="18" t="str">
        <f t="shared" si="211"/>
        <v>1+0.000520827381352238i</v>
      </c>
      <c r="U358" s="18">
        <f t="shared" si="220"/>
        <v>1.0000001356305714</v>
      </c>
      <c r="V358" s="18">
        <f t="shared" si="221"/>
        <v>5.2082733425883217E-4</v>
      </c>
      <c r="W358" s="32" t="str">
        <f t="shared" si="212"/>
        <v>1-0.126261183358118i</v>
      </c>
      <c r="X358" s="18">
        <f t="shared" si="222"/>
        <v>1.0079394259691365</v>
      </c>
      <c r="Y358" s="18">
        <f t="shared" si="223"/>
        <v>-0.12559658172355206</v>
      </c>
      <c r="Z358" s="32" t="str">
        <f t="shared" si="213"/>
        <v>0.999596187299533+0.0534394920792036i</v>
      </c>
      <c r="AA358" s="18">
        <f t="shared" si="224"/>
        <v>1.0010236345748518</v>
      </c>
      <c r="AB358" s="18">
        <f t="shared" si="225"/>
        <v>5.341023536405199E-2</v>
      </c>
      <c r="AC358" s="68" t="str">
        <f t="shared" si="226"/>
        <v>-0.0970295225689094-0.551155008602809i</v>
      </c>
      <c r="AD358" s="66">
        <f t="shared" si="227"/>
        <v>-5.0419686710087959</v>
      </c>
      <c r="AE358" s="63">
        <f t="shared" si="228"/>
        <v>-99.984475216066144</v>
      </c>
      <c r="AF358" s="32" t="str">
        <f t="shared" si="214"/>
        <v>-0.434440565864413</v>
      </c>
      <c r="AG358" s="32" t="str">
        <f t="shared" si="215"/>
        <v>4.11927110705862i</v>
      </c>
      <c r="AH358" s="32">
        <f t="shared" si="229"/>
        <v>4.1192711070586201</v>
      </c>
      <c r="AI358" s="32">
        <f t="shared" si="230"/>
        <v>1.5707963267948966</v>
      </c>
      <c r="AJ358" s="32" t="str">
        <f t="shared" si="216"/>
        <v>1+0.0407848624461249i</v>
      </c>
      <c r="AK358" s="32">
        <f t="shared" si="231"/>
        <v>1.0008313569252061</v>
      </c>
      <c r="AL358" s="32">
        <f t="shared" si="232"/>
        <v>4.0762271074232588E-2</v>
      </c>
      <c r="AM358" s="32" t="str">
        <f t="shared" si="217"/>
        <v>1+4.11927110705862i</v>
      </c>
      <c r="AN358" s="32">
        <f t="shared" si="233"/>
        <v>4.2389143012625228</v>
      </c>
      <c r="AO358" s="32">
        <f t="shared" si="234"/>
        <v>1.3326419858828078</v>
      </c>
      <c r="AP358" s="60" t="str">
        <f t="shared" si="235"/>
        <v>-0.42942486665083+0.122979431896041i</v>
      </c>
      <c r="AQ358" s="51">
        <f t="shared" si="236"/>
        <v>-6.9999254452223871</v>
      </c>
      <c r="AR358" s="63">
        <f t="shared" si="237"/>
        <v>164.01925529709578</v>
      </c>
      <c r="AS358" s="60" t="str">
        <f t="shared" si="238"/>
        <v>0.109447619634979+0.22474703051053i</v>
      </c>
      <c r="AT358" s="66">
        <f t="shared" si="239"/>
        <v>-12.04189411623117</v>
      </c>
      <c r="AU358" s="63">
        <f t="shared" si="240"/>
        <v>64.034780081029567</v>
      </c>
      <c r="AX358" s="32">
        <f t="shared" si="241"/>
        <v>0</v>
      </c>
      <c r="AY358" s="32">
        <f t="shared" si="242"/>
        <v>0</v>
      </c>
    </row>
    <row r="359" spans="14:51" x14ac:dyDescent="0.3">
      <c r="N359" s="11">
        <v>41</v>
      </c>
      <c r="O359" s="52">
        <f t="shared" si="208"/>
        <v>25703.95782768865</v>
      </c>
      <c r="P359" s="50" t="str">
        <f t="shared" si="209"/>
        <v>131.578947368421</v>
      </c>
      <c r="Q359" s="18" t="str">
        <f t="shared" si="210"/>
        <v>1+242.254095238945i</v>
      </c>
      <c r="R359" s="18">
        <f t="shared" si="218"/>
        <v>242.25615917874998</v>
      </c>
      <c r="S359" s="18">
        <f t="shared" si="219"/>
        <v>1.5666684530463573</v>
      </c>
      <c r="T359" s="18" t="str">
        <f t="shared" si="211"/>
        <v>1+0.00053295900952568i</v>
      </c>
      <c r="U359" s="18">
        <f t="shared" si="220"/>
        <v>1.000000142022643</v>
      </c>
      <c r="V359" s="18">
        <f t="shared" si="221"/>
        <v>5.3295895906418694E-4</v>
      </c>
      <c r="W359" s="32" t="str">
        <f t="shared" si="212"/>
        <v>1-0.129202184127438i</v>
      </c>
      <c r="X359" s="18">
        <f t="shared" si="222"/>
        <v>1.0083120570454864</v>
      </c>
      <c r="Y359" s="18">
        <f t="shared" si="223"/>
        <v>-0.12849036732057081</v>
      </c>
      <c r="Z359" s="32" t="str">
        <f t="shared" si="213"/>
        <v>0.999577156193275+0.0546842577556918i</v>
      </c>
      <c r="AA359" s="18">
        <f t="shared" si="224"/>
        <v>1.0010718551781015</v>
      </c>
      <c r="AB359" s="18">
        <f t="shared" si="225"/>
        <v>5.4652910345367525E-2</v>
      </c>
      <c r="AC359" s="68" t="str">
        <f t="shared" si="226"/>
        <v>-0.0971244541334327-0.538377460925709i</v>
      </c>
      <c r="AD359" s="66">
        <f t="shared" si="227"/>
        <v>-5.2391729840265508</v>
      </c>
      <c r="AE359" s="63">
        <f t="shared" si="228"/>
        <v>-100.22629081328861</v>
      </c>
      <c r="AF359" s="32" t="str">
        <f t="shared" si="214"/>
        <v>-0.434440565864413</v>
      </c>
      <c r="AG359" s="32" t="str">
        <f t="shared" si="215"/>
        <v>4.21522125715765i</v>
      </c>
      <c r="AH359" s="32">
        <f t="shared" si="229"/>
        <v>4.2152212571576504</v>
      </c>
      <c r="AI359" s="32">
        <f t="shared" si="230"/>
        <v>1.5707963267948966</v>
      </c>
      <c r="AJ359" s="32" t="str">
        <f t="shared" si="216"/>
        <v>1+0.041734863932254i</v>
      </c>
      <c r="AK359" s="32">
        <f t="shared" si="231"/>
        <v>1.0008705205307247</v>
      </c>
      <c r="AL359" s="32">
        <f t="shared" si="232"/>
        <v>4.1710657978121485E-2</v>
      </c>
      <c r="AM359" s="32" t="str">
        <f t="shared" si="217"/>
        <v>1+4.21522125715765i</v>
      </c>
      <c r="AN359" s="32">
        <f t="shared" si="233"/>
        <v>4.3322153970911605</v>
      </c>
      <c r="AO359" s="32">
        <f t="shared" si="234"/>
        <v>1.3378669457201209</v>
      </c>
      <c r="AP359" s="60" t="str">
        <f t="shared" si="235"/>
        <v>-0.429391260911236+0.120985298080126i</v>
      </c>
      <c r="AQ359" s="51">
        <f t="shared" si="236"/>
        <v>-7.0111572251093532</v>
      </c>
      <c r="AR359" s="63">
        <f t="shared" si="237"/>
        <v>164.26428487696089</v>
      </c>
      <c r="AS359" s="60" t="str">
        <f t="shared" si="238"/>
        <v>0.106840149415388+0.219423945758877i</v>
      </c>
      <c r="AT359" s="66">
        <f t="shared" si="239"/>
        <v>-12.25033020913591</v>
      </c>
      <c r="AU359" s="63">
        <f t="shared" si="240"/>
        <v>64.037994063672372</v>
      </c>
      <c r="AX359" s="32">
        <f t="shared" si="241"/>
        <v>0</v>
      </c>
      <c r="AY359" s="32">
        <f t="shared" si="242"/>
        <v>0</v>
      </c>
    </row>
    <row r="360" spans="14:51" x14ac:dyDescent="0.3">
      <c r="N360" s="11">
        <v>42</v>
      </c>
      <c r="O360" s="52">
        <f t="shared" si="208"/>
        <v>26302.679918953829</v>
      </c>
      <c r="P360" s="50" t="str">
        <f t="shared" si="209"/>
        <v>131.578947368421</v>
      </c>
      <c r="Q360" s="18" t="str">
        <f t="shared" si="210"/>
        <v>1+247.896918009327i</v>
      </c>
      <c r="R360" s="18">
        <f t="shared" si="218"/>
        <v>247.89893496851295</v>
      </c>
      <c r="S360" s="18">
        <f t="shared" si="219"/>
        <v>1.5667624138932228</v>
      </c>
      <c r="T360" s="18" t="str">
        <f t="shared" si="211"/>
        <v>1+0.000545373219620519i</v>
      </c>
      <c r="U360" s="18">
        <f t="shared" si="220"/>
        <v>1.0000001487159633</v>
      </c>
      <c r="V360" s="18">
        <f t="shared" si="221"/>
        <v>5.4537316555005547E-4</v>
      </c>
      <c r="W360" s="32" t="str">
        <f t="shared" si="212"/>
        <v>1-0.132211689604974i</v>
      </c>
      <c r="X360" s="18">
        <f t="shared" si="222"/>
        <v>1.0087021021432454</v>
      </c>
      <c r="Y360" s="18">
        <f t="shared" si="223"/>
        <v>-0.13144931908533022</v>
      </c>
      <c r="Z360" s="32" t="str">
        <f t="shared" si="213"/>
        <v>0.999557228178612+0.0559580177494738i</v>
      </c>
      <c r="AA360" s="18">
        <f t="shared" si="224"/>
        <v>1.0011223462467314</v>
      </c>
      <c r="AB360" s="18">
        <f t="shared" si="225"/>
        <v>5.5924430329102687E-2</v>
      </c>
      <c r="AC360" s="68" t="str">
        <f t="shared" si="226"/>
        <v>-0.0972141194876209-0.525885375177555i</v>
      </c>
      <c r="AD360" s="66">
        <f t="shared" si="227"/>
        <v>-5.4362483637585823</v>
      </c>
      <c r="AE360" s="63">
        <f t="shared" si="228"/>
        <v>-100.47335126815388</v>
      </c>
      <c r="AF360" s="32" t="str">
        <f t="shared" si="214"/>
        <v>-0.434440565864413</v>
      </c>
      <c r="AG360" s="32" t="str">
        <f t="shared" si="215"/>
        <v>4.31340637336229i</v>
      </c>
      <c r="AH360" s="32">
        <f t="shared" si="229"/>
        <v>4.31340637336229</v>
      </c>
      <c r="AI360" s="32">
        <f t="shared" si="230"/>
        <v>1.5707963267948966</v>
      </c>
      <c r="AJ360" s="32" t="str">
        <f t="shared" si="216"/>
        <v>1+0.0427069937956663i</v>
      </c>
      <c r="AK360" s="32">
        <f t="shared" si="231"/>
        <v>1.0009115282176857</v>
      </c>
      <c r="AL360" s="32">
        <f t="shared" si="232"/>
        <v>4.2681057924080286E-2</v>
      </c>
      <c r="AM360" s="32" t="str">
        <f t="shared" si="217"/>
        <v>1+4.31340637336229i</v>
      </c>
      <c r="AN360" s="32">
        <f t="shared" si="233"/>
        <v>4.4278069675362337</v>
      </c>
      <c r="AO360" s="32">
        <f t="shared" si="234"/>
        <v>1.3429855179245811</v>
      </c>
      <c r="AP360" s="60" t="str">
        <f t="shared" si="235"/>
        <v>-0.429356077018944+0.11905518027788i</v>
      </c>
      <c r="AQ360" s="51">
        <f t="shared" si="236"/>
        <v>-7.0219403405018186</v>
      </c>
      <c r="AR360" s="63">
        <f t="shared" si="237"/>
        <v>164.50195764006625</v>
      </c>
      <c r="AS360" s="60" t="str">
        <f t="shared" si="238"/>
        <v>0.10434885112132+0.214218237126717i</v>
      </c>
      <c r="AT360" s="66">
        <f t="shared" si="239"/>
        <v>-12.458188704260387</v>
      </c>
      <c r="AU360" s="63">
        <f t="shared" si="240"/>
        <v>64.028606371912446</v>
      </c>
      <c r="AX360" s="32">
        <f t="shared" si="241"/>
        <v>0</v>
      </c>
      <c r="AY360" s="32">
        <f t="shared" si="242"/>
        <v>0</v>
      </c>
    </row>
    <row r="361" spans="14:51" x14ac:dyDescent="0.3">
      <c r="N361" s="11">
        <v>43</v>
      </c>
      <c r="O361" s="52">
        <f t="shared" si="208"/>
        <v>26915.348039269167</v>
      </c>
      <c r="P361" s="50" t="str">
        <f t="shared" si="209"/>
        <v>131.578947368421</v>
      </c>
      <c r="Q361" s="18" t="str">
        <f t="shared" si="210"/>
        <v>1+253.671179006941i</v>
      </c>
      <c r="R361" s="18">
        <f t="shared" si="218"/>
        <v>253.67315005489152</v>
      </c>
      <c r="S361" s="18">
        <f t="shared" si="219"/>
        <v>1.566854235998919</v>
      </c>
      <c r="T361" s="18" t="str">
        <f t="shared" si="211"/>
        <v>1+0.000558076593815271i</v>
      </c>
      <c r="U361" s="18">
        <f t="shared" si="220"/>
        <v>1.0000001557247302</v>
      </c>
      <c r="V361" s="18">
        <f t="shared" si="221"/>
        <v>5.58076535877726E-4</v>
      </c>
      <c r="W361" s="32" t="str">
        <f t="shared" si="212"/>
        <v>1-0.135291295470369i</v>
      </c>
      <c r="X361" s="18">
        <f t="shared" si="222"/>
        <v>1.0091103679132678</v>
      </c>
      <c r="Y361" s="18">
        <f t="shared" si="223"/>
        <v>-0.1344747985288936</v>
      </c>
      <c r="Z361" s="32" t="str">
        <f t="shared" si="213"/>
        <v>0.999536360985552+0.0572614474249587i</v>
      </c>
      <c r="AA361" s="18">
        <f t="shared" si="224"/>
        <v>1.0011752145820636</v>
      </c>
      <c r="AB361" s="18">
        <f t="shared" si="225"/>
        <v>5.7225460026372257E-2</v>
      </c>
      <c r="AC361" s="68" t="str">
        <f t="shared" si="226"/>
        <v>-0.0972987091064991-0.513672133814253i</v>
      </c>
      <c r="AD361" s="66">
        <f t="shared" si="227"/>
        <v>-5.633188956395915</v>
      </c>
      <c r="AE361" s="63">
        <f t="shared" si="228"/>
        <v>-100.72577515156543</v>
      </c>
      <c r="AF361" s="32" t="str">
        <f t="shared" si="214"/>
        <v>-0.434440565864413</v>
      </c>
      <c r="AG361" s="32" t="str">
        <f t="shared" si="215"/>
        <v>4.41387851472079i</v>
      </c>
      <c r="AH361" s="32">
        <f t="shared" si="229"/>
        <v>4.41387851472079</v>
      </c>
      <c r="AI361" s="32">
        <f t="shared" si="230"/>
        <v>1.5707963267948966</v>
      </c>
      <c r="AJ361" s="32" t="str">
        <f t="shared" si="216"/>
        <v>1+0.043701767472483i</v>
      </c>
      <c r="AK361" s="32">
        <f t="shared" si="231"/>
        <v>1.0009544667367338</v>
      </c>
      <c r="AL361" s="32">
        <f t="shared" si="232"/>
        <v>4.3673978116420507E-2</v>
      </c>
      <c r="AM361" s="32" t="str">
        <f t="shared" si="217"/>
        <v>1+4.41387851472079i</v>
      </c>
      <c r="AN361" s="32">
        <f t="shared" si="233"/>
        <v>4.5257401099393464</v>
      </c>
      <c r="AO361" s="32">
        <f t="shared" si="234"/>
        <v>1.3479993431114425</v>
      </c>
      <c r="AP361" s="60" t="str">
        <f t="shared" si="235"/>
        <v>-0.429319241140238+0.117188045710049i</v>
      </c>
      <c r="AQ361" s="51">
        <f t="shared" si="236"/>
        <v>-7.0322943182024789</v>
      </c>
      <c r="AR361" s="63">
        <f t="shared" si="237"/>
        <v>164.73233852607547</v>
      </c>
      <c r="AS361" s="60" t="str">
        <f t="shared" si="238"/>
        <v>0.10196844145493+0.209127085113721i</v>
      </c>
      <c r="AT361" s="66">
        <f t="shared" si="239"/>
        <v>-12.665483274598383</v>
      </c>
      <c r="AU361" s="63">
        <f t="shared" si="240"/>
        <v>64.006563374510066</v>
      </c>
      <c r="AX361" s="32">
        <f t="shared" si="241"/>
        <v>0</v>
      </c>
      <c r="AY361" s="32">
        <f t="shared" si="242"/>
        <v>0</v>
      </c>
    </row>
    <row r="362" spans="14:51" x14ac:dyDescent="0.3">
      <c r="N362" s="11">
        <v>44</v>
      </c>
      <c r="O362" s="52">
        <f t="shared" si="208"/>
        <v>27542.287033381719</v>
      </c>
      <c r="P362" s="50" t="str">
        <f t="shared" si="209"/>
        <v>131.578947368421</v>
      </c>
      <c r="Q362" s="18" t="str">
        <f t="shared" si="210"/>
        <v>1+259.5799398214i</v>
      </c>
      <c r="R362" s="18">
        <f t="shared" si="218"/>
        <v>259.58186600315832</v>
      </c>
      <c r="S362" s="18">
        <f t="shared" si="219"/>
        <v>1.5669439680425454</v>
      </c>
      <c r="T362" s="18" t="str">
        <f t="shared" si="211"/>
        <v>1+0.000571075867607081i</v>
      </c>
      <c r="U362" s="18">
        <f t="shared" si="220"/>
        <v>1.00000016306381</v>
      </c>
      <c r="V362" s="18">
        <f t="shared" si="221"/>
        <v>5.7107580552588362E-4</v>
      </c>
      <c r="W362" s="32" t="str">
        <f t="shared" si="212"/>
        <v>1-0.138442634571414i</v>
      </c>
      <c r="X362" s="18">
        <f t="shared" si="222"/>
        <v>1.0095376976948776</v>
      </c>
      <c r="Y362" s="18">
        <f t="shared" si="223"/>
        <v>-0.13756818813293961</v>
      </c>
      <c r="Z362" s="32" t="str">
        <f t="shared" si="213"/>
        <v>0.999514510351981+0.0585952378778132i</v>
      </c>
      <c r="AA362" s="18">
        <f t="shared" si="224"/>
        <v>1.0012305719993362</v>
      </c>
      <c r="AB362" s="18">
        <f t="shared" si="225"/>
        <v>5.8556679120748203E-2</v>
      </c>
      <c r="AC362" s="68" t="str">
        <f t="shared" si="226"/>
        <v>-0.0973784027298756-0.501731267198043i</v>
      </c>
      <c r="AD362" s="66">
        <f t="shared" si="227"/>
        <v>-5.8299886551471491</v>
      </c>
      <c r="AE362" s="63">
        <f t="shared" si="228"/>
        <v>-100.98368302008114</v>
      </c>
      <c r="AF362" s="32" t="str">
        <f t="shared" si="214"/>
        <v>-0.434440565864413</v>
      </c>
      <c r="AG362" s="32" t="str">
        <f t="shared" si="215"/>
        <v>4.51669095289237i</v>
      </c>
      <c r="AH362" s="32">
        <f t="shared" si="229"/>
        <v>4.51669095289237</v>
      </c>
      <c r="AI362" s="32">
        <f t="shared" si="230"/>
        <v>1.5707963267948966</v>
      </c>
      <c r="AJ362" s="32" t="str">
        <f t="shared" si="216"/>
        <v>1+0.044719712404875i</v>
      </c>
      <c r="AK362" s="32">
        <f t="shared" si="231"/>
        <v>1.0009994269117113</v>
      </c>
      <c r="AL362" s="32">
        <f t="shared" si="232"/>
        <v>4.4689937178825863E-2</v>
      </c>
      <c r="AM362" s="32" t="str">
        <f t="shared" si="217"/>
        <v>1+4.51669095289237i</v>
      </c>
      <c r="AN362" s="32">
        <f t="shared" si="233"/>
        <v>4.6260671378547658</v>
      </c>
      <c r="AO362" s="32">
        <f t="shared" si="234"/>
        <v>1.3529100709066719</v>
      </c>
      <c r="AP362" s="60" t="str">
        <f t="shared" si="235"/>
        <v>-0.429280676013824+0.115382894323504i</v>
      </c>
      <c r="AQ362" s="51">
        <f t="shared" si="236"/>
        <v>-7.042238049304272</v>
      </c>
      <c r="AR362" s="63">
        <f t="shared" si="237"/>
        <v>164.95549233664568</v>
      </c>
      <c r="AS362" s="60" t="str">
        <f t="shared" si="238"/>
        <v>0.0996938723349369+0.204147735608476i</v>
      </c>
      <c r="AT362" s="66">
        <f t="shared" si="239"/>
        <v>-12.872226704451409</v>
      </c>
      <c r="AU362" s="63">
        <f t="shared" si="240"/>
        <v>63.971809316564567</v>
      </c>
      <c r="AX362" s="32">
        <f t="shared" si="241"/>
        <v>0</v>
      </c>
      <c r="AY362" s="32">
        <f t="shared" si="242"/>
        <v>0</v>
      </c>
    </row>
    <row r="363" spans="14:51" x14ac:dyDescent="0.3">
      <c r="N363" s="11">
        <v>45</v>
      </c>
      <c r="O363" s="52">
        <f t="shared" si="208"/>
        <v>28183.829312644593</v>
      </c>
      <c r="P363" s="50" t="str">
        <f t="shared" si="209"/>
        <v>131.578947368421</v>
      </c>
      <c r="Q363" s="18" t="str">
        <f t="shared" si="210"/>
        <v>1+265.626333355899i</v>
      </c>
      <c r="R363" s="18">
        <f t="shared" si="218"/>
        <v>265.62821569272188</v>
      </c>
      <c r="S363" s="18">
        <f t="shared" si="219"/>
        <v>1.5670316575954353</v>
      </c>
      <c r="T363" s="18" t="str">
        <f t="shared" si="211"/>
        <v>1+0.000584377933382978i</v>
      </c>
      <c r="U363" s="18">
        <f t="shared" si="220"/>
        <v>1.00000017074877</v>
      </c>
      <c r="V363" s="18">
        <f t="shared" si="221"/>
        <v>5.843778668617771E-4</v>
      </c>
      <c r="W363" s="32" t="str">
        <f t="shared" si="212"/>
        <v>1-0.141667377789813i</v>
      </c>
      <c r="X363" s="18">
        <f t="shared" si="222"/>
        <v>1.009984973120809</v>
      </c>
      <c r="Y363" s="18">
        <f t="shared" si="223"/>
        <v>-0.14073089112224899</v>
      </c>
      <c r="Z363" s="32" t="str">
        <f t="shared" si="213"/>
        <v>0.999491629929776+0.05996009630139i</v>
      </c>
      <c r="AA363" s="18">
        <f t="shared" si="224"/>
        <v>1.0012885355621286</v>
      </c>
      <c r="AB363" s="18">
        <f t="shared" si="225"/>
        <v>5.9918782580798108E-2</v>
      </c>
      <c r="AC363" s="68" t="str">
        <f t="shared" si="226"/>
        <v>-0.0974533697462318-0.490056450195429i</v>
      </c>
      <c r="AD363" s="66">
        <f t="shared" si="227"/>
        <v>-6.0266410903428644</v>
      </c>
      <c r="AE363" s="63">
        <f t="shared" si="228"/>
        <v>-101.24719742205764</v>
      </c>
      <c r="AF363" s="32" t="str">
        <f t="shared" si="214"/>
        <v>-0.434440565864413</v>
      </c>
      <c r="AG363" s="32" t="str">
        <f t="shared" si="215"/>
        <v>4.62189820039265i</v>
      </c>
      <c r="AH363" s="32">
        <f t="shared" si="229"/>
        <v>4.6218982003926499</v>
      </c>
      <c r="AI363" s="32">
        <f t="shared" si="230"/>
        <v>1.5707963267948966</v>
      </c>
      <c r="AJ363" s="32" t="str">
        <f t="shared" si="216"/>
        <v>1+0.0457613683207193i</v>
      </c>
      <c r="AK363" s="32">
        <f t="shared" si="231"/>
        <v>1.001046503830159</v>
      </c>
      <c r="AL363" s="32">
        <f t="shared" si="232"/>
        <v>4.5729465392299898E-2</v>
      </c>
      <c r="AM363" s="32" t="str">
        <f t="shared" si="217"/>
        <v>1+4.62189820039265i</v>
      </c>
      <c r="AN363" s="32">
        <f t="shared" si="233"/>
        <v>4.7288416102458761</v>
      </c>
      <c r="AO363" s="32">
        <f t="shared" si="234"/>
        <v>1.3577193572258679</v>
      </c>
      <c r="AP363" s="60" t="str">
        <f t="shared" si="235"/>
        <v>-0.429240300794287+0.113638758213695i</v>
      </c>
      <c r="AQ363" s="51">
        <f t="shared" si="236"/>
        <v>-7.0517898073516054</v>
      </c>
      <c r="AR363" s="63">
        <f t="shared" si="237"/>
        <v>165.17148356588891</v>
      </c>
      <c r="AS363" s="60" t="str">
        <f t="shared" si="238"/>
        <v>0.0975203201981094+0.199277498166365i</v>
      </c>
      <c r="AT363" s="66">
        <f t="shared" si="239"/>
        <v>-13.078430897694455</v>
      </c>
      <c r="AU363" s="63">
        <f t="shared" si="240"/>
        <v>63.924286143831303</v>
      </c>
      <c r="AX363" s="32">
        <f t="shared" si="241"/>
        <v>0</v>
      </c>
      <c r="AY363" s="32">
        <f t="shared" si="242"/>
        <v>0</v>
      </c>
    </row>
    <row r="364" spans="14:51" x14ac:dyDescent="0.3">
      <c r="N364" s="11">
        <v>46</v>
      </c>
      <c r="O364" s="52">
        <f t="shared" si="208"/>
        <v>28840.315031266062</v>
      </c>
      <c r="P364" s="50" t="str">
        <f t="shared" si="209"/>
        <v>131.578947368421</v>
      </c>
      <c r="Q364" s="18" t="str">
        <f t="shared" si="210"/>
        <v>1+271.813565488321i</v>
      </c>
      <c r="R364" s="18">
        <f t="shared" si="218"/>
        <v>271.81540497822004</v>
      </c>
      <c r="S364" s="18">
        <f t="shared" si="219"/>
        <v>1.5671173511463532</v>
      </c>
      <c r="T364" s="18" t="str">
        <f t="shared" si="211"/>
        <v>1+0.000597989844074307i</v>
      </c>
      <c r="U364" s="18">
        <f t="shared" si="220"/>
        <v>1.000000178795911</v>
      </c>
      <c r="V364" s="18">
        <f t="shared" si="221"/>
        <v>5.9798977279555676E-4</v>
      </c>
      <c r="W364" s="32" t="str">
        <f t="shared" si="212"/>
        <v>1-0.144967234927105i</v>
      </c>
      <c r="X364" s="18">
        <f t="shared" si="222"/>
        <v>1.0104531157863834</v>
      </c>
      <c r="Y364" s="18">
        <f t="shared" si="223"/>
        <v>-0.14396433118677576</v>
      </c>
      <c r="Z364" s="32" t="str">
        <f t="shared" si="213"/>
        <v>0.999467671186494+0.0613567463616913i</v>
      </c>
      <c r="AA364" s="18">
        <f t="shared" si="224"/>
        <v>1.0013492278276579</v>
      </c>
      <c r="AB364" s="18">
        <f t="shared" si="225"/>
        <v>6.1312480977350425E-2</v>
      </c>
      <c r="AC364" s="68" t="str">
        <f t="shared" si="226"/>
        <v>-0.0975237695549336-0.478641498852145i</v>
      </c>
      <c r="AD364" s="66">
        <f t="shared" si="227"/>
        <v>-6.2231396192597579</v>
      </c>
      <c r="AE364" s="63">
        <f t="shared" si="228"/>
        <v>-101.51644290113806</v>
      </c>
      <c r="AF364" s="32" t="str">
        <f t="shared" si="214"/>
        <v>-0.434440565864413</v>
      </c>
      <c r="AG364" s="32" t="str">
        <f t="shared" si="215"/>
        <v>4.7295560394968i</v>
      </c>
      <c r="AH364" s="32">
        <f t="shared" si="229"/>
        <v>4.7295560394968001</v>
      </c>
      <c r="AI364" s="32">
        <f t="shared" si="230"/>
        <v>1.5707963267948966</v>
      </c>
      <c r="AJ364" s="32" t="str">
        <f t="shared" si="216"/>
        <v>1+0.0468272875197703i</v>
      </c>
      <c r="AK364" s="32">
        <f t="shared" si="231"/>
        <v>1.0010957970426504</v>
      </c>
      <c r="AL364" s="32">
        <f t="shared" si="232"/>
        <v>4.6793104936676058E-2</v>
      </c>
      <c r="AM364" s="32" t="str">
        <f t="shared" si="217"/>
        <v>1+4.7295560394968i</v>
      </c>
      <c r="AN364" s="32">
        <f t="shared" si="233"/>
        <v>4.8341183612671976</v>
      </c>
      <c r="AO364" s="32">
        <f t="shared" si="234"/>
        <v>1.3624288617271463</v>
      </c>
      <c r="AP364" s="60" t="str">
        <f t="shared" si="235"/>
        <v>-0.429198030888646+0.111954701060861i</v>
      </c>
      <c r="AQ364" s="51">
        <f t="shared" si="236"/>
        <v>-7.0609672668360481</v>
      </c>
      <c r="AR364" s="63">
        <f t="shared" si="237"/>
        <v>165.38037624059396</v>
      </c>
      <c r="AS364" s="60" t="str">
        <f t="shared" si="238"/>
        <v>0.0954431757771299+0.19451374434208i</v>
      </c>
      <c r="AT364" s="66">
        <f t="shared" si="239"/>
        <v>-13.284106886095801</v>
      </c>
      <c r="AU364" s="63">
        <f t="shared" si="240"/>
        <v>63.863933339455912</v>
      </c>
      <c r="AX364" s="32">
        <f t="shared" si="241"/>
        <v>0</v>
      </c>
      <c r="AY364" s="32">
        <f t="shared" si="242"/>
        <v>0</v>
      </c>
    </row>
    <row r="365" spans="14:51" x14ac:dyDescent="0.3">
      <c r="N365" s="11">
        <v>47</v>
      </c>
      <c r="O365" s="52">
        <f t="shared" si="208"/>
        <v>29512.092266663854</v>
      </c>
      <c r="P365" s="50" t="str">
        <f t="shared" si="209"/>
        <v>131.578947368421</v>
      </c>
      <c r="Q365" s="18" t="str">
        <f t="shared" si="210"/>
        <v>1+278.144916771046i</v>
      </c>
      <c r="R365" s="18">
        <f t="shared" si="218"/>
        <v>278.14671438931668</v>
      </c>
      <c r="S365" s="18">
        <f t="shared" si="219"/>
        <v>1.5672010941261167</v>
      </c>
      <c r="T365" s="18" t="str">
        <f t="shared" si="211"/>
        <v>1+0.000611918816896302i</v>
      </c>
      <c r="U365" s="18">
        <f t="shared" si="220"/>
        <v>1.0000001872223017</v>
      </c>
      <c r="V365" s="18">
        <f t="shared" si="221"/>
        <v>6.1191874051974582E-4</v>
      </c>
      <c r="W365" s="32" t="str">
        <f t="shared" si="212"/>
        <v>1-0.148343955611225i</v>
      </c>
      <c r="X365" s="18">
        <f t="shared" si="222"/>
        <v>1.0109430889849265</v>
      </c>
      <c r="Y365" s="18">
        <f t="shared" si="223"/>
        <v>-0.14726995214961078</v>
      </c>
      <c r="Z365" s="32" t="str">
        <f t="shared" si="213"/>
        <v>0.999442583302428+0.0627859285810666i</v>
      </c>
      <c r="AA365" s="18">
        <f t="shared" si="224"/>
        <v>1.0014127771034369</v>
      </c>
      <c r="AB365" s="18">
        <f t="shared" si="225"/>
        <v>6.2738500805419081E-2</v>
      </c>
      <c r="AC365" s="68" t="str">
        <f t="shared" si="226"/>
        <v>-0.097589751907556-0.467480367143426i</v>
      </c>
      <c r="AD365" s="66">
        <f t="shared" si="227"/>
        <v>-6.419477315669031</v>
      </c>
      <c r="AE365" s="63">
        <f t="shared" si="228"/>
        <v>-101.7915459968695</v>
      </c>
      <c r="AF365" s="32" t="str">
        <f t="shared" si="214"/>
        <v>-0.434440565864413</v>
      </c>
      <c r="AG365" s="32" t="str">
        <f t="shared" si="215"/>
        <v>4.83972155181621i</v>
      </c>
      <c r="AH365" s="32">
        <f t="shared" si="229"/>
        <v>4.8397215518162104</v>
      </c>
      <c r="AI365" s="32">
        <f t="shared" si="230"/>
        <v>1.5707963267948966</v>
      </c>
      <c r="AJ365" s="32" t="str">
        <f t="shared" si="216"/>
        <v>1+0.0479180351664972i</v>
      </c>
      <c r="AK365" s="32">
        <f t="shared" si="231"/>
        <v>1.0011474107713698</v>
      </c>
      <c r="AL365" s="32">
        <f t="shared" si="232"/>
        <v>4.7881410135633684E-2</v>
      </c>
      <c r="AM365" s="32" t="str">
        <f t="shared" si="217"/>
        <v>1+4.83972155181621i</v>
      </c>
      <c r="AN365" s="32">
        <f t="shared" si="233"/>
        <v>4.9419535306510429</v>
      </c>
      <c r="AO365" s="32">
        <f t="shared" si="234"/>
        <v>1.3670402454317032</v>
      </c>
      <c r="AP365" s="60" t="str">
        <f t="shared" si="235"/>
        <v>-0.42915377778573+0.110329817579403i</v>
      </c>
      <c r="AQ365" s="51">
        <f t="shared" si="236"/>
        <v>-7.069787521952823</v>
      </c>
      <c r="AR365" s="63">
        <f t="shared" si="237"/>
        <v>165.58223376985808</v>
      </c>
      <c r="AS365" s="60" t="str">
        <f t="shared" si="238"/>
        <v>0.0934580343331863+0.189853906074681i</v>
      </c>
      <c r="AT365" s="66">
        <f t="shared" si="239"/>
        <v>-13.489264837621873</v>
      </c>
      <c r="AU365" s="63">
        <f t="shared" si="240"/>
        <v>63.79068777298852</v>
      </c>
      <c r="AX365" s="32">
        <f t="shared" si="241"/>
        <v>0</v>
      </c>
      <c r="AY365" s="32">
        <f t="shared" si="242"/>
        <v>0</v>
      </c>
    </row>
    <row r="366" spans="14:51" x14ac:dyDescent="0.3">
      <c r="N366" s="11">
        <v>48</v>
      </c>
      <c r="O366" s="52">
        <f t="shared" si="208"/>
        <v>30199.517204020212</v>
      </c>
      <c r="P366" s="50" t="str">
        <f t="shared" si="209"/>
        <v>131.578947368421</v>
      </c>
      <c r="Q366" s="18" t="str">
        <f t="shared" si="210"/>
        <v>1+284.623744170325i</v>
      </c>
      <c r="R366" s="18">
        <f t="shared" si="218"/>
        <v>284.6255008700636</v>
      </c>
      <c r="S366" s="18">
        <f t="shared" si="219"/>
        <v>1.5672829309316618</v>
      </c>
      <c r="T366" s="18" t="str">
        <f t="shared" si="211"/>
        <v>1+0.000626172237174716i</v>
      </c>
      <c r="U366" s="18">
        <f t="shared" si="220"/>
        <v>1.000000196045816</v>
      </c>
      <c r="V366" s="18">
        <f t="shared" si="221"/>
        <v>6.2617215533576241E-4</v>
      </c>
      <c r="W366" s="32" t="str">
        <f t="shared" si="212"/>
        <v>1-0.151799330224174i</v>
      </c>
      <c r="X366" s="18">
        <f t="shared" si="222"/>
        <v>1.0114558995114458</v>
      </c>
      <c r="Y366" s="18">
        <f t="shared" si="223"/>
        <v>-0.15064921757693234</v>
      </c>
      <c r="Z366" s="32" t="str">
        <f t="shared" si="213"/>
        <v>0.999416313062812+0.0642484007308454i</v>
      </c>
      <c r="AA366" s="18">
        <f t="shared" si="224"/>
        <v>1.0014793177158157</v>
      </c>
      <c r="AB366" s="18">
        <f t="shared" si="225"/>
        <v>6.4197584810702563E-2</v>
      </c>
      <c r="AC366" s="68" t="str">
        <f t="shared" si="226"/>
        <v>-0.0976514572290847-0.45656714379814i</v>
      </c>
      <c r="AD366" s="66">
        <f t="shared" si="227"/>
        <v>-6.6156469591107303</v>
      </c>
      <c r="AE366" s="63">
        <f t="shared" si="228"/>
        <v>-102.07263524222127</v>
      </c>
      <c r="AF366" s="32" t="str">
        <f t="shared" si="214"/>
        <v>-0.434440565864413</v>
      </c>
      <c r="AG366" s="32" t="str">
        <f t="shared" si="215"/>
        <v>4.95245314856367i</v>
      </c>
      <c r="AH366" s="32">
        <f t="shared" si="229"/>
        <v>4.95245314856367</v>
      </c>
      <c r="AI366" s="32">
        <f t="shared" si="230"/>
        <v>1.5707963267948966</v>
      </c>
      <c r="AJ366" s="32" t="str">
        <f t="shared" si="216"/>
        <v>1+0.0490341895897393i</v>
      </c>
      <c r="AK366" s="32">
        <f t="shared" si="231"/>
        <v>1.00120145412835</v>
      </c>
      <c r="AL366" s="32">
        <f t="shared" si="232"/>
        <v>4.8994947705149908E-2</v>
      </c>
      <c r="AM366" s="32" t="str">
        <f t="shared" si="217"/>
        <v>1+4.95245314856367i</v>
      </c>
      <c r="AN366" s="32">
        <f t="shared" si="233"/>
        <v>5.0524045947170748</v>
      </c>
      <c r="AO366" s="32">
        <f t="shared" si="234"/>
        <v>1.3715551685055873</v>
      </c>
      <c r="AP366" s="60" t="str">
        <f t="shared" si="235"/>
        <v>-0.429107448878081+0.108763232979946i</v>
      </c>
      <c r="AQ366" s="51">
        <f t="shared" si="236"/>
        <v>-7.0782671055505695</v>
      </c>
      <c r="AR366" s="63">
        <f t="shared" si="237"/>
        <v>165.77711880375534</v>
      </c>
      <c r="AS366" s="60" t="str">
        <f t="shared" si="238"/>
        <v>0.0915606863227052+0.185295474123334i</v>
      </c>
      <c r="AT366" s="66">
        <f t="shared" si="239"/>
        <v>-13.693914064661287</v>
      </c>
      <c r="AU366" s="63">
        <f t="shared" si="240"/>
        <v>63.704483561534126</v>
      </c>
      <c r="AX366" s="32">
        <f t="shared" si="241"/>
        <v>0</v>
      </c>
      <c r="AY366" s="32">
        <f t="shared" si="242"/>
        <v>0</v>
      </c>
    </row>
    <row r="367" spans="14:51" x14ac:dyDescent="0.3">
      <c r="N367" s="11">
        <v>49</v>
      </c>
      <c r="O367" s="52">
        <f t="shared" si="208"/>
        <v>30902.954325135954</v>
      </c>
      <c r="P367" s="50" t="str">
        <f t="shared" si="209"/>
        <v>131.578947368421</v>
      </c>
      <c r="Q367" s="18" t="str">
        <f t="shared" si="210"/>
        <v>1+291.253482846204i</v>
      </c>
      <c r="R367" s="18">
        <f t="shared" si="218"/>
        <v>291.2551995588131</v>
      </c>
      <c r="S367" s="18">
        <f t="shared" si="219"/>
        <v>1.5673629049495581</v>
      </c>
      <c r="T367" s="18" t="str">
        <f t="shared" si="211"/>
        <v>1+0.000640757662261649i</v>
      </c>
      <c r="U367" s="18">
        <f t="shared" si="220"/>
        <v>1.0000002052851698</v>
      </c>
      <c r="V367" s="18">
        <f t="shared" si="221"/>
        <v>6.4075757456963128E-4</v>
      </c>
      <c r="W367" s="32" t="str">
        <f t="shared" si="212"/>
        <v>1-0.155335190851309i</v>
      </c>
      <c r="X367" s="18">
        <f t="shared" si="222"/>
        <v>1.0119925995365839</v>
      </c>
      <c r="Y367" s="18">
        <f t="shared" si="223"/>
        <v>-0.1541036103258743</v>
      </c>
      <c r="Z367" s="32" t="str">
        <f t="shared" si="213"/>
        <v>0.999388804744946+0.0657449382331197i</v>
      </c>
      <c r="AA367" s="18">
        <f t="shared" si="224"/>
        <v>1.0015489902909436</v>
      </c>
      <c r="AB367" s="18">
        <f t="shared" si="225"/>
        <v>6.5690492320568103E-2</v>
      </c>
      <c r="AC367" s="68" t="str">
        <f t="shared" si="226"/>
        <v>-0.0977090169196871-0.445896049195067i</v>
      </c>
      <c r="AD367" s="66">
        <f t="shared" si="227"/>
        <v>-6.8116410239028555</v>
      </c>
      <c r="AE367" s="63">
        <f t="shared" si="228"/>
        <v>-102.35984115776658</v>
      </c>
      <c r="AF367" s="32" t="str">
        <f t="shared" si="214"/>
        <v>-0.434440565864413</v>
      </c>
      <c r="AG367" s="32" t="str">
        <f t="shared" si="215"/>
        <v>5.06781060152395i</v>
      </c>
      <c r="AH367" s="32">
        <f t="shared" si="229"/>
        <v>5.0678106015239504</v>
      </c>
      <c r="AI367" s="32">
        <f t="shared" si="230"/>
        <v>1.5707963267948966</v>
      </c>
      <c r="AJ367" s="32" t="str">
        <f t="shared" si="216"/>
        <v>1+0.0501763425893461i</v>
      </c>
      <c r="AK367" s="32">
        <f t="shared" si="231"/>
        <v>1.0012580413438104</v>
      </c>
      <c r="AL367" s="32">
        <f t="shared" si="232"/>
        <v>5.0134297005317283E-2</v>
      </c>
      <c r="AM367" s="32" t="str">
        <f t="shared" si="217"/>
        <v>1+5.06781060152395i</v>
      </c>
      <c r="AN367" s="32">
        <f t="shared" si="233"/>
        <v>5.1655303980248286</v>
      </c>
      <c r="AO367" s="32">
        <f t="shared" si="234"/>
        <v>1.3759752881961951</v>
      </c>
      <c r="AP367" s="60" t="str">
        <f t="shared" si="235"/>
        <v>-0.429058947276095+0.107254102443496i</v>
      </c>
      <c r="AQ367" s="51">
        <f t="shared" si="236"/>
        <v>-7.0864220082138916</v>
      </c>
      <c r="AR367" s="63">
        <f t="shared" si="237"/>
        <v>165.96509310067904</v>
      </c>
      <c r="AS367" s="60" t="str">
        <f t="shared" si="238"/>
        <v>0.0897471084784609+0.180835996551848i</v>
      </c>
      <c r="AT367" s="66">
        <f t="shared" si="239"/>
        <v>-13.898063032116745</v>
      </c>
      <c r="AU367" s="63">
        <f t="shared" si="240"/>
        <v>63.605251942912496</v>
      </c>
      <c r="AX367" s="32">
        <f t="shared" si="241"/>
        <v>0</v>
      </c>
      <c r="AY367" s="32">
        <f t="shared" si="242"/>
        <v>0</v>
      </c>
    </row>
    <row r="368" spans="14:51" x14ac:dyDescent="0.3">
      <c r="N368" s="11">
        <v>50</v>
      </c>
      <c r="O368" s="52">
        <f t="shared" si="208"/>
        <v>31622.77660168384</v>
      </c>
      <c r="P368" s="50" t="str">
        <f t="shared" si="209"/>
        <v>131.578947368421</v>
      </c>
      <c r="Q368" s="18" t="str">
        <f t="shared" si="210"/>
        <v>1+298.037647973883i</v>
      </c>
      <c r="R368" s="18">
        <f t="shared" si="218"/>
        <v>298.03932560956486</v>
      </c>
      <c r="S368" s="18">
        <f t="shared" si="219"/>
        <v>1.5674410585789949</v>
      </c>
      <c r="T368" s="18" t="str">
        <f t="shared" si="211"/>
        <v>1+0.000655682825542543i</v>
      </c>
      <c r="U368" s="18">
        <f t="shared" si="220"/>
        <v>1.0000002149599607</v>
      </c>
      <c r="V368" s="18">
        <f t="shared" si="221"/>
        <v>6.5568273157885412E-4</v>
      </c>
      <c r="W368" s="32" t="str">
        <f t="shared" si="212"/>
        <v>1-0.158953412252738i</v>
      </c>
      <c r="X368" s="18">
        <f t="shared" si="222"/>
        <v>1.0125542885528602</v>
      </c>
      <c r="Y368" s="18">
        <f t="shared" si="223"/>
        <v>-0.1576346320260075</v>
      </c>
      <c r="Z368" s="32" t="str">
        <f t="shared" si="213"/>
        <v>0.99936+0.0672763345718823i</v>
      </c>
      <c r="AA368" s="18">
        <f t="shared" si="224"/>
        <v>1.0016219420487094</v>
      </c>
      <c r="AB368" s="18">
        <f t="shared" si="225"/>
        <v>6.7217999579400459E-2</v>
      </c>
      <c r="AC368" s="68" t="str">
        <f t="shared" si="226"/>
        <v>-0.0977625536377425-0.435461432329947i</v>
      </c>
      <c r="AD368" s="66">
        <f t="shared" si="227"/>
        <v>-7.0074516678905185</v>
      </c>
      <c r="AE368" s="63">
        <f t="shared" si="228"/>
        <v>-102.6532962422751</v>
      </c>
      <c r="AF368" s="32" t="str">
        <f t="shared" si="214"/>
        <v>-0.434440565864413</v>
      </c>
      <c r="AG368" s="32" t="str">
        <f t="shared" si="215"/>
        <v>5.18585507474557i</v>
      </c>
      <c r="AH368" s="32">
        <f t="shared" si="229"/>
        <v>5.1858550747455698</v>
      </c>
      <c r="AI368" s="32">
        <f t="shared" si="230"/>
        <v>1.5707963267948966</v>
      </c>
      <c r="AJ368" s="32" t="str">
        <f t="shared" si="216"/>
        <v>1+0.0513450997499561i</v>
      </c>
      <c r="AK368" s="32">
        <f t="shared" si="231"/>
        <v>1.0013172920050533</v>
      </c>
      <c r="AL368" s="32">
        <f t="shared" si="232"/>
        <v>5.1300050295427051E-2</v>
      </c>
      <c r="AM368" s="32" t="str">
        <f t="shared" si="217"/>
        <v>1+5.18585507474557i</v>
      </c>
      <c r="AN368" s="32">
        <f t="shared" si="233"/>
        <v>5.2813911856881406</v>
      </c>
      <c r="AO368" s="32">
        <f t="shared" si="234"/>
        <v>1.3803022569169114</v>
      </c>
      <c r="AP368" s="60" t="str">
        <f t="shared" si="235"/>
        <v>-0.429008171614083+0.105801610607153i</v>
      </c>
      <c r="AQ368" s="51">
        <f t="shared" si="236"/>
        <v>-7.0942676974243577</v>
      </c>
      <c r="AR368" s="63">
        <f t="shared" si="237"/>
        <v>166.14621740298449</v>
      </c>
      <c r="AS368" s="60" t="str">
        <f t="shared" si="238"/>
        <v>0.0880134552862578+0.176473077260379i</v>
      </c>
      <c r="AT368" s="66">
        <f t="shared" si="239"/>
        <v>-14.101719365314874</v>
      </c>
      <c r="AU368" s="63">
        <f t="shared" si="240"/>
        <v>63.492921160709386</v>
      </c>
      <c r="AX368" s="32">
        <f t="shared" si="241"/>
        <v>0</v>
      </c>
      <c r="AY368" s="32">
        <f t="shared" si="242"/>
        <v>0</v>
      </c>
    </row>
    <row r="369" spans="14:51" x14ac:dyDescent="0.3">
      <c r="N369" s="11">
        <v>51</v>
      </c>
      <c r="O369" s="52">
        <f t="shared" si="208"/>
        <v>32359.365692962871</v>
      </c>
      <c r="P369" s="50" t="str">
        <f t="shared" si="209"/>
        <v>131.578947368421</v>
      </c>
      <c r="Q369" s="18" t="str">
        <f t="shared" si="210"/>
        <v>1+304.979836607512i</v>
      </c>
      <c r="R369" s="18">
        <f t="shared" si="218"/>
        <v>304.98147605575122</v>
      </c>
      <c r="S369" s="18">
        <f t="shared" si="219"/>
        <v>1.5675174332542392</v>
      </c>
      <c r="T369" s="18" t="str">
        <f t="shared" si="211"/>
        <v>1+0.000670955640536528i</v>
      </c>
      <c r="U369" s="18">
        <f t="shared" si="220"/>
        <v>1.0000002250907105</v>
      </c>
      <c r="V369" s="18">
        <f t="shared" si="221"/>
        <v>6.7095553985262266E-4</v>
      </c>
      <c r="W369" s="32" t="str">
        <f t="shared" si="212"/>
        <v>1-0.16265591285734i</v>
      </c>
      <c r="X369" s="18">
        <f t="shared" si="222"/>
        <v>1.0131421153951969</v>
      </c>
      <c r="Y369" s="18">
        <f t="shared" si="223"/>
        <v>-0.16124380248995437</v>
      </c>
      <c r="Z369" s="32" t="str">
        <f t="shared" si="213"/>
        <v>0.999329837729247+0.0688434017137425i</v>
      </c>
      <c r="AA369" s="18">
        <f t="shared" si="224"/>
        <v>1.0016983271102546</v>
      </c>
      <c r="AB369" s="18">
        <f t="shared" si="225"/>
        <v>6.8780900088189587E-2</v>
      </c>
      <c r="AC369" s="68" t="str">
        <f t="shared" si="226"/>
        <v>-0.0978121815647524-0.425257767851753i</v>
      </c>
      <c r="AD369" s="66">
        <f t="shared" si="227"/>
        <v>-7.2030707209461875</v>
      </c>
      <c r="AE369" s="63">
        <f t="shared" si="228"/>
        <v>-102.95313495945285</v>
      </c>
      <c r="AF369" s="32" t="str">
        <f t="shared" si="214"/>
        <v>-0.434440565864413</v>
      </c>
      <c r="AG369" s="32" t="str">
        <f t="shared" si="215"/>
        <v>5.30664915697072i</v>
      </c>
      <c r="AH369" s="32">
        <f t="shared" si="229"/>
        <v>5.3066491569707201</v>
      </c>
      <c r="AI369" s="32">
        <f t="shared" si="230"/>
        <v>1.5707963267948966</v>
      </c>
      <c r="AJ369" s="32" t="str">
        <f t="shared" si="216"/>
        <v>1+0.0525410807620864i</v>
      </c>
      <c r="AK369" s="32">
        <f t="shared" si="231"/>
        <v>1.0013793313063977</v>
      </c>
      <c r="AL369" s="32">
        <f t="shared" si="232"/>
        <v>5.2492812992219334E-2</v>
      </c>
      <c r="AM369" s="32" t="str">
        <f t="shared" si="217"/>
        <v>1+5.30664915697072i</v>
      </c>
      <c r="AN369" s="32">
        <f t="shared" si="233"/>
        <v>5.4000486363715323</v>
      </c>
      <c r="AO369" s="32">
        <f t="shared" si="234"/>
        <v>1.3845377204733582</v>
      </c>
      <c r="AP369" s="60" t="str">
        <f t="shared" si="235"/>
        <v>-0.428955015847943+0.104404971060815i</v>
      </c>
      <c r="AQ369" s="51">
        <f t="shared" si="236"/>
        <v>-7.1018191367512662</v>
      </c>
      <c r="AR369" s="63">
        <f t="shared" si="237"/>
        <v>166.32055132056348</v>
      </c>
      <c r="AS369" s="60" t="str">
        <f t="shared" si="238"/>
        <v>0.0863560508391793+0.172204374562646i</v>
      </c>
      <c r="AT369" s="66">
        <f t="shared" si="239"/>
        <v>-14.304889857697471</v>
      </c>
      <c r="AU369" s="63">
        <f t="shared" si="240"/>
        <v>63.367416361110571</v>
      </c>
      <c r="AX369" s="32">
        <f t="shared" si="241"/>
        <v>0</v>
      </c>
      <c r="AY369" s="32">
        <f t="shared" si="242"/>
        <v>0</v>
      </c>
    </row>
    <row r="370" spans="14:51" x14ac:dyDescent="0.3">
      <c r="N370" s="11">
        <v>52</v>
      </c>
      <c r="O370" s="52">
        <f t="shared" si="208"/>
        <v>33113.11214825909</v>
      </c>
      <c r="P370" s="50" t="str">
        <f t="shared" si="209"/>
        <v>131.578947368421</v>
      </c>
      <c r="Q370" s="18" t="str">
        <f t="shared" si="210"/>
        <v>1+312.083729587396i</v>
      </c>
      <c r="R370" s="18">
        <f t="shared" si="218"/>
        <v>312.08533171743096</v>
      </c>
      <c r="S370" s="18">
        <f t="shared" si="219"/>
        <v>1.567592069466589</v>
      </c>
      <c r="T370" s="18" t="str">
        <f t="shared" si="211"/>
        <v>1+0.000686584205092272i</v>
      </c>
      <c r="U370" s="18">
        <f t="shared" si="220"/>
        <v>1.0000002356989075</v>
      </c>
      <c r="V370" s="18">
        <f t="shared" si="221"/>
        <v>6.8658409720752508E-4</v>
      </c>
      <c r="W370" s="32" t="str">
        <f t="shared" si="212"/>
        <v>1-0.166444655779945i</v>
      </c>
      <c r="X370" s="18">
        <f t="shared" si="222"/>
        <v>1.0137572803377071</v>
      </c>
      <c r="Y370" s="18">
        <f t="shared" si="223"/>
        <v>-0.1649326590484583</v>
      </c>
      <c r="Z370" s="32" t="str">
        <f t="shared" si="213"/>
        <v>0.999298253954468+0.0704469705384415i</v>
      </c>
      <c r="AA370" s="18">
        <f t="shared" si="224"/>
        <v>1.0017783068196739</v>
      </c>
      <c r="AB370" s="18">
        <f t="shared" si="225"/>
        <v>7.0380004948206287E-2</v>
      </c>
      <c r="AC370" s="68" t="str">
        <f t="shared" si="226"/>
        <v>-0.0978580066527426-0.415279653166831i</v>
      </c>
      <c r="AD370" s="66">
        <f t="shared" si="227"/>
        <v>-7.3984896732314231</v>
      </c>
      <c r="AE370" s="63">
        <f t="shared" si="228"/>
        <v>-103.25949372055221</v>
      </c>
      <c r="AF370" s="32" t="str">
        <f t="shared" si="214"/>
        <v>-0.434440565864413</v>
      </c>
      <c r="AG370" s="32" t="str">
        <f t="shared" si="215"/>
        <v>5.4302568948207i</v>
      </c>
      <c r="AH370" s="32">
        <f t="shared" si="229"/>
        <v>5.4302568948207002</v>
      </c>
      <c r="AI370" s="32">
        <f t="shared" si="230"/>
        <v>1.5707963267948966</v>
      </c>
      <c r="AJ370" s="32" t="str">
        <f t="shared" si="216"/>
        <v>1+0.0537649197507i</v>
      </c>
      <c r="AK370" s="32">
        <f t="shared" si="231"/>
        <v>1.0014442903106489</v>
      </c>
      <c r="AL370" s="32">
        <f t="shared" si="232"/>
        <v>5.3713203931177046E-2</v>
      </c>
      <c r="AM370" s="32" t="str">
        <f t="shared" si="217"/>
        <v>1+5.4302568948207i</v>
      </c>
      <c r="AN370" s="32">
        <f t="shared" si="233"/>
        <v>5.5215658959889042</v>
      </c>
      <c r="AO370" s="32">
        <f t="shared" si="234"/>
        <v>1.3886833164247538</v>
      </c>
      <c r="AP370" s="60" t="str">
        <f t="shared" si="235"/>
        <v>-0.428899369044126+0.103063425854269i</v>
      </c>
      <c r="AQ370" s="51">
        <f t="shared" si="236"/>
        <v>-7.1090908050291235</v>
      </c>
      <c r="AR370" s="63">
        <f t="shared" si="237"/>
        <v>166.48815322198675</v>
      </c>
      <c r="AS370" s="60" t="str">
        <f t="shared" si="238"/>
        <v>0.0847713810522234+0.168027599807216i</v>
      </c>
      <c r="AT370" s="66">
        <f t="shared" si="239"/>
        <v>-14.50758047826054</v>
      </c>
      <c r="AU370" s="63">
        <f t="shared" si="240"/>
        <v>63.228659501434571</v>
      </c>
      <c r="AX370" s="32">
        <f t="shared" si="241"/>
        <v>0</v>
      </c>
      <c r="AY370" s="32">
        <f t="shared" si="242"/>
        <v>0</v>
      </c>
    </row>
    <row r="371" spans="14:51" x14ac:dyDescent="0.3">
      <c r="N371" s="11">
        <v>53</v>
      </c>
      <c r="O371" s="52">
        <f t="shared" si="208"/>
        <v>33884.41561392029</v>
      </c>
      <c r="P371" s="50" t="str">
        <f t="shared" si="209"/>
        <v>131.578947368421</v>
      </c>
      <c r="Q371" s="18" t="str">
        <f t="shared" si="210"/>
        <v>1+319.353093491626i</v>
      </c>
      <c r="R371" s="18">
        <f t="shared" si="218"/>
        <v>319.35465915290979</v>
      </c>
      <c r="S371" s="18">
        <f t="shared" si="219"/>
        <v>1.5676650067858242</v>
      </c>
      <c r="T371" s="18" t="str">
        <f t="shared" si="211"/>
        <v>1+0.000702576805681578i</v>
      </c>
      <c r="U371" s="18">
        <f t="shared" si="220"/>
        <v>1.0000002468070535</v>
      </c>
      <c r="V371" s="18">
        <f t="shared" si="221"/>
        <v>7.0257669008099051E-4</v>
      </c>
      <c r="W371" s="32" t="str">
        <f t="shared" si="212"/>
        <v>1-0.170321649862201i</v>
      </c>
      <c r="X371" s="18">
        <f t="shared" si="222"/>
        <v>1.014401037268684</v>
      </c>
      <c r="Y371" s="18">
        <f t="shared" si="223"/>
        <v>-0.16870275580500918</v>
      </c>
      <c r="Z371" s="32" t="str">
        <f t="shared" si="213"/>
        <v>0.999265181682242+0.0720878912793963i</v>
      </c>
      <c r="AA371" s="18">
        <f t="shared" si="224"/>
        <v>1.0018620500805258</v>
      </c>
      <c r="AB371" s="18">
        <f t="shared" si="225"/>
        <v>7.2016143208598643E-2</v>
      </c>
      <c r="AC371" s="68" t="str">
        <f t="shared" si="226"/>
        <v>-0.0979001268547198-0.405521805609446i</v>
      </c>
      <c r="AD371" s="66">
        <f t="shared" si="227"/>
        <v>-7.5936996632356211</v>
      </c>
      <c r="AE371" s="63">
        <f t="shared" si="228"/>
        <v>-103.57251086256495</v>
      </c>
      <c r="AF371" s="32" t="str">
        <f t="shared" si="214"/>
        <v>-0.434440565864413</v>
      </c>
      <c r="AG371" s="32" t="str">
        <f t="shared" si="215"/>
        <v>5.55674382675431i</v>
      </c>
      <c r="AH371" s="32">
        <f t="shared" si="229"/>
        <v>5.5567438267543103</v>
      </c>
      <c r="AI371" s="32">
        <f t="shared" si="230"/>
        <v>1.5707963267948966</v>
      </c>
      <c r="AJ371" s="32" t="str">
        <f t="shared" si="216"/>
        <v>1+0.0550172656114288i</v>
      </c>
      <c r="AK371" s="32">
        <f t="shared" si="231"/>
        <v>1.0015123062226239</v>
      </c>
      <c r="AL371" s="32">
        <f t="shared" si="232"/>
        <v>5.4961855630731728E-2</v>
      </c>
      <c r="AM371" s="32" t="str">
        <f t="shared" si="217"/>
        <v>1+5.55674382675431i</v>
      </c>
      <c r="AN371" s="32">
        <f t="shared" si="233"/>
        <v>5.6460076121248841</v>
      </c>
      <c r="AO371" s="32">
        <f t="shared" si="234"/>
        <v>1.3927406725739557</v>
      </c>
      <c r="AP371" s="60" t="str">
        <f t="shared" si="235"/>
        <v>-0.428841115159539+0.101776245014089i</v>
      </c>
      <c r="AQ371" s="51">
        <f t="shared" si="236"/>
        <v>-7.1160967154844403</v>
      </c>
      <c r="AR371" s="63">
        <f t="shared" si="237"/>
        <v>166.64908013285114</v>
      </c>
      <c r="AS371" s="60" t="str">
        <f t="shared" si="238"/>
        <v>0.0832560862209011+0.163940516041388i</v>
      </c>
      <c r="AT371" s="66">
        <f t="shared" si="239"/>
        <v>-14.709796378720073</v>
      </c>
      <c r="AU371" s="63">
        <f t="shared" si="240"/>
        <v>63.076569270286164</v>
      </c>
      <c r="AX371" s="32">
        <f t="shared" si="241"/>
        <v>0</v>
      </c>
      <c r="AY371" s="32">
        <f t="shared" si="242"/>
        <v>0</v>
      </c>
    </row>
    <row r="372" spans="14:51" x14ac:dyDescent="0.3">
      <c r="N372" s="11">
        <v>54</v>
      </c>
      <c r="O372" s="52">
        <f t="shared" si="208"/>
        <v>34673.685045253202</v>
      </c>
      <c r="P372" s="50" t="str">
        <f t="shared" si="209"/>
        <v>131.578947368421</v>
      </c>
      <c r="Q372" s="18" t="str">
        <f t="shared" si="210"/>
        <v>1+326.79178263316i</v>
      </c>
      <c r="R372" s="18">
        <f t="shared" si="218"/>
        <v>326.79331265581072</v>
      </c>
      <c r="S372" s="18">
        <f t="shared" si="219"/>
        <v>1.5677362838811706</v>
      </c>
      <c r="T372" s="18" t="str">
        <f t="shared" si="211"/>
        <v>1+0.000718941921792953i</v>
      </c>
      <c r="U372" s="18">
        <f t="shared" si="220"/>
        <v>1.00000025843871</v>
      </c>
      <c r="V372" s="18">
        <f t="shared" si="221"/>
        <v>7.1894179792469351E-4</v>
      </c>
      <c r="W372" s="32" t="str">
        <f t="shared" si="212"/>
        <v>1-0.174288950737686i</v>
      </c>
      <c r="X372" s="18">
        <f t="shared" si="222"/>
        <v>1.0150746959456942</v>
      </c>
      <c r="Y372" s="18">
        <f t="shared" si="223"/>
        <v>-0.17255566280494558</v>
      </c>
      <c r="Z372" s="32" t="str">
        <f t="shared" si="213"/>
        <v>0.999230550761845+0.0737670339745028i</v>
      </c>
      <c r="AA372" s="18">
        <f t="shared" si="224"/>
        <v>1.001949733707842</v>
      </c>
      <c r="AB372" s="18">
        <f t="shared" si="225"/>
        <v>7.3690162217714392E-2</v>
      </c>
      <c r="AC372" s="68" t="str">
        <f t="shared" si="226"/>
        <v>-0.0979386323387177-0.395979059677476i</v>
      </c>
      <c r="AD372" s="66">
        <f t="shared" si="227"/>
        <v>-7.7886914656067479</v>
      </c>
      <c r="AE372" s="63">
        <f t="shared" si="228"/>
        <v>-103.89232662169331</v>
      </c>
      <c r="AF372" s="32" t="str">
        <f t="shared" si="214"/>
        <v>-0.434440565864413</v>
      </c>
      <c r="AG372" s="32" t="str">
        <f t="shared" si="215"/>
        <v>5.686177017817i</v>
      </c>
      <c r="AH372" s="32">
        <f t="shared" si="229"/>
        <v>5.6861770178170001</v>
      </c>
      <c r="AI372" s="32">
        <f t="shared" si="230"/>
        <v>1.5707963267948966</v>
      </c>
      <c r="AJ372" s="32" t="str">
        <f t="shared" si="216"/>
        <v>1+0.0562987823546237i</v>
      </c>
      <c r="AK372" s="32">
        <f t="shared" si="231"/>
        <v>1.001583522675275</v>
      </c>
      <c r="AL372" s="32">
        <f t="shared" si="232"/>
        <v>5.623941455922183E-2</v>
      </c>
      <c r="AM372" s="32" t="str">
        <f t="shared" si="217"/>
        <v>1+5.686177017817i</v>
      </c>
      <c r="AN372" s="32">
        <f t="shared" si="233"/>
        <v>5.773439969199492</v>
      </c>
      <c r="AO372" s="32">
        <f t="shared" si="234"/>
        <v>1.39671140557985</v>
      </c>
      <c r="AP372" s="60" t="str">
        <f t="shared" si="235"/>
        <v>-0.428780132812074+0.100542726069707i</v>
      </c>
      <c r="AQ372" s="51">
        <f t="shared" si="236"/>
        <v>-7.1228504347783863</v>
      </c>
      <c r="AR372" s="63">
        <f t="shared" si="237"/>
        <v>166.80338764098039</v>
      </c>
      <c r="AS372" s="60" t="str">
        <f t="shared" si="238"/>
        <v>0.0818069539081209+0.159940936716435i</v>
      </c>
      <c r="AT372" s="66">
        <f t="shared" si="239"/>
        <v>-14.91154190038513</v>
      </c>
      <c r="AU372" s="63">
        <f t="shared" si="240"/>
        <v>62.911061019287075</v>
      </c>
      <c r="AX372" s="32">
        <f t="shared" si="241"/>
        <v>0</v>
      </c>
      <c r="AY372" s="32">
        <f t="shared" si="242"/>
        <v>0</v>
      </c>
    </row>
    <row r="373" spans="14:51" x14ac:dyDescent="0.3">
      <c r="N373" s="11">
        <v>55</v>
      </c>
      <c r="O373" s="52">
        <f t="shared" si="208"/>
        <v>35481.33892335758</v>
      </c>
      <c r="P373" s="50" t="str">
        <f t="shared" si="209"/>
        <v>131.578947368421</v>
      </c>
      <c r="Q373" s="18" t="str">
        <f t="shared" si="210"/>
        <v>1+334.40374110345i</v>
      </c>
      <c r="R373" s="18">
        <f t="shared" si="218"/>
        <v>334.40523629869074</v>
      </c>
      <c r="S373" s="18">
        <f t="shared" si="219"/>
        <v>1.5678059385417893</v>
      </c>
      <c r="T373" s="18" t="str">
        <f t="shared" si="211"/>
        <v>1+0.00073568823042759i</v>
      </c>
      <c r="U373" s="18">
        <f t="shared" si="220"/>
        <v>1.0000002706185496</v>
      </c>
      <c r="V373" s="18">
        <f t="shared" si="221"/>
        <v>7.3568809770036057E-4</v>
      </c>
      <c r="W373" s="32" t="str">
        <f t="shared" si="212"/>
        <v>1-0.17834866192184i</v>
      </c>
      <c r="X373" s="18">
        <f t="shared" si="222"/>
        <v>1.015779624332616</v>
      </c>
      <c r="Y373" s="18">
        <f t="shared" si="223"/>
        <v>-0.17649296511376131</v>
      </c>
      <c r="Z373" s="32" t="str">
        <f t="shared" si="213"/>
        <v>0.999194287736452+0.0754852889274454i</v>
      </c>
      <c r="AA373" s="18">
        <f t="shared" si="224"/>
        <v>1.0020415427963132</v>
      </c>
      <c r="AB373" s="18">
        <f t="shared" si="225"/>
        <v>7.5402927977943221E-2</v>
      </c>
      <c r="AC373" s="68" t="str">
        <f t="shared" si="226"/>
        <v>-0.0979736056859382-0.386646364331849i</v>
      </c>
      <c r="AD373" s="66">
        <f t="shared" si="227"/>
        <v>-7.9834554787954817</v>
      </c>
      <c r="AE373" s="63">
        <f t="shared" si="228"/>
        <v>-104.21908310178846</v>
      </c>
      <c r="AF373" s="32" t="str">
        <f t="shared" si="214"/>
        <v>-0.434440565864413</v>
      </c>
      <c r="AG373" s="32" t="str">
        <f t="shared" si="215"/>
        <v>5.81862509520003i</v>
      </c>
      <c r="AH373" s="32">
        <f t="shared" si="229"/>
        <v>5.81862509520003</v>
      </c>
      <c r="AI373" s="32">
        <f t="shared" si="230"/>
        <v>1.5707963267948966</v>
      </c>
      <c r="AJ373" s="32" t="str">
        <f t="shared" si="216"/>
        <v>1+0.0576101494574261i</v>
      </c>
      <c r="AK373" s="32">
        <f t="shared" si="231"/>
        <v>1.0016580900289813</v>
      </c>
      <c r="AL373" s="32">
        <f t="shared" si="232"/>
        <v>5.7546541404443645E-2</v>
      </c>
      <c r="AM373" s="32" t="str">
        <f t="shared" si="217"/>
        <v>1+5.81862509520003i</v>
      </c>
      <c r="AN373" s="32">
        <f t="shared" si="233"/>
        <v>5.903930724398073</v>
      </c>
      <c r="AO373" s="32">
        <f t="shared" si="234"/>
        <v>1.4005971196859166</v>
      </c>
      <c r="AP373" s="60" t="str">
        <f t="shared" si="235"/>
        <v>-0.428716295041389+0.0993621935880247i</v>
      </c>
      <c r="AQ373" s="51">
        <f t="shared" si="236"/>
        <v>-7.1293651019374851</v>
      </c>
      <c r="AR373" s="63">
        <f t="shared" si="237"/>
        <v>166.95112980813298</v>
      </c>
      <c r="AS373" s="60" t="str">
        <f t="shared" si="238"/>
        <v>0.0804209121443685+0.15602672443289i</v>
      </c>
      <c r="AT373" s="66">
        <f t="shared" si="239"/>
        <v>-15.112820580732985</v>
      </c>
      <c r="AU373" s="63">
        <f t="shared" si="240"/>
        <v>62.732046706344455</v>
      </c>
      <c r="AX373" s="32">
        <f t="shared" si="241"/>
        <v>0</v>
      </c>
      <c r="AY373" s="32">
        <f t="shared" si="242"/>
        <v>0</v>
      </c>
    </row>
    <row r="374" spans="14:51" x14ac:dyDescent="0.3">
      <c r="N374" s="11">
        <v>56</v>
      </c>
      <c r="O374" s="52">
        <f t="shared" si="208"/>
        <v>36307.805477010232</v>
      </c>
      <c r="P374" s="50" t="str">
        <f t="shared" si="209"/>
        <v>131.578947368421</v>
      </c>
      <c r="Q374" s="18" t="str">
        <f t="shared" si="210"/>
        <v>1+342.193004863627i</v>
      </c>
      <c r="R374" s="18">
        <f t="shared" si="218"/>
        <v>342.19446602421584</v>
      </c>
      <c r="S374" s="18">
        <f t="shared" si="219"/>
        <v>1.5678740076967979</v>
      </c>
      <c r="T374" s="18" t="str">
        <f t="shared" si="211"/>
        <v>1+0.000752824610699981i</v>
      </c>
      <c r="U374" s="18">
        <f t="shared" si="220"/>
        <v>1.0000002833724071</v>
      </c>
      <c r="V374" s="18">
        <f t="shared" si="221"/>
        <v>7.5282446848019444E-4</v>
      </c>
      <c r="W374" s="32" t="str">
        <f t="shared" si="212"/>
        <v>1-0.182502935927268i</v>
      </c>
      <c r="X374" s="18">
        <f t="shared" si="222"/>
        <v>1.0165172510204008</v>
      </c>
      <c r="Y374" s="18">
        <f t="shared" si="223"/>
        <v>-0.18051626179911651</v>
      </c>
      <c r="Z374" s="32" t="str">
        <f t="shared" si="213"/>
        <v>0.999156315687324+0.0772435671797428i</v>
      </c>
      <c r="AA374" s="18">
        <f t="shared" si="224"/>
        <v>1.002137671105382</v>
      </c>
      <c r="AB374" s="18">
        <f t="shared" si="225"/>
        <v>7.7155325503825201E-2</v>
      </c>
      <c r="AC374" s="68" t="str">
        <f t="shared" si="226"/>
        <v>-0.0980051220734701-0.377518780358589i</v>
      </c>
      <c r="AD374" s="66">
        <f t="shared" si="227"/>
        <v>-8.1779817125326364</v>
      </c>
      <c r="AE374" s="63">
        <f t="shared" si="228"/>
        <v>-104.55292423742566</v>
      </c>
      <c r="AF374" s="32" t="str">
        <f t="shared" si="214"/>
        <v>-0.434440565864413</v>
      </c>
      <c r="AG374" s="32" t="str">
        <f t="shared" si="215"/>
        <v>5.95415828462712i</v>
      </c>
      <c r="AH374" s="32">
        <f t="shared" si="229"/>
        <v>5.9541582846271197</v>
      </c>
      <c r="AI374" s="32">
        <f t="shared" si="230"/>
        <v>1.5707963267948966</v>
      </c>
      <c r="AJ374" s="32" t="str">
        <f t="shared" si="216"/>
        <v>1+0.0589520622240309i</v>
      </c>
      <c r="AK374" s="32">
        <f t="shared" si="231"/>
        <v>1.0017361656845909</v>
      </c>
      <c r="AL374" s="32">
        <f t="shared" si="232"/>
        <v>5.888391134558725E-2</v>
      </c>
      <c r="AM374" s="32" t="str">
        <f t="shared" si="217"/>
        <v>1+5.95415828462712i</v>
      </c>
      <c r="AN374" s="32">
        <f t="shared" si="233"/>
        <v>6.0375492443866463</v>
      </c>
      <c r="AO374" s="32">
        <f t="shared" si="234"/>
        <v>1.4043994055588676</v>
      </c>
      <c r="AP374" s="60" t="str">
        <f t="shared" si="235"/>
        <v>-0.428649469059597+0.0982339987159177i</v>
      </c>
      <c r="AQ374" s="51">
        <f t="shared" si="236"/>
        <v>-7.1356534471479023</v>
      </c>
      <c r="AR374" s="63">
        <f t="shared" si="237"/>
        <v>167.09235908788011</v>
      </c>
      <c r="AS374" s="60" t="str">
        <f t="shared" si="238"/>
        <v>0.0790950229268944+0.152195789724817i</v>
      </c>
      <c r="AT374" s="66">
        <f t="shared" si="239"/>
        <v>-15.313635159680548</v>
      </c>
      <c r="AU374" s="63">
        <f t="shared" si="240"/>
        <v>62.539434850454427</v>
      </c>
      <c r="AX374" s="32">
        <f t="shared" si="241"/>
        <v>0</v>
      </c>
      <c r="AY374" s="32">
        <f t="shared" si="242"/>
        <v>0</v>
      </c>
    </row>
    <row r="375" spans="14:51" x14ac:dyDescent="0.3">
      <c r="N375" s="11">
        <v>57</v>
      </c>
      <c r="O375" s="52">
        <f t="shared" si="208"/>
        <v>37153.522909717351</v>
      </c>
      <c r="P375" s="50" t="str">
        <f t="shared" si="209"/>
        <v>131.578947368421</v>
      </c>
      <c r="Q375" s="18" t="str">
        <f t="shared" si="210"/>
        <v>1+350.163703884444i</v>
      </c>
      <c r="R375" s="18">
        <f t="shared" si="218"/>
        <v>350.16513178509445</v>
      </c>
      <c r="S375" s="18">
        <f t="shared" si="219"/>
        <v>1.5679405274348392</v>
      </c>
      <c r="T375" s="18" t="str">
        <f t="shared" si="211"/>
        <v>1+0.000770360148545777i</v>
      </c>
      <c r="U375" s="18">
        <f t="shared" si="220"/>
        <v>1.0000002967273351</v>
      </c>
      <c r="V375" s="18">
        <f t="shared" si="221"/>
        <v>7.7035999615453264E-4</v>
      </c>
      <c r="W375" s="32" t="str">
        <f t="shared" si="212"/>
        <v>1-0.186753975405037i</v>
      </c>
      <c r="X375" s="18">
        <f t="shared" si="222"/>
        <v>1.0172890677332502</v>
      </c>
      <c r="Y375" s="18">
        <f t="shared" si="223"/>
        <v>-0.18462716481092648</v>
      </c>
      <c r="Z375" s="32" t="str">
        <f t="shared" si="213"/>
        <v>0.999116554070654+0.0790428009937984i</v>
      </c>
      <c r="AA375" s="18">
        <f t="shared" si="224"/>
        <v>1.0022383214619979</v>
      </c>
      <c r="AB375" s="18">
        <f t="shared" si="225"/>
        <v>7.8948259183175967E-2</v>
      </c>
      <c r="AC375" s="68" t="str">
        <f t="shared" si="226"/>
        <v>-0.0980332494420203-0.368591477792104i</v>
      </c>
      <c r="AD375" s="66">
        <f t="shared" si="227"/>
        <v>-8.3722597751686472</v>
      </c>
      <c r="AE375" s="63">
        <f t="shared" si="228"/>
        <v>-104.89399575128043</v>
      </c>
      <c r="AF375" s="32" t="str">
        <f t="shared" si="214"/>
        <v>-0.434440565864413</v>
      </c>
      <c r="AG375" s="32" t="str">
        <f t="shared" si="215"/>
        <v>6.09284844758933i</v>
      </c>
      <c r="AH375" s="32">
        <f t="shared" si="229"/>
        <v>6.0928484475893301</v>
      </c>
      <c r="AI375" s="32">
        <f t="shared" si="230"/>
        <v>1.5707963267948966</v>
      </c>
      <c r="AJ375" s="32" t="str">
        <f t="shared" si="216"/>
        <v>1+0.0603252321543498i</v>
      </c>
      <c r="AK375" s="32">
        <f t="shared" si="231"/>
        <v>1.0018179144108355</v>
      </c>
      <c r="AL375" s="32">
        <f t="shared" si="232"/>
        <v>6.025221432736242E-2</v>
      </c>
      <c r="AM375" s="32" t="str">
        <f t="shared" si="217"/>
        <v>1+6.09284844758933i</v>
      </c>
      <c r="AN375" s="32">
        <f t="shared" si="233"/>
        <v>6.1743665428359291</v>
      </c>
      <c r="AO375" s="32">
        <f t="shared" si="234"/>
        <v>1.4081198392315022</v>
      </c>
      <c r="AP375" s="60" t="str">
        <f t="shared" si="235"/>
        <v>-0.428579515991489+0.0971575187299359i</v>
      </c>
      <c r="AQ375" s="51">
        <f t="shared" si="236"/>
        <v>-7.1417278103935171</v>
      </c>
      <c r="AR375" s="63">
        <f t="shared" si="237"/>
        <v>167.22712624932953</v>
      </c>
      <c r="AS375" s="60" t="str">
        <f t="shared" si="238"/>
        <v>0.0778264760042151+0.148446089881908i</v>
      </c>
      <c r="AT375" s="66">
        <f t="shared" si="239"/>
        <v>-15.513987585562163</v>
      </c>
      <c r="AU375" s="63">
        <f t="shared" si="240"/>
        <v>62.333130498049087</v>
      </c>
      <c r="AX375" s="32">
        <f t="shared" si="241"/>
        <v>0</v>
      </c>
      <c r="AY375" s="32">
        <f t="shared" si="242"/>
        <v>0</v>
      </c>
    </row>
    <row r="376" spans="14:51" x14ac:dyDescent="0.3">
      <c r="N376" s="11">
        <v>58</v>
      </c>
      <c r="O376" s="52">
        <f t="shared" si="208"/>
        <v>38018.939632056143</v>
      </c>
      <c r="P376" s="50" t="str">
        <f t="shared" si="209"/>
        <v>131.578947368421</v>
      </c>
      <c r="Q376" s="18" t="str">
        <f t="shared" si="210"/>
        <v>1+358.320064336024i</v>
      </c>
      <c r="R376" s="18">
        <f t="shared" si="218"/>
        <v>358.32145973381557</v>
      </c>
      <c r="S376" s="18">
        <f t="shared" si="219"/>
        <v>1.5680055330232026</v>
      </c>
      <c r="T376" s="18" t="str">
        <f t="shared" si="211"/>
        <v>1+0.000788304141539254i</v>
      </c>
      <c r="U376" s="18">
        <f t="shared" si="220"/>
        <v>1.0000003107116615</v>
      </c>
      <c r="V376" s="18">
        <f t="shared" si="221"/>
        <v>7.8830397824909649E-4</v>
      </c>
      <c r="W376" s="32" t="str">
        <f t="shared" si="212"/>
        <v>1-0.191104034312546i</v>
      </c>
      <c r="X376" s="18">
        <f t="shared" si="222"/>
        <v>1.0180966319218088</v>
      </c>
      <c r="Y376" s="18">
        <f t="shared" si="223"/>
        <v>-0.18882729775366799</v>
      </c>
      <c r="Z376" s="32" t="str">
        <f t="shared" si="213"/>
        <v>0.999074918546723+0.0808839443471961i</v>
      </c>
      <c r="AA376" s="18">
        <f t="shared" si="224"/>
        <v>1.0023437061818175</v>
      </c>
      <c r="AB376" s="18">
        <f t="shared" si="225"/>
        <v>8.078265314091819E-2</v>
      </c>
      <c r="AC376" s="68" t="str">
        <f t="shared" si="226"/>
        <v>-0.0980580486490979-0.359859733398667i</v>
      </c>
      <c r="AD376" s="66">
        <f t="shared" si="227"/>
        <v>-8.5662788609016829</v>
      </c>
      <c r="AE376" s="63">
        <f t="shared" si="228"/>
        <v>-105.24244510545262</v>
      </c>
      <c r="AF376" s="32" t="str">
        <f t="shared" si="214"/>
        <v>-0.434440565864413</v>
      </c>
      <c r="AG376" s="32" t="str">
        <f t="shared" si="215"/>
        <v>6.23476911944683i</v>
      </c>
      <c r="AH376" s="32">
        <f t="shared" si="229"/>
        <v>6.2347691194468302</v>
      </c>
      <c r="AI376" s="32">
        <f t="shared" si="230"/>
        <v>1.5707963267948966</v>
      </c>
      <c r="AJ376" s="32" t="str">
        <f t="shared" si="216"/>
        <v>1+0.0617303873212558i</v>
      </c>
      <c r="AK376" s="32">
        <f t="shared" si="231"/>
        <v>1.0019035086867558</v>
      </c>
      <c r="AL376" s="32">
        <f t="shared" si="232"/>
        <v>6.1652155336064059E-2</v>
      </c>
      <c r="AM376" s="32" t="str">
        <f t="shared" si="217"/>
        <v>1+6.23476911944683i</v>
      </c>
      <c r="AN376" s="32">
        <f t="shared" si="233"/>
        <v>6.3144553187751518</v>
      </c>
      <c r="AO376" s="32">
        <f t="shared" si="234"/>
        <v>1.4117599811440229</v>
      </c>
      <c r="AP376" s="60" t="str">
        <f t="shared" si="235"/>
        <v>-0.42850629060393+0.0961321565925046i</v>
      </c>
      <c r="AQ376" s="51">
        <f t="shared" si="236"/>
        <v>-7.1476001599210459</v>
      </c>
      <c r="AR376" s="63">
        <f t="shared" si="237"/>
        <v>167.35548030637977</v>
      </c>
      <c r="AS376" s="60" t="str">
        <f t="shared" si="238"/>
        <v>0.0766125829329023+0.144775627808491i</v>
      </c>
      <c r="AT376" s="66">
        <f t="shared" si="239"/>
        <v>-15.71387902082275</v>
      </c>
      <c r="AU376" s="63">
        <f t="shared" si="240"/>
        <v>62.113035200927044</v>
      </c>
      <c r="AX376" s="32">
        <f t="shared" si="241"/>
        <v>0</v>
      </c>
      <c r="AY376" s="32">
        <f t="shared" si="242"/>
        <v>0</v>
      </c>
    </row>
    <row r="377" spans="14:51" x14ac:dyDescent="0.3">
      <c r="N377" s="11">
        <v>59</v>
      </c>
      <c r="O377" s="52">
        <f t="shared" si="208"/>
        <v>38904.514499428085</v>
      </c>
      <c r="P377" s="50" t="str">
        <f t="shared" si="209"/>
        <v>131.578947368421</v>
      </c>
      <c r="Q377" s="18" t="str">
        <f t="shared" si="210"/>
        <v>1+366.666410828643i</v>
      </c>
      <c r="R377" s="18">
        <f t="shared" si="218"/>
        <v>366.6677744634224</v>
      </c>
      <c r="S377" s="18">
        <f t="shared" si="219"/>
        <v>1.5680690589265123</v>
      </c>
      <c r="T377" s="18" t="str">
        <f t="shared" si="211"/>
        <v>1+0.000806666103823015i</v>
      </c>
      <c r="U377" s="18">
        <f t="shared" si="220"/>
        <v>1.0000003253550487</v>
      </c>
      <c r="V377" s="18">
        <f t="shared" si="221"/>
        <v>8.0666592885446191E-4</v>
      </c>
      <c r="W377" s="32" t="str">
        <f t="shared" si="212"/>
        <v>1-0.19555541910861i</v>
      </c>
      <c r="X377" s="18">
        <f t="shared" si="222"/>
        <v>1.0189415694448549</v>
      </c>
      <c r="Y377" s="18">
        <f t="shared" si="223"/>
        <v>-0.19311829454492715</v>
      </c>
      <c r="Z377" s="32" t="str">
        <f t="shared" si="213"/>
        <v>0.999031320801001+0.0827679734385123i</v>
      </c>
      <c r="AA377" s="18">
        <f t="shared" si="224"/>
        <v>1.0024540475096655</v>
      </c>
      <c r="AB377" s="18">
        <f t="shared" si="225"/>
        <v>8.2659451605301235E-2</v>
      </c>
      <c r="AC377" s="68" t="str">
        <f t="shared" si="226"/>
        <v>-0.0980795736080369-0.351318928218858i</v>
      </c>
      <c r="AD377" s="66">
        <f t="shared" si="227"/>
        <v>-8.7600277369295778</v>
      </c>
      <c r="AE377" s="63">
        <f t="shared" si="228"/>
        <v>-105.59842144637783</v>
      </c>
      <c r="AF377" s="32" t="str">
        <f t="shared" si="214"/>
        <v>-0.434440565864413</v>
      </c>
      <c r="AG377" s="32" t="str">
        <f t="shared" si="215"/>
        <v>6.37999554841839i</v>
      </c>
      <c r="AH377" s="32">
        <f t="shared" si="229"/>
        <v>6.3799955484183899</v>
      </c>
      <c r="AI377" s="32">
        <f t="shared" si="230"/>
        <v>1.5707963267948966</v>
      </c>
      <c r="AJ377" s="32" t="str">
        <f t="shared" si="216"/>
        <v>1+0.0631682727566178i</v>
      </c>
      <c r="AK377" s="32">
        <f t="shared" si="231"/>
        <v>1.0019931290598028</v>
      </c>
      <c r="AL377" s="32">
        <f t="shared" si="232"/>
        <v>6.3084454677325597E-2</v>
      </c>
      <c r="AM377" s="32" t="str">
        <f t="shared" si="217"/>
        <v>1+6.37999554841839i</v>
      </c>
      <c r="AN377" s="32">
        <f t="shared" si="233"/>
        <v>6.4578899957988192</v>
      </c>
      <c r="AO377" s="32">
        <f t="shared" si="234"/>
        <v>1.4153213752782765</v>
      </c>
      <c r="AP377" s="60" t="str">
        <f t="shared" si="235"/>
        <v>-0.428429641024037+0.0951573405138928i</v>
      </c>
      <c r="AQ377" s="51">
        <f t="shared" si="236"/>
        <v>-7.1532821105194389</v>
      </c>
      <c r="AR377" s="63">
        <f t="shared" si="237"/>
        <v>167.47746845220146</v>
      </c>
      <c r="AS377" s="60" t="str">
        <f t="shared" si="238"/>
        <v>0.0754507713941796+0.141182450918477i</v>
      </c>
      <c r="AT377" s="66">
        <f t="shared" si="239"/>
        <v>-15.913309847449035</v>
      </c>
      <c r="AU377" s="63">
        <f t="shared" si="240"/>
        <v>61.879047005823587</v>
      </c>
      <c r="AX377" s="32">
        <f t="shared" si="241"/>
        <v>0</v>
      </c>
      <c r="AY377" s="32">
        <f t="shared" si="242"/>
        <v>0</v>
      </c>
    </row>
    <row r="378" spans="14:51" x14ac:dyDescent="0.3">
      <c r="N378" s="11">
        <v>60</v>
      </c>
      <c r="O378" s="52">
        <f t="shared" si="208"/>
        <v>39810.717055349742</v>
      </c>
      <c r="P378" s="50" t="str">
        <f t="shared" si="209"/>
        <v>131.578947368421</v>
      </c>
      <c r="Q378" s="18" t="str">
        <f t="shared" si="210"/>
        <v>1+375.207168705685i</v>
      </c>
      <c r="R378" s="18">
        <f t="shared" si="218"/>
        <v>375.20850130045875</v>
      </c>
      <c r="S378" s="18">
        <f t="shared" si="219"/>
        <v>1.5681311388249914</v>
      </c>
      <c r="T378" s="18" t="str">
        <f t="shared" si="211"/>
        <v>1+0.000825455771152508i</v>
      </c>
      <c r="U378" s="18">
        <f t="shared" si="220"/>
        <v>1.0000003406885571</v>
      </c>
      <c r="V378" s="18">
        <f t="shared" si="221"/>
        <v>8.2545558367032898E-4</v>
      </c>
      <c r="W378" s="32" t="str">
        <f t="shared" si="212"/>
        <v>1-0.200110489976366i</v>
      </c>
      <c r="X378" s="18">
        <f t="shared" si="222"/>
        <v>1.0198255773408418</v>
      </c>
      <c r="Y378" s="18">
        <f t="shared" si="223"/>
        <v>-0.19750179795401651</v>
      </c>
      <c r="Z378" s="32" t="str">
        <f t="shared" si="213"/>
        <v>0.998985668356825+0.0846958872049091i</v>
      </c>
      <c r="AA378" s="18">
        <f t="shared" si="224"/>
        <v>1.0025695780801245</v>
      </c>
      <c r="AB378" s="18">
        <f t="shared" si="225"/>
        <v>8.4579619276144685E-2</v>
      </c>
      <c r="AC378" s="68" t="str">
        <f t="shared" si="226"/>
        <v>-0.0980978714132356-0.342964545167908i</v>
      </c>
      <c r="AD378" s="66">
        <f t="shared" si="227"/>
        <v>-8.9534947305620953</v>
      </c>
      <c r="AE378" s="63">
        <f t="shared" si="228"/>
        <v>-105.9620755429527</v>
      </c>
      <c r="AF378" s="32" t="str">
        <f t="shared" si="214"/>
        <v>-0.434440565864413</v>
      </c>
      <c r="AG378" s="32" t="str">
        <f t="shared" si="215"/>
        <v>6.52860473547893i</v>
      </c>
      <c r="AH378" s="32">
        <f t="shared" si="229"/>
        <v>6.5286047354789298</v>
      </c>
      <c r="AI378" s="32">
        <f t="shared" si="230"/>
        <v>1.5707963267948966</v>
      </c>
      <c r="AJ378" s="32" t="str">
        <f t="shared" si="216"/>
        <v>1+0.0646396508463261i</v>
      </c>
      <c r="AK378" s="32">
        <f t="shared" si="231"/>
        <v>1.002086964520313</v>
      </c>
      <c r="AL378" s="32">
        <f t="shared" si="232"/>
        <v>6.4549848255269299E-2</v>
      </c>
      <c r="AM378" s="32" t="str">
        <f t="shared" si="217"/>
        <v>1+6.52860473547893i</v>
      </c>
      <c r="AN378" s="32">
        <f t="shared" si="233"/>
        <v>6.6047467621490155</v>
      </c>
      <c r="AO378" s="32">
        <f t="shared" si="234"/>
        <v>1.4188055483795601</v>
      </c>
      <c r="AP378" s="60" t="str">
        <f t="shared" si="235"/>
        <v>-0.428349408445764+0.0942325235191868i</v>
      </c>
      <c r="AQ378" s="51">
        <f t="shared" si="236"/>
        <v>-7.1587849416034928</v>
      </c>
      <c r="AR378" s="63">
        <f t="shared" si="237"/>
        <v>167.59313599865627</v>
      </c>
      <c r="AS378" s="60" t="str">
        <f t="shared" si="238"/>
        <v>0.0743385797584302+0.137664650065414i</v>
      </c>
      <c r="AT378" s="66">
        <f t="shared" si="239"/>
        <v>-16.112279672165588</v>
      </c>
      <c r="AU378" s="63">
        <f t="shared" si="240"/>
        <v>61.631060455703555</v>
      </c>
      <c r="AX378" s="32">
        <f t="shared" si="241"/>
        <v>0</v>
      </c>
      <c r="AY378" s="32">
        <f t="shared" si="242"/>
        <v>0</v>
      </c>
    </row>
    <row r="379" spans="14:51" x14ac:dyDescent="0.3">
      <c r="N379" s="11">
        <v>61</v>
      </c>
      <c r="O379" s="52">
        <f t="shared" si="208"/>
        <v>40738.027780411358</v>
      </c>
      <c r="P379" s="50" t="str">
        <f t="shared" si="209"/>
        <v>131.578947368421</v>
      </c>
      <c r="Q379" s="18" t="str">
        <f t="shared" si="210"/>
        <v>1+383.946866390031i</v>
      </c>
      <c r="R379" s="18">
        <f t="shared" si="218"/>
        <v>383.94816865134845</v>
      </c>
      <c r="S379" s="18">
        <f t="shared" si="219"/>
        <v>1.5681918056323088</v>
      </c>
      <c r="T379" s="18" t="str">
        <f t="shared" si="211"/>
        <v>1+0.000844683106058068i</v>
      </c>
      <c r="U379" s="18">
        <f t="shared" si="220"/>
        <v>1.0000003567447111</v>
      </c>
      <c r="V379" s="18">
        <f t="shared" si="221"/>
        <v>8.446829051672977E-4</v>
      </c>
      <c r="W379" s="32" t="str">
        <f t="shared" si="212"/>
        <v>1-0.204771662074683i</v>
      </c>
      <c r="X379" s="18">
        <f t="shared" si="222"/>
        <v>1.0207504266904952</v>
      </c>
      <c r="Y379" s="18">
        <f t="shared" si="223"/>
        <v>-0.20197945801441458</v>
      </c>
      <c r="Z379" s="32" t="str">
        <f t="shared" si="213"/>
        <v>0.99893786437924+0.0866687078517847i</v>
      </c>
      <c r="AA379" s="18">
        <f t="shared" si="224"/>
        <v>1.0026905413991172</v>
      </c>
      <c r="AB379" s="18">
        <f t="shared" si="225"/>
        <v>8.654414169471257E-2</v>
      </c>
      <c r="AC379" s="68" t="str">
        <f t="shared" si="226"/>
        <v>-0.0981129824519717-0.334792166692874i</v>
      </c>
      <c r="AD379" s="66">
        <f t="shared" si="227"/>
        <v>-9.1466677163356227</v>
      </c>
      <c r="AE379" s="63">
        <f t="shared" si="228"/>
        <v>-106.33355971749324</v>
      </c>
      <c r="AF379" s="32" t="str">
        <f t="shared" si="214"/>
        <v>-0.434440565864413</v>
      </c>
      <c r="AG379" s="32" t="str">
        <f t="shared" si="215"/>
        <v>6.68067547518655i</v>
      </c>
      <c r="AH379" s="32">
        <f t="shared" si="229"/>
        <v>6.6806754751865496</v>
      </c>
      <c r="AI379" s="32">
        <f t="shared" si="230"/>
        <v>1.5707963267948966</v>
      </c>
      <c r="AJ379" s="32" t="str">
        <f t="shared" si="216"/>
        <v>1+0.0661453017345203i</v>
      </c>
      <c r="AK379" s="32">
        <f t="shared" si="231"/>
        <v>1.0021852128930813</v>
      </c>
      <c r="AL379" s="32">
        <f t="shared" si="232"/>
        <v>6.6049087852739954E-2</v>
      </c>
      <c r="AM379" s="32" t="str">
        <f t="shared" si="217"/>
        <v>1+6.68067547518655i</v>
      </c>
      <c r="AN379" s="32">
        <f t="shared" si="233"/>
        <v>6.7551036116967911</v>
      </c>
      <c r="AO379" s="32">
        <f t="shared" si="234"/>
        <v>1.4222140092608331</v>
      </c>
      <c r="AP379" s="60" t="str">
        <f t="shared" si="235"/>
        <v>-0.428265426824505+0.0933571830194753i</v>
      </c>
      <c r="AQ379" s="51">
        <f t="shared" si="236"/>
        <v>-7.1641196150946742</v>
      </c>
      <c r="AR379" s="63">
        <f t="shared" si="237"/>
        <v>167.70252632037469</v>
      </c>
      <c r="AS379" s="60" t="str">
        <f t="shared" si="238"/>
        <v>0.0732736518862522+0.134220358506869i</v>
      </c>
      <c r="AT379" s="66">
        <f t="shared" si="239"/>
        <v>-16.310787331430308</v>
      </c>
      <c r="AU379" s="63">
        <f t="shared" si="240"/>
        <v>61.3689666028814</v>
      </c>
      <c r="AX379" s="32">
        <f t="shared" si="241"/>
        <v>0</v>
      </c>
      <c r="AY379" s="32">
        <f t="shared" si="242"/>
        <v>0</v>
      </c>
    </row>
    <row r="380" spans="14:51" x14ac:dyDescent="0.3">
      <c r="N380" s="11">
        <v>62</v>
      </c>
      <c r="O380" s="52">
        <f t="shared" si="208"/>
        <v>41686.938347033625</v>
      </c>
      <c r="P380" s="50" t="str">
        <f t="shared" si="209"/>
        <v>131.578947368421</v>
      </c>
      <c r="Q380" s="18" t="str">
        <f t="shared" si="210"/>
        <v>1+392.890137785074i</v>
      </c>
      <c r="R380" s="18">
        <f t="shared" si="218"/>
        <v>392.89141040340195</v>
      </c>
      <c r="S380" s="18">
        <f t="shared" si="219"/>
        <v>1.568251091513021</v>
      </c>
      <c r="T380" s="18" t="str">
        <f t="shared" si="211"/>
        <v>1+0.000864358303127164i</v>
      </c>
      <c r="U380" s="18">
        <f t="shared" si="220"/>
        <v>1.0000003735575682</v>
      </c>
      <c r="V380" s="18">
        <f t="shared" si="221"/>
        <v>8.6435808786882969E-4</v>
      </c>
      <c r="W380" s="32" t="str">
        <f t="shared" si="212"/>
        <v>1-0.209541406818706i</v>
      </c>
      <c r="X380" s="18">
        <f t="shared" si="222"/>
        <v>1.0217179655714987</v>
      </c>
      <c r="Y380" s="18">
        <f t="shared" si="223"/>
        <v>-0.206552930303606</v>
      </c>
      <c r="Z380" s="32" t="str">
        <f t="shared" si="213"/>
        <v>0.9988878074696+0.0886874813947595i</v>
      </c>
      <c r="AA380" s="18">
        <f t="shared" si="224"/>
        <v>1.0028171923474241</v>
      </c>
      <c r="AB380" s="18">
        <f t="shared" si="225"/>
        <v>8.8554025614780429E-2</v>
      </c>
      <c r="AC380" s="68" t="str">
        <f t="shared" si="226"/>
        <v>-0.0981249405031192-0.326797472485621i</v>
      </c>
      <c r="AD380" s="66">
        <f t="shared" si="227"/>
        <v>-9.339534103177181</v>
      </c>
      <c r="AE380" s="63">
        <f t="shared" si="228"/>
        <v>-106.71302776913465</v>
      </c>
      <c r="AF380" s="32" t="str">
        <f t="shared" si="214"/>
        <v>-0.434440565864413</v>
      </c>
      <c r="AG380" s="32" t="str">
        <f t="shared" si="215"/>
        <v>6.8362883974603i</v>
      </c>
      <c r="AH380" s="32">
        <f t="shared" si="229"/>
        <v>6.8362883974602999</v>
      </c>
      <c r="AI380" s="32">
        <f t="shared" si="230"/>
        <v>1.5707963267948966</v>
      </c>
      <c r="AJ380" s="32" t="str">
        <f t="shared" si="216"/>
        <v>1+0.0676860237372307i</v>
      </c>
      <c r="AK380" s="32">
        <f t="shared" si="231"/>
        <v>1.0022880812467825</v>
      </c>
      <c r="AL380" s="32">
        <f t="shared" si="232"/>
        <v>6.758294141227289E-2</v>
      </c>
      <c r="AM380" s="32" t="str">
        <f t="shared" si="217"/>
        <v>1+6.8362883974603i</v>
      </c>
      <c r="AN380" s="32">
        <f t="shared" si="233"/>
        <v>6.9090403858459482</v>
      </c>
      <c r="AO380" s="32">
        <f t="shared" si="234"/>
        <v>1.4255482481843609</v>
      </c>
      <c r="AP380" s="60" t="str">
        <f t="shared" si="235"/>
        <v>-0.428177522559312+0.0925308203864242i</v>
      </c>
      <c r="AQ380" s="51">
        <f t="shared" si="236"/>
        <v>-7.1692967930949845</v>
      </c>
      <c r="AR380" s="63">
        <f t="shared" si="237"/>
        <v>167.80568080322874</v>
      </c>
      <c r="AS380" s="60" t="str">
        <f t="shared" si="238"/>
        <v>0.0722537321552099+0.130847750902415i</v>
      </c>
      <c r="AT380" s="66">
        <f t="shared" si="239"/>
        <v>-16.508830896272187</v>
      </c>
      <c r="AU380" s="63">
        <f t="shared" si="240"/>
        <v>61.092653034093992</v>
      </c>
      <c r="AX380" s="32">
        <f t="shared" si="241"/>
        <v>0</v>
      </c>
      <c r="AY380" s="32">
        <f t="shared" si="242"/>
        <v>0</v>
      </c>
    </row>
    <row r="381" spans="14:51" x14ac:dyDescent="0.3">
      <c r="N381" s="11">
        <v>63</v>
      </c>
      <c r="O381" s="52">
        <f t="shared" si="208"/>
        <v>42657.951880159271</v>
      </c>
      <c r="P381" s="50" t="str">
        <f t="shared" si="209"/>
        <v>131.578947368421</v>
      </c>
      <c r="Q381" s="18" t="str">
        <f t="shared" si="210"/>
        <v>1+402.041724731686i</v>
      </c>
      <c r="R381" s="18">
        <f t="shared" si="218"/>
        <v>402.04296838177481</v>
      </c>
      <c r="S381" s="18">
        <f t="shared" si="219"/>
        <v>1.5683090278996192</v>
      </c>
      <c r="T381" s="18" t="str">
        <f t="shared" si="211"/>
        <v>1+0.00088449179440971i</v>
      </c>
      <c r="U381" s="18">
        <f t="shared" si="220"/>
        <v>1.0000003911627906</v>
      </c>
      <c r="V381" s="18">
        <f t="shared" si="221"/>
        <v>8.8449156375625408E-4</v>
      </c>
      <c r="W381" s="32" t="str">
        <f t="shared" si="212"/>
        <v>1-0.214422253190233i</v>
      </c>
      <c r="X381" s="18">
        <f t="shared" si="222"/>
        <v>1.0227301221061089</v>
      </c>
      <c r="Y381" s="18">
        <f t="shared" si="223"/>
        <v>-0.21122387408386653</v>
      </c>
      <c r="Z381" s="32" t="str">
        <f t="shared" si="213"/>
        <v>0.99883539145049+0.0907532782142871i</v>
      </c>
      <c r="AA381" s="18">
        <f t="shared" si="224"/>
        <v>1.0029497977070905</v>
      </c>
      <c r="AB381" s="18">
        <f t="shared" si="225"/>
        <v>9.0610299374421957E-2</v>
      </c>
      <c r="AC381" s="68" t="str">
        <f t="shared" si="226"/>
        <v>-0.0981337728230827-0.318976237250649i</v>
      </c>
      <c r="AD381" s="66">
        <f t="shared" si="227"/>
        <v>-9.5320808216691368</v>
      </c>
      <c r="AE381" s="63">
        <f t="shared" si="228"/>
        <v>-107.10063488927443</v>
      </c>
      <c r="AF381" s="32" t="str">
        <f t="shared" si="214"/>
        <v>-0.434440565864413</v>
      </c>
      <c r="AG381" s="32" t="str">
        <f t="shared" si="215"/>
        <v>6.99552601033135i</v>
      </c>
      <c r="AH381" s="32">
        <f t="shared" si="229"/>
        <v>6.9955260103313499</v>
      </c>
      <c r="AI381" s="32">
        <f t="shared" si="230"/>
        <v>1.5707963267948966</v>
      </c>
      <c r="AJ381" s="32" t="str">
        <f t="shared" si="216"/>
        <v>1+0.0692626337656569i</v>
      </c>
      <c r="AK381" s="32">
        <f t="shared" si="231"/>
        <v>1.0023957863220274</v>
      </c>
      <c r="AL381" s="32">
        <f t="shared" si="232"/>
        <v>6.9152193317421506E-2</v>
      </c>
      <c r="AM381" s="32" t="str">
        <f t="shared" si="217"/>
        <v>1+6.99552601033135i</v>
      </c>
      <c r="AN381" s="32">
        <f t="shared" si="233"/>
        <v>7.066638816383815</v>
      </c>
      <c r="AO381" s="32">
        <f t="shared" si="234"/>
        <v>1.4288097363160379</v>
      </c>
      <c r="AP381" s="60" t="str">
        <f t="shared" si="235"/>
        <v>-0.428085514162352+0.0917529605293754i</v>
      </c>
      <c r="AQ381" s="51">
        <f t="shared" si="236"/>
        <v>-7.1743268553515902</v>
      </c>
      <c r="AR381" s="63">
        <f t="shared" si="237"/>
        <v>167.90263879694794</v>
      </c>
      <c r="AS381" s="60" t="str">
        <f t="shared" si="238"/>
        <v>0.0712766607019283+0.127545042344581i</v>
      </c>
      <c r="AT381" s="66">
        <f t="shared" si="239"/>
        <v>-16.706407677020753</v>
      </c>
      <c r="AU381" s="63">
        <f t="shared" si="240"/>
        <v>60.802003907673416</v>
      </c>
      <c r="AX381" s="32">
        <f t="shared" si="241"/>
        <v>0</v>
      </c>
      <c r="AY381" s="32">
        <f t="shared" si="242"/>
        <v>0</v>
      </c>
    </row>
    <row r="382" spans="14:51" x14ac:dyDescent="0.3">
      <c r="N382" s="11">
        <v>64</v>
      </c>
      <c r="O382" s="52">
        <f t="shared" si="208"/>
        <v>43651.583224016598</v>
      </c>
      <c r="P382" s="50" t="str">
        <f t="shared" si="209"/>
        <v>131.578947368421</v>
      </c>
      <c r="Q382" s="18" t="str">
        <f t="shared" si="210"/>
        <v>1+411.406479522402i</v>
      </c>
      <c r="R382" s="18">
        <f t="shared" si="218"/>
        <v>411.4076948636432</v>
      </c>
      <c r="S382" s="18">
        <f t="shared" si="219"/>
        <v>1.5683656455091854</v>
      </c>
      <c r="T382" s="18" t="str">
        <f t="shared" si="211"/>
        <v>1+0.000905094254949285i</v>
      </c>
      <c r="U382" s="18">
        <f t="shared" si="220"/>
        <v>1.0000004095977213</v>
      </c>
      <c r="V382" s="18">
        <f t="shared" si="221"/>
        <v>9.0509400779965963E-4</v>
      </c>
      <c r="W382" s="32" t="str">
        <f t="shared" si="212"/>
        <v>1-0.219416789078614i</v>
      </c>
      <c r="X382" s="18">
        <f t="shared" si="222"/>
        <v>1.0237889076023285</v>
      </c>
      <c r="Y382" s="18">
        <f t="shared" si="223"/>
        <v>-0.21599395029745558</v>
      </c>
      <c r="Z382" s="32" t="str">
        <f t="shared" si="213"/>
        <v>0.998780505140504+0.0928671936231854i</v>
      </c>
      <c r="AA382" s="18">
        <f t="shared" si="224"/>
        <v>1.0030886367117149</v>
      </c>
      <c r="AB382" s="18">
        <f t="shared" si="225"/>
        <v>9.2714013267998358E-2</v>
      </c>
      <c r="AC382" s="68" t="str">
        <f t="shared" si="226"/>
        <v>-0.0981395002192503-0.311324328526801i</v>
      </c>
      <c r="AD382" s="66">
        <f t="shared" si="227"/>
        <v>-9.7242943114725637</v>
      </c>
      <c r="AE382" s="63">
        <f t="shared" si="228"/>
        <v>-107.49653756865678</v>
      </c>
      <c r="AF382" s="32" t="str">
        <f t="shared" si="214"/>
        <v>-0.434440565864413</v>
      </c>
      <c r="AG382" s="32" t="str">
        <f t="shared" si="215"/>
        <v>7.1584727436898i</v>
      </c>
      <c r="AH382" s="32">
        <f t="shared" si="229"/>
        <v>7.1584727436898001</v>
      </c>
      <c r="AI382" s="32">
        <f t="shared" si="230"/>
        <v>1.5707963267948966</v>
      </c>
      <c r="AJ382" s="32" t="str">
        <f t="shared" si="216"/>
        <v>1+0.070875967759305i</v>
      </c>
      <c r="AK382" s="32">
        <f t="shared" si="231"/>
        <v>1.0025085549788679</v>
      </c>
      <c r="AL382" s="32">
        <f t="shared" si="232"/>
        <v>7.0757644674028272E-2</v>
      </c>
      <c r="AM382" s="32" t="str">
        <f t="shared" si="217"/>
        <v>1+7.1584727436898i</v>
      </c>
      <c r="AN382" s="32">
        <f t="shared" si="233"/>
        <v>7.2279825693031237</v>
      </c>
      <c r="AO382" s="32">
        <f t="shared" si="234"/>
        <v>1.4319999252478175</v>
      </c>
      <c r="AP382" s="60" t="str">
        <f t="shared" si="235"/>
        <v>-0.427989211915186+0.0910231514740684i</v>
      </c>
      <c r="AQ382" s="51">
        <f t="shared" si="236"/>
        <v>-7.1792199165129524</v>
      </c>
      <c r="AR382" s="63">
        <f t="shared" si="237"/>
        <v>167.99343757164118</v>
      </c>
      <c r="AS382" s="60" t="str">
        <f t="shared" si="238"/>
        <v>0.0703403688696448+0.124310487422164i</v>
      </c>
      <c r="AT382" s="66">
        <f t="shared" si="239"/>
        <v>-16.903514227985507</v>
      </c>
      <c r="AU382" s="63">
        <f t="shared" si="240"/>
        <v>60.496900002984411</v>
      </c>
      <c r="AX382" s="32">
        <f t="shared" si="241"/>
        <v>0</v>
      </c>
      <c r="AY382" s="32">
        <f t="shared" si="242"/>
        <v>0</v>
      </c>
    </row>
    <row r="383" spans="14:51" x14ac:dyDescent="0.3">
      <c r="N383" s="11">
        <v>65</v>
      </c>
      <c r="O383" s="52">
        <f t="shared" si="208"/>
        <v>44668.359215096389</v>
      </c>
      <c r="P383" s="50" t="str">
        <f t="shared" si="209"/>
        <v>131.578947368421</v>
      </c>
      <c r="Q383" s="18" t="str">
        <f t="shared" si="210"/>
        <v>1+420.989367474171i</v>
      </c>
      <c r="R383" s="18">
        <f t="shared" si="218"/>
        <v>420.99055515094705</v>
      </c>
      <c r="S383" s="18">
        <f t="shared" si="219"/>
        <v>1.5684209743596733</v>
      </c>
      <c r="T383" s="18" t="str">
        <f t="shared" si="211"/>
        <v>1+0.000926176608443176i</v>
      </c>
      <c r="U383" s="18">
        <f t="shared" si="220"/>
        <v>1.000000428901463</v>
      </c>
      <c r="V383" s="18">
        <f t="shared" si="221"/>
        <v>9.261763436175872E-4</v>
      </c>
      <c r="W383" s="32" t="str">
        <f t="shared" si="212"/>
        <v>1-0.224527662652891i</v>
      </c>
      <c r="X383" s="18">
        <f t="shared" si="222"/>
        <v>1.0248964197890293</v>
      </c>
      <c r="Y383" s="18">
        <f t="shared" si="223"/>
        <v>-0.22086481940967023</v>
      </c>
      <c r="Z383" s="32" t="str">
        <f t="shared" si="213"/>
        <v>0.99872303211842+0.0950303484473859i</v>
      </c>
      <c r="AA383" s="18">
        <f t="shared" si="224"/>
        <v>1.0032340016216765</v>
      </c>
      <c r="AB383" s="18">
        <f t="shared" si="225"/>
        <v>9.4866239917779538E-2</v>
      </c>
      <c r="AC383" s="68" t="str">
        <f t="shared" si="226"/>
        <v>-0.0981421371112421-0.303837704561991i</v>
      </c>
      <c r="AD383" s="66">
        <f t="shared" si="227"/>
        <v>-9.9161605089714904</v>
      </c>
      <c r="AE383" s="63">
        <f t="shared" si="228"/>
        <v>-107.90089349568886</v>
      </c>
      <c r="AF383" s="32" t="str">
        <f t="shared" si="214"/>
        <v>-0.434440565864413</v>
      </c>
      <c r="AG383" s="32" t="str">
        <f t="shared" si="215"/>
        <v>7.32521499405058i</v>
      </c>
      <c r="AH383" s="32">
        <f t="shared" si="229"/>
        <v>7.3252149940505804</v>
      </c>
      <c r="AI383" s="32">
        <f t="shared" si="230"/>
        <v>1.5707963267948966</v>
      </c>
      <c r="AJ383" s="32" t="str">
        <f t="shared" si="216"/>
        <v>1+0.0725268811292137i</v>
      </c>
      <c r="AK383" s="32">
        <f t="shared" si="231"/>
        <v>1.0026266246646012</v>
      </c>
      <c r="AL383" s="32">
        <f t="shared" si="232"/>
        <v>7.2400113590988233E-2</v>
      </c>
      <c r="AM383" s="32" t="str">
        <f t="shared" si="217"/>
        <v>1+7.32521499405058i</v>
      </c>
      <c r="AN383" s="32">
        <f t="shared" si="233"/>
        <v>7.3931572896201416</v>
      </c>
      <c r="AO383" s="32">
        <f t="shared" si="234"/>
        <v>1.4351202465838904</v>
      </c>
      <c r="AP383" s="60" t="str">
        <f t="shared" si="235"/>
        <v>-0.42788841751149+0.0903409639420479i</v>
      </c>
      <c r="AQ383" s="51">
        <f t="shared" si="236"/>
        <v>-7.1839858431784185</v>
      </c>
      <c r="AR383" s="63">
        <f t="shared" si="237"/>
        <v>168.07811227799954</v>
      </c>
      <c r="AS383" s="60" t="str">
        <f t="shared" si="238"/>
        <v>0.0694428748517945+0.121142379315392i</v>
      </c>
      <c r="AT383" s="66">
        <f t="shared" si="239"/>
        <v>-17.100146352149892</v>
      </c>
      <c r="AU383" s="63">
        <f t="shared" si="240"/>
        <v>60.177218782310732</v>
      </c>
      <c r="AX383" s="32">
        <f t="shared" si="241"/>
        <v>0</v>
      </c>
      <c r="AY383" s="32">
        <f t="shared" si="242"/>
        <v>0</v>
      </c>
    </row>
    <row r="384" spans="14:51" x14ac:dyDescent="0.3">
      <c r="N384" s="11">
        <v>66</v>
      </c>
      <c r="O384" s="52">
        <f t="shared" ref="O384:O418" si="243">10^(4+(N384/100))</f>
        <v>45708.818961487581</v>
      </c>
      <c r="P384" s="50" t="str">
        <f t="shared" si="209"/>
        <v>131.578947368421</v>
      </c>
      <c r="Q384" s="18" t="str">
        <f t="shared" si="210"/>
        <v>1+430.795469561025i</v>
      </c>
      <c r="R384" s="18">
        <f t="shared" si="218"/>
        <v>430.79663020305071</v>
      </c>
      <c r="S384" s="18">
        <f t="shared" si="219"/>
        <v>1.5684750437858157</v>
      </c>
      <c r="T384" s="18" t="str">
        <f t="shared" si="211"/>
        <v>1+0.000947750033034255i</v>
      </c>
      <c r="U384" s="18">
        <f t="shared" si="220"/>
        <v>1.0000004491149617</v>
      </c>
      <c r="V384" s="18">
        <f t="shared" si="221"/>
        <v>9.4774974926853102E-4</v>
      </c>
      <c r="W384" s="32" t="str">
        <f t="shared" si="212"/>
        <v>1-0.22975758376588i</v>
      </c>
      <c r="X384" s="18">
        <f t="shared" si="222"/>
        <v>1.0260548461451442</v>
      </c>
      <c r="Y384" s="18">
        <f t="shared" si="223"/>
        <v>-0.22583813909319767</v>
      </c>
      <c r="Z384" s="32" t="str">
        <f t="shared" si="213"/>
        <v>0.998662850476253+0.0972438896202079i</v>
      </c>
      <c r="AA384" s="18">
        <f t="shared" si="224"/>
        <v>1.0033861983253618</v>
      </c>
      <c r="AB384" s="18">
        <f t="shared" si="225"/>
        <v>9.706807464458235E-2</v>
      </c>
      <c r="AC384" s="68" t="str">
        <f t="shared" si="226"/>
        <v>-0.0981416915802184-0.296512412240057i</v>
      </c>
      <c r="AD384" s="66">
        <f t="shared" si="227"/>
        <v>-10.107664835208359</v>
      </c>
      <c r="AE384" s="63">
        <f t="shared" si="228"/>
        <v>-108.31386144558068</v>
      </c>
      <c r="AF384" s="32" t="str">
        <f t="shared" si="214"/>
        <v>-0.434440565864413</v>
      </c>
      <c r="AG384" s="32" t="str">
        <f t="shared" si="215"/>
        <v>7.49584117036184i</v>
      </c>
      <c r="AH384" s="32">
        <f t="shared" si="229"/>
        <v>7.4958411703618397</v>
      </c>
      <c r="AI384" s="32">
        <f t="shared" si="230"/>
        <v>1.5707963267948966</v>
      </c>
      <c r="AJ384" s="32" t="str">
        <f t="shared" si="216"/>
        <v>1+0.0742162492115034i</v>
      </c>
      <c r="AK384" s="32">
        <f t="shared" si="231"/>
        <v>1.0027502439027498</v>
      </c>
      <c r="AL384" s="32">
        <f t="shared" si="232"/>
        <v>7.4080435460013513E-2</v>
      </c>
      <c r="AM384" s="32" t="str">
        <f t="shared" si="217"/>
        <v>1+7.49584117036184i</v>
      </c>
      <c r="AN384" s="32">
        <f t="shared" si="233"/>
        <v>7.5622506472141975</v>
      </c>
      <c r="AO384" s="32">
        <f t="shared" si="234"/>
        <v>1.4381721115864374</v>
      </c>
      <c r="AP384" s="60" t="str">
        <f t="shared" si="235"/>
        <v>-0.427782923685805+0.0897059909297629i</v>
      </c>
      <c r="AQ384" s="51">
        <f t="shared" si="236"/>
        <v>-7.1886342707458653</v>
      </c>
      <c r="AR384" s="63">
        <f t="shared" si="237"/>
        <v>168.15669591097048</v>
      </c>
      <c r="AS384" s="60" t="str">
        <f t="shared" si="238"/>
        <v>0.0685822795226251+0.118039048922456i</v>
      </c>
      <c r="AT384" s="66">
        <f t="shared" si="239"/>
        <v>-17.296299105954201</v>
      </c>
      <c r="AU384" s="63">
        <f t="shared" si="240"/>
        <v>59.842834465389885</v>
      </c>
      <c r="AX384" s="32">
        <f t="shared" si="241"/>
        <v>0</v>
      </c>
      <c r="AY384" s="32">
        <f t="shared" si="242"/>
        <v>0</v>
      </c>
    </row>
    <row r="385" spans="14:51" x14ac:dyDescent="0.3">
      <c r="N385" s="11">
        <v>67</v>
      </c>
      <c r="O385" s="52">
        <f t="shared" si="243"/>
        <v>46773.514128719893</v>
      </c>
      <c r="P385" s="50" t="str">
        <f t="shared" si="209"/>
        <v>131.578947368421</v>
      </c>
      <c r="Q385" s="18" t="str">
        <f t="shared" si="210"/>
        <v>1+440.829985108095i</v>
      </c>
      <c r="R385" s="18">
        <f t="shared" si="218"/>
        <v>440.83111933075151</v>
      </c>
      <c r="S385" s="18">
        <f t="shared" si="219"/>
        <v>1.5685278824546727</v>
      </c>
      <c r="T385" s="18" t="str">
        <f t="shared" si="211"/>
        <v>1+0.000969825967237809i</v>
      </c>
      <c r="U385" s="18">
        <f t="shared" si="220"/>
        <v>1.0000004702810927</v>
      </c>
      <c r="V385" s="18">
        <f t="shared" si="221"/>
        <v>9.6982566317736524E-4</v>
      </c>
      <c r="W385" s="32" t="str">
        <f t="shared" si="212"/>
        <v>1-0.235109325390984i</v>
      </c>
      <c r="X385" s="18">
        <f t="shared" si="222"/>
        <v>1.0272664673227698</v>
      </c>
      <c r="Y385" s="18">
        <f t="shared" si="223"/>
        <v>-0.23091556174733088</v>
      </c>
      <c r="Z385" s="32" t="str">
        <f t="shared" si="213"/>
        <v>0.998599832560672+0.0995089907904822i</v>
      </c>
      <c r="AA385" s="18">
        <f t="shared" si="224"/>
        <v>1.0035455469675219</v>
      </c>
      <c r="AB385" s="18">
        <f t="shared" si="225"/>
        <v>9.9320635836765148E-2</v>
      </c>
      <c r="AC385" s="68" t="str">
        <f t="shared" si="226"/>
        <v>-0.0981381654065049-0.289344585058967i</v>
      </c>
      <c r="AD385" s="66">
        <f t="shared" si="227"/>
        <v>-10.298792184185285</v>
      </c>
      <c r="AE385" s="63">
        <f t="shared" si="228"/>
        <v>-108.73560115989834</v>
      </c>
      <c r="AF385" s="32" t="str">
        <f t="shared" si="214"/>
        <v>-0.434440565864413</v>
      </c>
      <c r="AG385" s="32" t="str">
        <f t="shared" si="215"/>
        <v>7.67044174088086i</v>
      </c>
      <c r="AH385" s="32">
        <f t="shared" si="229"/>
        <v>7.6704417408808601</v>
      </c>
      <c r="AI385" s="32">
        <f t="shared" si="230"/>
        <v>1.5707963267948966</v>
      </c>
      <c r="AJ385" s="32" t="str">
        <f t="shared" si="216"/>
        <v>1+0.0759449677314937i</v>
      </c>
      <c r="AK385" s="32">
        <f t="shared" si="231"/>
        <v>1.0028796728041394</v>
      </c>
      <c r="AL385" s="32">
        <f t="shared" si="232"/>
        <v>7.5799463233870032E-2</v>
      </c>
      <c r="AM385" s="32" t="str">
        <f t="shared" si="217"/>
        <v>1+7.67044174088086i</v>
      </c>
      <c r="AN385" s="32">
        <f t="shared" si="233"/>
        <v>7.7353523837151332</v>
      </c>
      <c r="AO385" s="32">
        <f t="shared" si="234"/>
        <v>1.4411569108770048</v>
      </c>
      <c r="AP385" s="60" t="str">
        <f t="shared" si="235"/>
        <v>-0.427672513827952+0.0891178472863313i</v>
      </c>
      <c r="AQ385" s="51">
        <f t="shared" si="236"/>
        <v>-7.19317462006273</v>
      </c>
      <c r="AR385" s="63">
        <f t="shared" si="237"/>
        <v>168.22921927670586</v>
      </c>
      <c r="AS385" s="60" t="str">
        <f t="shared" si="238"/>
        <v>0.0677567624462752+0.114998864017016i</v>
      </c>
      <c r="AT385" s="66">
        <f t="shared" si="239"/>
        <v>-17.49196680424804</v>
      </c>
      <c r="AU385" s="63">
        <f t="shared" si="240"/>
        <v>59.493618116807454</v>
      </c>
      <c r="AX385" s="32">
        <f t="shared" si="241"/>
        <v>0</v>
      </c>
      <c r="AY385" s="32">
        <f t="shared" si="242"/>
        <v>0</v>
      </c>
    </row>
    <row r="386" spans="14:51" x14ac:dyDescent="0.3">
      <c r="N386" s="11">
        <v>68</v>
      </c>
      <c r="O386" s="52">
        <f t="shared" si="243"/>
        <v>47863.009232263823</v>
      </c>
      <c r="P386" s="50" t="str">
        <f t="shared" si="209"/>
        <v>131.578947368421</v>
      </c>
      <c r="Q386" s="18" t="str">
        <f t="shared" si="210"/>
        <v>1+451.098234548341i</v>
      </c>
      <c r="R386" s="18">
        <f t="shared" si="218"/>
        <v>451.09934295300195</v>
      </c>
      <c r="S386" s="18">
        <f t="shared" si="219"/>
        <v>1.5685795183808251</v>
      </c>
      <c r="T386" s="18" t="str">
        <f t="shared" si="211"/>
        <v>1+0.000992416116006351i</v>
      </c>
      <c r="U386" s="18">
        <f t="shared" si="220"/>
        <v>1.0000004924447523</v>
      </c>
      <c r="V386" s="18">
        <f t="shared" si="221"/>
        <v>9.9241579019972441E-4</v>
      </c>
      <c r="W386" s="32" t="str">
        <f t="shared" si="212"/>
        <v>1-0.240585725092449i</v>
      </c>
      <c r="X386" s="18">
        <f t="shared" si="222"/>
        <v>1.0285336606636943</v>
      </c>
      <c r="Y386" s="18">
        <f t="shared" si="223"/>
        <v>-0.23609873184563368</v>
      </c>
      <c r="Z386" s="32" t="str">
        <f t="shared" si="213"/>
        <v>0.998533844702229+0.10182685294483i</v>
      </c>
      <c r="AA386" s="18">
        <f t="shared" si="224"/>
        <v>1.0037123826059251</v>
      </c>
      <c r="AB386" s="18">
        <f t="shared" si="225"/>
        <v>0.10162506531683703</v>
      </c>
      <c r="AC386" s="68" t="str">
        <f t="shared" si="226"/>
        <v>-0.098131554095778-0.282330441159586i</v>
      </c>
      <c r="AD386" s="66">
        <f t="shared" si="227"/>
        <v>-10.489526911614265</v>
      </c>
      <c r="AE386" s="63">
        <f t="shared" si="228"/>
        <v>-109.16627321612586</v>
      </c>
      <c r="AF386" s="32" t="str">
        <f t="shared" si="214"/>
        <v>-0.434440565864413</v>
      </c>
      <c r="AG386" s="32" t="str">
        <f t="shared" si="215"/>
        <v>7.84910928114115i</v>
      </c>
      <c r="AH386" s="32">
        <f t="shared" si="229"/>
        <v>7.8491092811411498</v>
      </c>
      <c r="AI386" s="32">
        <f t="shared" si="230"/>
        <v>1.5707963267948966</v>
      </c>
      <c r="AJ386" s="32" t="str">
        <f t="shared" si="216"/>
        <v>1+0.0777139532786253i</v>
      </c>
      <c r="AK386" s="32">
        <f t="shared" si="231"/>
        <v>1.0030151836010222</v>
      </c>
      <c r="AL386" s="32">
        <f t="shared" si="232"/>
        <v>7.7558067702497221E-2</v>
      </c>
      <c r="AM386" s="32" t="str">
        <f t="shared" si="217"/>
        <v>1+7.84910928114115i</v>
      </c>
      <c r="AN386" s="32">
        <f t="shared" si="233"/>
        <v>7.9125543604638908</v>
      </c>
      <c r="AO386" s="32">
        <f t="shared" si="234"/>
        <v>1.4440760141896967</v>
      </c>
      <c r="AP386" s="60" t="str">
        <f t="shared" si="235"/>
        <v>-0.427556961582697+0.0885761692888822i</v>
      </c>
      <c r="AQ386" s="51">
        <f t="shared" si="236"/>
        <v>-7.1976161138883334</v>
      </c>
      <c r="AR386" s="63">
        <f t="shared" si="237"/>
        <v>168.29571096260059</v>
      </c>
      <c r="AS386" s="60" t="str">
        <f t="shared" si="238"/>
        <v>0.0669645780561352+0.112020228436326i</v>
      </c>
      <c r="AT386" s="66">
        <f t="shared" si="239"/>
        <v>-17.687143025502614</v>
      </c>
      <c r="AU386" s="63">
        <f t="shared" si="240"/>
        <v>59.129437746474657</v>
      </c>
      <c r="AX386" s="32">
        <f t="shared" si="241"/>
        <v>0</v>
      </c>
      <c r="AY386" s="32">
        <f t="shared" si="242"/>
        <v>0</v>
      </c>
    </row>
    <row r="387" spans="14:51" x14ac:dyDescent="0.3">
      <c r="N387" s="11">
        <v>69</v>
      </c>
      <c r="O387" s="52">
        <f t="shared" si="243"/>
        <v>48977.881936844598</v>
      </c>
      <c r="P387" s="50" t="str">
        <f t="shared" si="209"/>
        <v>131.578947368421</v>
      </c>
      <c r="Q387" s="18" t="str">
        <f t="shared" si="210"/>
        <v>1+461.605662243537i</v>
      </c>
      <c r="R387" s="18">
        <f t="shared" si="218"/>
        <v>461.60674541788745</v>
      </c>
      <c r="S387" s="18">
        <f t="shared" si="219"/>
        <v>1.5686299789412224</v>
      </c>
      <c r="T387" s="18" t="str">
        <f t="shared" si="211"/>
        <v>1+0.00101553245693578i</v>
      </c>
      <c r="U387" s="18">
        <f t="shared" si="220"/>
        <v>1.0000005156529526</v>
      </c>
      <c r="V387" s="18">
        <f t="shared" si="221"/>
        <v>1.0155321078276994E-3</v>
      </c>
      <c r="W387" s="32" t="str">
        <f t="shared" si="212"/>
        <v>1-0.246189686529886i</v>
      </c>
      <c r="X387" s="18">
        <f t="shared" si="222"/>
        <v>1.0298589038085186</v>
      </c>
      <c r="Y387" s="18">
        <f t="shared" si="223"/>
        <v>-0.24138928310589436</v>
      </c>
      <c r="Z387" s="32" t="str">
        <f t="shared" si="213"/>
        <v>0.998464746931828+0.104198705044447i</v>
      </c>
      <c r="AA387" s="18">
        <f t="shared" si="224"/>
        <v>1.0038870558975141</v>
      </c>
      <c r="AB387" s="18">
        <f t="shared" si="225"/>
        <v>0.10398252870491526</v>
      </c>
      <c r="AC387" s="68" t="str">
        <f t="shared" si="226"/>
        <v>-0.0981218468940338-0.275466281404267i</v>
      </c>
      <c r="AD387" s="66">
        <f t="shared" si="227"/>
        <v>-10.679852824206279</v>
      </c>
      <c r="AE387" s="63">
        <f t="shared" si="228"/>
        <v>-109.60603888683464</v>
      </c>
      <c r="AF387" s="32" t="str">
        <f t="shared" si="214"/>
        <v>-0.434440565864413</v>
      </c>
      <c r="AG387" s="32" t="str">
        <f t="shared" si="215"/>
        <v>8.03193852303755i</v>
      </c>
      <c r="AH387" s="32">
        <f t="shared" si="229"/>
        <v>8.0319385230375495</v>
      </c>
      <c r="AI387" s="32">
        <f t="shared" si="230"/>
        <v>1.5707963267948966</v>
      </c>
      <c r="AJ387" s="32" t="str">
        <f t="shared" si="216"/>
        <v>1+0.079524143792451i</v>
      </c>
      <c r="AK387" s="32">
        <f t="shared" si="231"/>
        <v>1.0031570612052345</v>
      </c>
      <c r="AL387" s="32">
        <f t="shared" si="232"/>
        <v>7.935713776639608E-2</v>
      </c>
      <c r="AM387" s="32" t="str">
        <f t="shared" si="217"/>
        <v>1+8.03193852303755i</v>
      </c>
      <c r="AN387" s="32">
        <f t="shared" si="233"/>
        <v>8.0939506075744383</v>
      </c>
      <c r="AO387" s="32">
        <f t="shared" si="234"/>
        <v>1.4469307701726253</v>
      </c>
      <c r="AP387" s="60" t="str">
        <f t="shared" si="235"/>
        <v>-0.427436030434305+0.0880806142143375i</v>
      </c>
      <c r="AQ387" s="51">
        <f t="shared" si="236"/>
        <v>-7.201967793175994</v>
      </c>
      <c r="AR387" s="63">
        <f t="shared" si="237"/>
        <v>168.35619731025241</v>
      </c>
      <c r="AS387" s="60" t="str">
        <f t="shared" si="238"/>
        <v>0.0662040519966958+0.109101581299667i</v>
      </c>
      <c r="AT387" s="66">
        <f t="shared" si="239"/>
        <v>-17.881820617382296</v>
      </c>
      <c r="AU387" s="63">
        <f t="shared" si="240"/>
        <v>58.750158423417666</v>
      </c>
      <c r="AX387" s="32">
        <f t="shared" si="241"/>
        <v>0</v>
      </c>
      <c r="AY387" s="32">
        <f t="shared" si="242"/>
        <v>0</v>
      </c>
    </row>
    <row r="388" spans="14:51" x14ac:dyDescent="0.3">
      <c r="N388" s="11">
        <v>70</v>
      </c>
      <c r="O388" s="52">
        <f t="shared" si="243"/>
        <v>50118.723362727294</v>
      </c>
      <c r="P388" s="50" t="str">
        <f t="shared" si="209"/>
        <v>131.578947368421</v>
      </c>
      <c r="Q388" s="18" t="str">
        <f t="shared" si="210"/>
        <v>1+472.357839370929i</v>
      </c>
      <c r="R388" s="18">
        <f t="shared" si="218"/>
        <v>472.35889788927693</v>
      </c>
      <c r="S388" s="18">
        <f t="shared" si="219"/>
        <v>1.5686792908896932</v>
      </c>
      <c r="T388" s="18" t="str">
        <f t="shared" si="211"/>
        <v>1+0.00103918724661604i</v>
      </c>
      <c r="U388" s="18">
        <f t="shared" si="220"/>
        <v>1.000000539954921</v>
      </c>
      <c r="V388" s="18">
        <f t="shared" si="221"/>
        <v>1.039186872540003E-3</v>
      </c>
      <c r="W388" s="32" t="str">
        <f t="shared" si="212"/>
        <v>1-0.251924180997829i</v>
      </c>
      <c r="X388" s="18">
        <f t="shared" si="222"/>
        <v>1.0312447783971692</v>
      </c>
      <c r="Y388" s="18">
        <f t="shared" si="223"/>
        <v>-0.24678883547636921</v>
      </c>
      <c r="Z388" s="32" t="str">
        <f t="shared" si="213"/>
        <v>0.998392392683834+0.106625804676713i</v>
      </c>
      <c r="AA388" s="18">
        <f t="shared" si="224"/>
        <v>1.0040699338153232</v>
      </c>
      <c r="AB388" s="18">
        <f t="shared" si="225"/>
        <v>0.10639421577816358</v>
      </c>
      <c r="AC388" s="68" t="str">
        <f t="shared" si="226"/>
        <v>-0.0981090267915769-0.268748487504623i</v>
      </c>
      <c r="AD388" s="66">
        <f t="shared" si="227"/>
        <v>-10.869753169595169</v>
      </c>
      <c r="AE388" s="63">
        <f t="shared" si="228"/>
        <v>-110.05505998806966</v>
      </c>
      <c r="AF388" s="32" t="str">
        <f t="shared" si="214"/>
        <v>-0.434440565864413</v>
      </c>
      <c r="AG388" s="32" t="str">
        <f t="shared" si="215"/>
        <v>8.21902640505417i</v>
      </c>
      <c r="AH388" s="32">
        <f t="shared" si="229"/>
        <v>8.2190264050541693</v>
      </c>
      <c r="AI388" s="32">
        <f t="shared" si="230"/>
        <v>1.5707963267948966</v>
      </c>
      <c r="AJ388" s="32" t="str">
        <f t="shared" si="216"/>
        <v>1+0.0813764990599423i</v>
      </c>
      <c r="AK388" s="32">
        <f t="shared" si="231"/>
        <v>1.0033056037914134</v>
      </c>
      <c r="AL388" s="32">
        <f t="shared" si="232"/>
        <v>8.1197580706594927E-2</v>
      </c>
      <c r="AM388" s="32" t="str">
        <f t="shared" si="217"/>
        <v>1+8.21902640505417i</v>
      </c>
      <c r="AN388" s="32">
        <f t="shared" si="233"/>
        <v>8.2796373741231957</v>
      </c>
      <c r="AO388" s="32">
        <f t="shared" si="234"/>
        <v>1.4497225062341841</v>
      </c>
      <c r="AP388" s="60" t="str">
        <f t="shared" si="235"/>
        <v>-0.427309473275614+0.0876308599064449i</v>
      </c>
      <c r="AQ388" s="51">
        <f t="shared" si="236"/>
        <v>-7.2062385331848802</v>
      </c>
      <c r="AR388" s="63">
        <f t="shared" si="237"/>
        <v>168.41070239118613</v>
      </c>
      <c r="AS388" s="60" t="str">
        <f t="shared" si="238"/>
        <v>0.0654735776204784+0.106241396256888i</v>
      </c>
      <c r="AT388" s="66">
        <f t="shared" si="239"/>
        <v>-18.075991702780055</v>
      </c>
      <c r="AU388" s="63">
        <f t="shared" si="240"/>
        <v>58.355642403116455</v>
      </c>
      <c r="AX388" s="32">
        <f t="shared" si="241"/>
        <v>0</v>
      </c>
      <c r="AY388" s="32">
        <f t="shared" si="242"/>
        <v>0</v>
      </c>
    </row>
    <row r="389" spans="14:51" x14ac:dyDescent="0.3">
      <c r="N389" s="11">
        <v>71</v>
      </c>
      <c r="O389" s="52">
        <f t="shared" si="243"/>
        <v>51286.138399136544</v>
      </c>
      <c r="P389" s="50" t="str">
        <f t="shared" si="209"/>
        <v>131.578947368421</v>
      </c>
      <c r="Q389" s="18" t="str">
        <f t="shared" si="210"/>
        <v>1+483.360466877151i</v>
      </c>
      <c r="R389" s="18">
        <f t="shared" si="218"/>
        <v>483.3615013007319</v>
      </c>
      <c r="S389" s="18">
        <f t="shared" si="219"/>
        <v>1.5687274803711255</v>
      </c>
      <c r="T389" s="18" t="str">
        <f t="shared" si="211"/>
        <v>1+0.00106339302712973i</v>
      </c>
      <c r="U389" s="18">
        <f t="shared" si="220"/>
        <v>1.0000005654022053</v>
      </c>
      <c r="V389" s="18">
        <f t="shared" si="221"/>
        <v>1.063392626300047E-3</v>
      </c>
      <c r="W389" s="32" t="str">
        <f t="shared" si="212"/>
        <v>1-0.257792249001147i</v>
      </c>
      <c r="X389" s="18">
        <f t="shared" si="222"/>
        <v>1.0326939738591823</v>
      </c>
      <c r="Y389" s="18">
        <f t="shared" si="223"/>
        <v>-0.2522989919326421</v>
      </c>
      <c r="Z389" s="32" t="str">
        <f t="shared" si="213"/>
        <v>0.998316628485187+0.109109438721977i</v>
      </c>
      <c r="AA389" s="18">
        <f t="shared" si="224"/>
        <v>1.0042614003974542</v>
      </c>
      <c r="AB389" s="18">
        <f t="shared" si="225"/>
        <v>0.10886134082529801</v>
      </c>
      <c r="AC389" s="68" t="str">
        <f t="shared" si="226"/>
        <v>-0.0980930705162371-0.262173520197802i</v>
      </c>
      <c r="AD389" s="66">
        <f t="shared" si="227"/>
        <v>-11.059210627002162</v>
      </c>
      <c r="AE389" s="63">
        <f t="shared" si="228"/>
        <v>-110.51349871657523</v>
      </c>
      <c r="AF389" s="32" t="str">
        <f t="shared" si="214"/>
        <v>-0.434440565864413</v>
      </c>
      <c r="AG389" s="32" t="str">
        <f t="shared" si="215"/>
        <v>8.41047212366243i</v>
      </c>
      <c r="AH389" s="32">
        <f t="shared" si="229"/>
        <v>8.41047212366243</v>
      </c>
      <c r="AI389" s="32">
        <f t="shared" si="230"/>
        <v>1.5707963267948966</v>
      </c>
      <c r="AJ389" s="32" t="str">
        <f t="shared" si="216"/>
        <v>1+0.0832720012243805i</v>
      </c>
      <c r="AK389" s="32">
        <f t="shared" si="231"/>
        <v>1.0034611234063398</v>
      </c>
      <c r="AL389" s="32">
        <f t="shared" si="232"/>
        <v>8.3080322450463734E-2</v>
      </c>
      <c r="AM389" s="32" t="str">
        <f t="shared" si="217"/>
        <v>1+8.41047212366243i</v>
      </c>
      <c r="AN389" s="32">
        <f t="shared" si="233"/>
        <v>8.4697131794944998</v>
      </c>
      <c r="AO389" s="32">
        <f t="shared" si="234"/>
        <v>1.4524525284309315</v>
      </c>
      <c r="AP389" s="60" t="str">
        <f t="shared" si="235"/>
        <v>-0.42717703196128+0.0872266043368024i</v>
      </c>
      <c r="AQ389" s="51">
        <f t="shared" si="236"/>
        <v>-7.2104370594326443</v>
      </c>
      <c r="AR389" s="63">
        <f t="shared" si="237"/>
        <v>168.45924798520002</v>
      </c>
      <c r="AS389" s="60" t="str">
        <f t="shared" si="238"/>
        <v>0.0647716126329751+0.103438180766836i</v>
      </c>
      <c r="AT389" s="66">
        <f t="shared" si="239"/>
        <v>-18.269647686434801</v>
      </c>
      <c r="AU389" s="63">
        <f t="shared" si="240"/>
        <v>57.945749268624823</v>
      </c>
      <c r="AX389" s="32">
        <f t="shared" si="241"/>
        <v>0</v>
      </c>
      <c r="AY389" s="32">
        <f t="shared" si="242"/>
        <v>0</v>
      </c>
    </row>
    <row r="390" spans="14:51" x14ac:dyDescent="0.3">
      <c r="N390" s="11">
        <v>72</v>
      </c>
      <c r="O390" s="52">
        <f t="shared" si="243"/>
        <v>52480.746024977314</v>
      </c>
      <c r="P390" s="50" t="str">
        <f t="shared" si="209"/>
        <v>131.578947368421</v>
      </c>
      <c r="Q390" s="18" t="str">
        <f t="shared" si="210"/>
        <v>1+494.619378500941i</v>
      </c>
      <c r="R390" s="18">
        <f t="shared" si="218"/>
        <v>494.62038937821507</v>
      </c>
      <c r="S390" s="18">
        <f t="shared" si="219"/>
        <v>1.5687745729353246</v>
      </c>
      <c r="T390" s="18" t="str">
        <f t="shared" si="211"/>
        <v>1+0.00108816263270207i</v>
      </c>
      <c r="U390" s="18">
        <f t="shared" si="220"/>
        <v>1.0000005920487824</v>
      </c>
      <c r="V390" s="18">
        <f t="shared" si="221"/>
        <v>1.0881622032053401E-3</v>
      </c>
      <c r="W390" s="32" t="str">
        <f t="shared" si="212"/>
        <v>1-0.263797001867169i</v>
      </c>
      <c r="X390" s="18">
        <f t="shared" si="222"/>
        <v>1.0342092912917129</v>
      </c>
      <c r="Y390" s="18">
        <f t="shared" si="223"/>
        <v>-0.25792133507981962</v>
      </c>
      <c r="Z390" s="32" t="str">
        <f t="shared" si="213"/>
        <v>0.998237293629864+0.111650924035885i</v>
      </c>
      <c r="AA390" s="18">
        <f t="shared" si="224"/>
        <v>1.0044618575294646</v>
      </c>
      <c r="AB390" s="18">
        <f t="shared" si="225"/>
        <v>0.11138514299518264</v>
      </c>
      <c r="AC390" s="68" t="str">
        <f t="shared" si="226"/>
        <v>-0.0980739485160338-0.255737917470672i</v>
      </c>
      <c r="AD390" s="66">
        <f t="shared" si="227"/>
        <v>-11.248207298753687</v>
      </c>
      <c r="AE390" s="63">
        <f t="shared" si="228"/>
        <v>-110.98151747550122</v>
      </c>
      <c r="AF390" s="32" t="str">
        <f t="shared" si="214"/>
        <v>-0.434440565864413</v>
      </c>
      <c r="AG390" s="32" t="str">
        <f t="shared" si="215"/>
        <v>8.60637718591639i</v>
      </c>
      <c r="AH390" s="32">
        <f t="shared" si="229"/>
        <v>8.60637718591639</v>
      </c>
      <c r="AI390" s="32">
        <f t="shared" si="230"/>
        <v>1.5707963267948966</v>
      </c>
      <c r="AJ390" s="32" t="str">
        <f t="shared" si="216"/>
        <v>1+0.0852116553061029i</v>
      </c>
      <c r="AK390" s="32">
        <f t="shared" si="231"/>
        <v>1.0036239466055032</v>
      </c>
      <c r="AL390" s="32">
        <f t="shared" si="232"/>
        <v>8.5006307832584782E-2</v>
      </c>
      <c r="AM390" s="32" t="str">
        <f t="shared" si="217"/>
        <v>1+8.60637718591639i</v>
      </c>
      <c r="AN390" s="32">
        <f t="shared" si="233"/>
        <v>8.6642788659104308</v>
      </c>
      <c r="AO390" s="32">
        <f t="shared" si="234"/>
        <v>1.4551221213940226</v>
      </c>
      <c r="AP390" s="60" t="str">
        <f t="shared" si="235"/>
        <v>-0.427038436844841+0.0868675651585624i</v>
      </c>
      <c r="AQ390" s="51">
        <f t="shared" si="236"/>
        <v>-7.2145719635011254</v>
      </c>
      <c r="AR390" s="63">
        <f t="shared" si="237"/>
        <v>168.50185356120352</v>
      </c>
      <c r="AS390" s="60" t="str">
        <f t="shared" si="238"/>
        <v>0.0640966758788871+0.100690475405557i</v>
      </c>
      <c r="AT390" s="66">
        <f t="shared" si="239"/>
        <v>-18.462779262254791</v>
      </c>
      <c r="AU390" s="63">
        <f t="shared" si="240"/>
        <v>57.520336085702425</v>
      </c>
      <c r="AX390" s="32">
        <f t="shared" si="241"/>
        <v>0</v>
      </c>
      <c r="AY390" s="32">
        <f t="shared" si="242"/>
        <v>0</v>
      </c>
    </row>
    <row r="391" spans="14:51" x14ac:dyDescent="0.3">
      <c r="N391" s="11">
        <v>73</v>
      </c>
      <c r="O391" s="52">
        <f t="shared" si="243"/>
        <v>53703.179637025423</v>
      </c>
      <c r="P391" s="50" t="str">
        <f t="shared" si="209"/>
        <v>131.578947368421</v>
      </c>
      <c r="Q391" s="18" t="str">
        <f t="shared" si="210"/>
        <v>1+506.140543866276i</v>
      </c>
      <c r="R391" s="18">
        <f t="shared" si="218"/>
        <v>506.14153173321961</v>
      </c>
      <c r="S391" s="18">
        <f t="shared" si="219"/>
        <v>1.568820593550555</v>
      </c>
      <c r="T391" s="18" t="str">
        <f t="shared" si="211"/>
        <v>1+0.00111350919650581i</v>
      </c>
      <c r="U391" s="18">
        <f t="shared" si="220"/>
        <v>1.0000006199511733</v>
      </c>
      <c r="V391" s="18">
        <f t="shared" si="221"/>
        <v>1.113508736291788E-3</v>
      </c>
      <c r="W391" s="32" t="str">
        <f t="shared" si="212"/>
        <v>1-0.269941623395347i</v>
      </c>
      <c r="X391" s="18">
        <f t="shared" si="222"/>
        <v>1.0357936474227458</v>
      </c>
      <c r="Y391" s="18">
        <f t="shared" si="223"/>
        <v>-0.26365742355518917</v>
      </c>
      <c r="Z391" s="32" t="str">
        <f t="shared" si="213"/>
        <v>0.998154219837999+0.114251608147592i</v>
      </c>
      <c r="AA391" s="18">
        <f t="shared" si="224"/>
        <v>1.0046717257615621</v>
      </c>
      <c r="AB391" s="18">
        <f t="shared" si="225"/>
        <v>0.11396688663842766</v>
      </c>
      <c r="AC391" s="68" t="str">
        <f t="shared" si="226"/>
        <v>-0.0980516249315-0.249438292831403i</v>
      </c>
      <c r="AD391" s="66">
        <f t="shared" si="227"/>
        <v>-11.436724702772196</v>
      </c>
      <c r="AE391" s="63">
        <f t="shared" si="228"/>
        <v>-111.45927868824835</v>
      </c>
      <c r="AF391" s="32" t="str">
        <f t="shared" si="214"/>
        <v>-0.434440565864413</v>
      </c>
      <c r="AG391" s="32" t="str">
        <f t="shared" si="215"/>
        <v>8.80684546327321i</v>
      </c>
      <c r="AH391" s="32">
        <f t="shared" si="229"/>
        <v>8.8068454632732092</v>
      </c>
      <c r="AI391" s="32">
        <f t="shared" si="230"/>
        <v>1.5707963267948966</v>
      </c>
      <c r="AJ391" s="32" t="str">
        <f t="shared" si="216"/>
        <v>1+0.0871964897353783i</v>
      </c>
      <c r="AK391" s="32">
        <f t="shared" si="231"/>
        <v>1.003794415118042</v>
      </c>
      <c r="AL391" s="32">
        <f t="shared" si="232"/>
        <v>8.6976500849822294E-2</v>
      </c>
      <c r="AM391" s="32" t="str">
        <f t="shared" si="217"/>
        <v>1+8.80684546327321i</v>
      </c>
      <c r="AN391" s="32">
        <f t="shared" si="233"/>
        <v>8.8634376521740101</v>
      </c>
      <c r="AO391" s="32">
        <f t="shared" si="234"/>
        <v>1.4577325482912964</v>
      </c>
      <c r="AP391" s="60" t="str">
        <f t="shared" si="235"/>
        <v>-0.426893406299305+0.0865534792514281i</v>
      </c>
      <c r="AQ391" s="51">
        <f t="shared" si="236"/>
        <v>-7.2186517187076706</v>
      </c>
      <c r="AR391" s="63">
        <f t="shared" si="237"/>
        <v>168.53853626043093</v>
      </c>
      <c r="AS391" s="60" t="str">
        <f t="shared" si="238"/>
        <v>0.0634473442632844+0.0979968532042037i</v>
      </c>
      <c r="AT391" s="66">
        <f t="shared" si="239"/>
        <v>-18.655376421479868</v>
      </c>
      <c r="AU391" s="63">
        <f t="shared" si="240"/>
        <v>57.079257572182577</v>
      </c>
      <c r="AX391" s="32">
        <f t="shared" si="241"/>
        <v>0</v>
      </c>
      <c r="AY391" s="32">
        <f t="shared" si="242"/>
        <v>0</v>
      </c>
    </row>
    <row r="392" spans="14:51" x14ac:dyDescent="0.3">
      <c r="N392" s="11">
        <v>74</v>
      </c>
      <c r="O392" s="52">
        <f t="shared" si="243"/>
        <v>54954.087385762505</v>
      </c>
      <c r="P392" s="50" t="str">
        <f t="shared" si="209"/>
        <v>131.578947368421</v>
      </c>
      <c r="Q392" s="18" t="str">
        <f t="shared" si="210"/>
        <v>1+517.930071647529i</v>
      </c>
      <c r="R392" s="18">
        <f t="shared" si="218"/>
        <v>517.93103702791791</v>
      </c>
      <c r="S392" s="18">
        <f t="shared" si="219"/>
        <v>1.5688655666167763</v>
      </c>
      <c r="T392" s="18" t="str">
        <f t="shared" si="211"/>
        <v>1+0.00113944615762456i</v>
      </c>
      <c r="U392" s="18">
        <f t="shared" si="220"/>
        <v>1.0000006491685625</v>
      </c>
      <c r="V392" s="18">
        <f t="shared" si="221"/>
        <v>1.1394456644963681E-3</v>
      </c>
      <c r="W392" s="32" t="str">
        <f t="shared" si="212"/>
        <v>1-0.276229371545349i</v>
      </c>
      <c r="X392" s="18">
        <f t="shared" si="222"/>
        <v>1.0374500786564809</v>
      </c>
      <c r="Y392" s="18">
        <f t="shared" si="223"/>
        <v>-0.26950878822705643</v>
      </c>
      <c r="Z392" s="32" t="str">
        <f t="shared" si="213"/>
        <v>0.998067230898943+0.116912869974237i</v>
      </c>
      <c r="AA392" s="18">
        <f t="shared" si="224"/>
        <v>1.0048914451620619</v>
      </c>
      <c r="AB392" s="18">
        <f t="shared" si="225"/>
        <v>0.11660786164084849</v>
      </c>
      <c r="AC392" s="68" t="str">
        <f t="shared" si="226"/>
        <v>-0.098026057557874-0.243271333627896i</v>
      </c>
      <c r="AD392" s="66">
        <f t="shared" si="227"/>
        <v>-11.62474376617064</v>
      </c>
      <c r="AE392" s="63">
        <f t="shared" si="228"/>
        <v>-111.94694460014321</v>
      </c>
      <c r="AF392" s="32" t="str">
        <f t="shared" si="214"/>
        <v>-0.434440565864413</v>
      </c>
      <c r="AG392" s="32" t="str">
        <f t="shared" si="215"/>
        <v>9.01198324666701i</v>
      </c>
      <c r="AH392" s="32">
        <f t="shared" si="229"/>
        <v>9.0119832466670093</v>
      </c>
      <c r="AI392" s="32">
        <f t="shared" si="230"/>
        <v>1.5707963267948966</v>
      </c>
      <c r="AJ392" s="32" t="str">
        <f t="shared" si="216"/>
        <v>1+0.0892275568976932i</v>
      </c>
      <c r="AK392" s="32">
        <f t="shared" si="231"/>
        <v>1.0039728865412307</v>
      </c>
      <c r="AL392" s="32">
        <f t="shared" si="232"/>
        <v>8.8991884909668487E-2</v>
      </c>
      <c r="AM392" s="32" t="str">
        <f t="shared" si="217"/>
        <v>1+9.01198324666701i</v>
      </c>
      <c r="AN392" s="32">
        <f t="shared" si="233"/>
        <v>9.0672951886550397</v>
      </c>
      <c r="AO392" s="32">
        <f t="shared" si="234"/>
        <v>1.4602850508222913</v>
      </c>
      <c r="AP392" s="60" t="str">
        <f t="shared" si="235"/>
        <v>-0.426741646220955+0.0862841022564933i</v>
      </c>
      <c r="AQ392" s="51">
        <f t="shared" si="236"/>
        <v>-7.2226846956559898</v>
      </c>
      <c r="AR392" s="63">
        <f t="shared" si="237"/>
        <v>168.56931088192624</v>
      </c>
      <c r="AS392" s="60" t="str">
        <f t="shared" si="238"/>
        <v>0.0628222498016201+0.095355919016611i</v>
      </c>
      <c r="AT392" s="66">
        <f t="shared" si="239"/>
        <v>-18.847428461826631</v>
      </c>
      <c r="AU392" s="63">
        <f t="shared" si="240"/>
        <v>56.622366281783016</v>
      </c>
      <c r="AX392" s="32">
        <f t="shared" si="241"/>
        <v>0</v>
      </c>
      <c r="AY392" s="32">
        <f t="shared" si="242"/>
        <v>0</v>
      </c>
    </row>
    <row r="393" spans="14:51" x14ac:dyDescent="0.3">
      <c r="N393" s="11">
        <v>75</v>
      </c>
      <c r="O393" s="52">
        <f t="shared" si="243"/>
        <v>56234.132519034953</v>
      </c>
      <c r="P393" s="50" t="str">
        <f t="shared" si="209"/>
        <v>131.578947368421</v>
      </c>
      <c r="Q393" s="18" t="str">
        <f t="shared" si="210"/>
        <v>1+529.994212808385i</v>
      </c>
      <c r="R393" s="18">
        <f t="shared" si="218"/>
        <v>529.99515621407306</v>
      </c>
      <c r="S393" s="18">
        <f t="shared" si="219"/>
        <v>1.5689095159785751</v>
      </c>
      <c r="T393" s="18" t="str">
        <f t="shared" si="211"/>
        <v>1+0.00116598726817845i</v>
      </c>
      <c r="U393" s="18">
        <f t="shared" si="220"/>
        <v>1.0000006797629237</v>
      </c>
      <c r="V393" s="18">
        <f t="shared" si="221"/>
        <v>1.1659867397820919E-3</v>
      </c>
      <c r="W393" s="32" t="str">
        <f t="shared" si="212"/>
        <v>1-0.282663580164472i</v>
      </c>
      <c r="X393" s="18">
        <f t="shared" si="222"/>
        <v>1.0391817451973437</v>
      </c>
      <c r="Y393" s="18">
        <f t="shared" si="223"/>
        <v>-0.27547692818610769</v>
      </c>
      <c r="Z393" s="32" t="str">
        <f t="shared" si="213"/>
        <v>0.997976142297492+0.119636120552068i</v>
      </c>
      <c r="AA393" s="18">
        <f t="shared" si="224"/>
        <v>1.0051214762085889</v>
      </c>
      <c r="AB393" s="18">
        <f t="shared" si="225"/>
        <v>0.11930938374756053</v>
      </c>
      <c r="AC393" s="68" t="str">
        <f t="shared" si="226"/>
        <v>-0.0979971977973753-0.237233799412625i</v>
      </c>
      <c r="AD393" s="66">
        <f t="shared" si="227"/>
        <v>-11.812244820087358</v>
      </c>
      <c r="AE393" s="63">
        <f t="shared" si="228"/>
        <v>-112.44467706766183</v>
      </c>
      <c r="AF393" s="32" t="str">
        <f t="shared" si="214"/>
        <v>-0.434440565864413</v>
      </c>
      <c r="AG393" s="32" t="str">
        <f t="shared" si="215"/>
        <v>9.22189930286591i</v>
      </c>
      <c r="AH393" s="32">
        <f t="shared" si="229"/>
        <v>9.2218993028659106</v>
      </c>
      <c r="AI393" s="32">
        <f t="shared" si="230"/>
        <v>1.5707963267948966</v>
      </c>
      <c r="AJ393" s="32" t="str">
        <f t="shared" si="216"/>
        <v>1+0.0913059336917417i</v>
      </c>
      <c r="AK393" s="32">
        <f t="shared" si="231"/>
        <v>1.0041597350657518</v>
      </c>
      <c r="AL393" s="32">
        <f t="shared" si="232"/>
        <v>9.1053463070877957E-2</v>
      </c>
      <c r="AM393" s="32" t="str">
        <f t="shared" si="217"/>
        <v>1+9.22189930286591i</v>
      </c>
      <c r="AN393" s="32">
        <f t="shared" si="233"/>
        <v>9.2759596135493574</v>
      </c>
      <c r="AO393" s="32">
        <f t="shared" si="234"/>
        <v>1.4627808492436125</v>
      </c>
      <c r="AP393" s="60" t="str">
        <f t="shared" si="235"/>
        <v>-0.426582849516126+0.0860592080993921i</v>
      </c>
      <c r="AQ393" s="51">
        <f t="shared" si="236"/>
        <v>-7.2266791776805439</v>
      </c>
      <c r="AR393" s="63">
        <f t="shared" si="237"/>
        <v>168.59418987020973</v>
      </c>
      <c r="AS393" s="60" t="str">
        <f t="shared" si="238"/>
        <v>0.0622200767928603+0.092766308916573i</v>
      </c>
      <c r="AT393" s="66">
        <f t="shared" si="239"/>
        <v>-19.038923997767906</v>
      </c>
      <c r="AU393" s="63">
        <f t="shared" si="240"/>
        <v>56.149512802547903</v>
      </c>
      <c r="AX393" s="32">
        <f t="shared" si="241"/>
        <v>0</v>
      </c>
      <c r="AY393" s="32">
        <f t="shared" si="242"/>
        <v>0</v>
      </c>
    </row>
    <row r="394" spans="14:51" x14ac:dyDescent="0.3">
      <c r="N394" s="11">
        <v>76</v>
      </c>
      <c r="O394" s="52">
        <f t="shared" si="243"/>
        <v>57543.993733715732</v>
      </c>
      <c r="P394" s="50" t="str">
        <f t="shared" si="209"/>
        <v>131.578947368421</v>
      </c>
      <c r="Q394" s="18" t="str">
        <f t="shared" si="210"/>
        <v>1+542.339363916175i</v>
      </c>
      <c r="R394" s="18">
        <f t="shared" si="218"/>
        <v>542.34028584736473</v>
      </c>
      <c r="S394" s="18">
        <f t="shared" si="219"/>
        <v>1.5689524649378053</v>
      </c>
      <c r="T394" s="18" t="str">
        <f t="shared" si="211"/>
        <v>1+0.00119314660061559i</v>
      </c>
      <c r="U394" s="18">
        <f t="shared" si="220"/>
        <v>1.0000007117991521</v>
      </c>
      <c r="V394" s="18">
        <f t="shared" si="221"/>
        <v>1.1931460344287131E-3</v>
      </c>
      <c r="W394" s="32" t="str">
        <f t="shared" si="212"/>
        <v>1-0.289247660755294i</v>
      </c>
      <c r="X394" s="18">
        <f t="shared" si="222"/>
        <v>1.0409919352484964</v>
      </c>
      <c r="Y394" s="18">
        <f t="shared" si="223"/>
        <v>-0.28156330652639711</v>
      </c>
      <c r="Z394" s="32" t="str">
        <f t="shared" si="213"/>
        <v>0.997880760822511+0.122422803784587i</v>
      </c>
      <c r="AA394" s="18">
        <f t="shared" si="224"/>
        <v>1.0053623007185979</v>
      </c>
      <c r="AB394" s="18">
        <f t="shared" si="225"/>
        <v>0.12207279487636268</v>
      </c>
      <c r="AC394" s="68" t="str">
        <f t="shared" si="226"/>
        <v>-0.0979649906017857-0.231322520353471i</v>
      </c>
      <c r="AD394" s="66">
        <f t="shared" si="227"/>
        <v>-11.999207595907851</v>
      </c>
      <c r="AE394" s="63">
        <f t="shared" si="228"/>
        <v>-112.95263733496056</v>
      </c>
      <c r="AF394" s="32" t="str">
        <f t="shared" si="214"/>
        <v>-0.434440565864413</v>
      </c>
      <c r="AG394" s="32" t="str">
        <f t="shared" si="215"/>
        <v>9.43670493214146i</v>
      </c>
      <c r="AH394" s="32">
        <f t="shared" si="229"/>
        <v>9.4367049321414598</v>
      </c>
      <c r="AI394" s="32">
        <f t="shared" si="230"/>
        <v>1.5707963267948966</v>
      </c>
      <c r="AJ394" s="32" t="str">
        <f t="shared" si="216"/>
        <v>1+0.0934327221004105i</v>
      </c>
      <c r="AK394" s="32">
        <f t="shared" si="231"/>
        <v>1.0043553522330095</v>
      </c>
      <c r="AL394" s="32">
        <f t="shared" si="232"/>
        <v>9.3162258275319668E-2</v>
      </c>
      <c r="AM394" s="32" t="str">
        <f t="shared" si="217"/>
        <v>1+9.43670493214146i</v>
      </c>
      <c r="AN394" s="32">
        <f t="shared" si="233"/>
        <v>9.4895416104416199</v>
      </c>
      <c r="AO394" s="32">
        <f t="shared" si="234"/>
        <v>1.4652211424222228</v>
      </c>
      <c r="AP394" s="60" t="str">
        <f t="shared" si="235"/>
        <v>-0.426416695570702+0.0858785885001602i</v>
      </c>
      <c r="AQ394" s="51">
        <f t="shared" si="236"/>
        <v>-7.2306433761997315</v>
      </c>
      <c r="AR394" s="63">
        <f t="shared" si="237"/>
        <v>168.61318330504673</v>
      </c>
      <c r="AS394" s="60" t="str">
        <f t="shared" si="238"/>
        <v>0.061639559110284+0.0902266896249008i</v>
      </c>
      <c r="AT394" s="66">
        <f t="shared" si="239"/>
        <v>-19.229850972107577</v>
      </c>
      <c r="AU394" s="63">
        <f t="shared" si="240"/>
        <v>55.66054597008619</v>
      </c>
      <c r="AX394" s="32">
        <f t="shared" si="241"/>
        <v>0</v>
      </c>
      <c r="AY394" s="32">
        <f t="shared" si="242"/>
        <v>0</v>
      </c>
    </row>
    <row r="395" spans="14:51" x14ac:dyDescent="0.3">
      <c r="N395" s="11">
        <v>77</v>
      </c>
      <c r="O395" s="52">
        <f t="shared" si="243"/>
        <v>58884.365535558936</v>
      </c>
      <c r="P395" s="50" t="str">
        <f t="shared" si="209"/>
        <v>131.578947368421</v>
      </c>
      <c r="Q395" s="18" t="str">
        <f t="shared" si="210"/>
        <v>1+554.972070533424i</v>
      </c>
      <c r="R395" s="18">
        <f t="shared" si="218"/>
        <v>554.97297147893221</v>
      </c>
      <c r="S395" s="18">
        <f t="shared" si="219"/>
        <v>1.5689944362659394</v>
      </c>
      <c r="T395" s="18" t="str">
        <f t="shared" si="211"/>
        <v>1+0.00122093855517353i</v>
      </c>
      <c r="U395" s="18">
        <f t="shared" si="220"/>
        <v>1.0000007453452</v>
      </c>
      <c r="V395" s="18">
        <f t="shared" si="221"/>
        <v>1.2209379484933855E-3</v>
      </c>
      <c r="W395" s="32" t="str">
        <f t="shared" si="212"/>
        <v>1-0.295985104284493i</v>
      </c>
      <c r="X395" s="18">
        <f t="shared" si="222"/>
        <v>1.0428840692801391</v>
      </c>
      <c r="Y395" s="18">
        <f t="shared" si="223"/>
        <v>-0.28776934591391623</v>
      </c>
      <c r="Z395" s="32" t="str">
        <f t="shared" si="213"/>
        <v>0.997780884157104+0.12527439720813i</v>
      </c>
      <c r="AA395" s="18">
        <f t="shared" si="224"/>
        <v>1.0056144228207911</v>
      </c>
      <c r="AB395" s="18">
        <f t="shared" si="225"/>
        <v>0.12489946341900761</v>
      </c>
      <c r="AC395" s="68" t="str">
        <f t="shared" si="226"/>
        <v>-0.0979293744055568-0.225534395690182i</v>
      </c>
      <c r="AD395" s="66">
        <f t="shared" si="227"/>
        <v>-12.185611223028065</v>
      </c>
      <c r="AE395" s="63">
        <f t="shared" si="228"/>
        <v>-113.4709857975156</v>
      </c>
      <c r="AF395" s="32" t="str">
        <f t="shared" si="214"/>
        <v>-0.434440565864413</v>
      </c>
      <c r="AG395" s="32" t="str">
        <f t="shared" si="215"/>
        <v>9.65651402728158i</v>
      </c>
      <c r="AH395" s="32">
        <f t="shared" si="229"/>
        <v>9.6565140272815793</v>
      </c>
      <c r="AI395" s="32">
        <f t="shared" si="230"/>
        <v>1.5707963267948966</v>
      </c>
      <c r="AJ395" s="32" t="str">
        <f t="shared" si="216"/>
        <v>1+0.0956090497750652i</v>
      </c>
      <c r="AK395" s="32">
        <f t="shared" si="231"/>
        <v>1.0045601477258048</v>
      </c>
      <c r="AL395" s="32">
        <f t="shared" si="232"/>
        <v>9.5319313569904418E-2</v>
      </c>
      <c r="AM395" s="32" t="str">
        <f t="shared" si="217"/>
        <v>1+9.65651402728158i</v>
      </c>
      <c r="AN395" s="32">
        <f t="shared" si="233"/>
        <v>9.7081544672036344</v>
      </c>
      <c r="AO395" s="32">
        <f t="shared" si="234"/>
        <v>1.4676071079143731</v>
      </c>
      <c r="AP395" s="60" t="str">
        <f t="shared" si="235"/>
        <v>-0.426242849702173+0.0857420524681149i</v>
      </c>
      <c r="AQ395" s="51">
        <f t="shared" si="236"/>
        <v>-7.2345854459926962</v>
      </c>
      <c r="AR395" s="63">
        <f t="shared" si="237"/>
        <v>168.62629889325473</v>
      </c>
      <c r="AS395" s="60" t="str">
        <f t="shared" si="238"/>
        <v>0.0610794776048078+0.0877357579663897i</v>
      </c>
      <c r="AT395" s="66">
        <f t="shared" si="239"/>
        <v>-19.420196669020761</v>
      </c>
      <c r="AU395" s="63">
        <f t="shared" si="240"/>
        <v>55.155313095739103</v>
      </c>
      <c r="AX395" s="32">
        <f t="shared" si="241"/>
        <v>0</v>
      </c>
      <c r="AY395" s="32">
        <f t="shared" si="242"/>
        <v>0</v>
      </c>
    </row>
    <row r="396" spans="14:51" x14ac:dyDescent="0.3">
      <c r="N396" s="11">
        <v>78</v>
      </c>
      <c r="O396" s="52">
        <f t="shared" si="243"/>
        <v>60255.95860743591</v>
      </c>
      <c r="P396" s="50" t="str">
        <f t="shared" si="209"/>
        <v>131.578947368421</v>
      </c>
      <c r="Q396" s="18" t="str">
        <f t="shared" si="210"/>
        <v>1+567.899030688394i</v>
      </c>
      <c r="R396" s="18">
        <f t="shared" si="218"/>
        <v>567.89991112591076</v>
      </c>
      <c r="S396" s="18">
        <f t="shared" si="219"/>
        <v>1.5690354522161394</v>
      </c>
      <c r="T396" s="18" t="str">
        <f t="shared" si="211"/>
        <v>1+0.00124937786751447i</v>
      </c>
      <c r="U396" s="18">
        <f t="shared" si="220"/>
        <v>1.0000007804722233</v>
      </c>
      <c r="V396" s="18">
        <f t="shared" si="221"/>
        <v>1.2493772174450104E-3</v>
      </c>
      <c r="W396" s="32" t="str">
        <f t="shared" si="212"/>
        <v>1-0.30287948303381i</v>
      </c>
      <c r="X396" s="18">
        <f t="shared" si="222"/>
        <v>1.0448617043622701</v>
      </c>
      <c r="Y396" s="18">
        <f t="shared" si="223"/>
        <v>-0.29409642394171354</v>
      </c>
      <c r="Z396" s="32" t="str">
        <f t="shared" si="213"/>
        <v>0.997676300449471+0.128192412775275i</v>
      </c>
      <c r="AA396" s="18">
        <f t="shared" si="224"/>
        <v>1.0058783699690981</v>
      </c>
      <c r="AB396" s="18">
        <f t="shared" si="225"/>
        <v>0.12779078452881923</v>
      </c>
      <c r="AC396" s="68" t="str">
        <f t="shared" si="226"/>
        <v>-0.0978902810496879-0.219866392236161i</v>
      </c>
      <c r="AD396" s="66">
        <f t="shared" si="227"/>
        <v>-12.371434228321457</v>
      </c>
      <c r="AE396" s="63">
        <f t="shared" si="228"/>
        <v>-113.99988175272335</v>
      </c>
      <c r="AF396" s="32" t="str">
        <f t="shared" si="214"/>
        <v>-0.434440565864413</v>
      </c>
      <c r="AG396" s="32" t="str">
        <f t="shared" si="215"/>
        <v>9.88144313397807i</v>
      </c>
      <c r="AH396" s="32">
        <f t="shared" si="229"/>
        <v>9.8814431339780704</v>
      </c>
      <c r="AI396" s="32">
        <f t="shared" si="230"/>
        <v>1.5707963267948966</v>
      </c>
      <c r="AJ396" s="32" t="str">
        <f t="shared" si="216"/>
        <v>1+0.0978360706334463i</v>
      </c>
      <c r="AK396" s="32">
        <f t="shared" si="231"/>
        <v>1.0047745501937202</v>
      </c>
      <c r="AL396" s="32">
        <f t="shared" si="232"/>
        <v>9.752569231735754E-2</v>
      </c>
      <c r="AM396" s="32" t="str">
        <f t="shared" si="217"/>
        <v>1+9.88144313397807i</v>
      </c>
      <c r="AN396" s="32">
        <f t="shared" si="233"/>
        <v>9.9319141362600583</v>
      </c>
      <c r="AO396" s="32">
        <f t="shared" si="234"/>
        <v>1.4699399020680257</v>
      </c>
      <c r="AP396" s="60" t="str">
        <f t="shared" si="235"/>
        <v>-0.426060962594088+0.0856494257799869i</v>
      </c>
      <c r="AQ396" s="51">
        <f t="shared" si="236"/>
        <v>-7.2385135004158077</v>
      </c>
      <c r="AR396" s="63">
        <f t="shared" si="237"/>
        <v>168.6335419624954</v>
      </c>
      <c r="AS396" s="60" t="str">
        <f t="shared" si="238"/>
        <v>0.0605386576159804+0.0852922403568808i</v>
      </c>
      <c r="AT396" s="66">
        <f t="shared" si="239"/>
        <v>-19.609947728737261</v>
      </c>
      <c r="AU396" s="63">
        <f t="shared" si="240"/>
        <v>54.633660209772053</v>
      </c>
      <c r="AX396" s="32">
        <f t="shared" si="241"/>
        <v>0</v>
      </c>
      <c r="AY396" s="32">
        <f t="shared" si="242"/>
        <v>0</v>
      </c>
    </row>
    <row r="397" spans="14:51" x14ac:dyDescent="0.3">
      <c r="N397" s="11">
        <v>79</v>
      </c>
      <c r="O397" s="52">
        <f t="shared" si="243"/>
        <v>61659.500186148245</v>
      </c>
      <c r="P397" s="50" t="str">
        <f t="shared" si="209"/>
        <v>131.578947368421</v>
      </c>
      <c r="Q397" s="18" t="str">
        <f t="shared" si="210"/>
        <v>1+581.127098426466i</v>
      </c>
      <c r="R397" s="18">
        <f t="shared" si="218"/>
        <v>581.12795882280818</v>
      </c>
      <c r="S397" s="18">
        <f t="shared" si="219"/>
        <v>1.5690755345350527</v>
      </c>
      <c r="T397" s="18" t="str">
        <f t="shared" si="211"/>
        <v>1+0.00127847961653823i</v>
      </c>
      <c r="U397" s="18">
        <f t="shared" si="220"/>
        <v>1.000000817254731</v>
      </c>
      <c r="V397" s="18">
        <f t="shared" si="221"/>
        <v>1.2784789199762852E-3</v>
      </c>
      <c r="W397" s="32" t="str">
        <f t="shared" si="212"/>
        <v>1-0.309934452494115i</v>
      </c>
      <c r="X397" s="18">
        <f t="shared" si="222"/>
        <v>1.0469285385559164</v>
      </c>
      <c r="Y397" s="18">
        <f t="shared" si="223"/>
        <v>-0.30054586827160579</v>
      </c>
      <c r="Z397" s="32" t="str">
        <f t="shared" si="213"/>
        <v>0.997566787863548+0.1311783976565i</v>
      </c>
      <c r="AA397" s="18">
        <f t="shared" si="224"/>
        <v>1.0061546940009394</v>
      </c>
      <c r="AB397" s="18">
        <f t="shared" si="225"/>
        <v>0.13074818039303154</v>
      </c>
      <c r="AC397" s="68" t="str">
        <f t="shared" si="226"/>
        <v>-0.0978476356966123-0.214315542925253i</v>
      </c>
      <c r="AD397" s="66">
        <f t="shared" si="227"/>
        <v>-12.556654537482995</v>
      </c>
      <c r="AE397" s="63">
        <f t="shared" si="228"/>
        <v>-114.53948313737483</v>
      </c>
      <c r="AF397" s="32" t="str">
        <f t="shared" si="214"/>
        <v>-0.434440565864413</v>
      </c>
      <c r="AG397" s="32" t="str">
        <f t="shared" si="215"/>
        <v>10.1116115126205i</v>
      </c>
      <c r="AH397" s="32">
        <f t="shared" si="229"/>
        <v>10.111611512620501</v>
      </c>
      <c r="AI397" s="32">
        <f t="shared" si="230"/>
        <v>1.5707963267948966</v>
      </c>
      <c r="AJ397" s="32" t="str">
        <f t="shared" si="216"/>
        <v>1+0.10011496547149i</v>
      </c>
      <c r="AK397" s="32">
        <f t="shared" si="231"/>
        <v>1.0049990081146138</v>
      </c>
      <c r="AL397" s="32">
        <f t="shared" si="232"/>
        <v>9.9782478394517107E-2</v>
      </c>
      <c r="AM397" s="32" t="str">
        <f t="shared" si="217"/>
        <v>1+10.1116115126205i</v>
      </c>
      <c r="AN397" s="32">
        <f t="shared" si="233"/>
        <v>10.160939296254035</v>
      </c>
      <c r="AO397" s="32">
        <f t="shared" si="234"/>
        <v>1.4722206601467447</v>
      </c>
      <c r="AP397" s="60" t="str">
        <f t="shared" si="235"/>
        <v>-0.425870669712827+0.0856005504394449i</v>
      </c>
      <c r="AQ397" s="51">
        <f t="shared" si="236"/>
        <v>-7.2424356265745171</v>
      </c>
      <c r="AR397" s="63">
        <f t="shared" si="237"/>
        <v>168.63491545701123</v>
      </c>
      <c r="AS397" s="60" t="str">
        <f t="shared" si="238"/>
        <v>0.0600159665860631+0.0828948923206173i</v>
      </c>
      <c r="AT397" s="66">
        <f t="shared" si="239"/>
        <v>-19.799090164057517</v>
      </c>
      <c r="AU397" s="63">
        <f t="shared" si="240"/>
        <v>54.095432319636402</v>
      </c>
      <c r="AX397" s="32">
        <f t="shared" si="241"/>
        <v>0</v>
      </c>
      <c r="AY397" s="32">
        <f t="shared" si="242"/>
        <v>0</v>
      </c>
    </row>
    <row r="398" spans="14:51" x14ac:dyDescent="0.3">
      <c r="N398" s="11">
        <v>80</v>
      </c>
      <c r="O398" s="52">
        <f t="shared" si="243"/>
        <v>63095.734448019342</v>
      </c>
      <c r="P398" s="50" t="str">
        <f t="shared" si="209"/>
        <v>131.578947368421</v>
      </c>
      <c r="Q398" s="18" t="str">
        <f t="shared" si="210"/>
        <v>1+594.66328744425i</v>
      </c>
      <c r="R398" s="18">
        <f t="shared" si="218"/>
        <v>594.66412825560849</v>
      </c>
      <c r="S398" s="18">
        <f t="shared" si="219"/>
        <v>1.5691147044743399</v>
      </c>
      <c r="T398" s="18" t="str">
        <f t="shared" si="211"/>
        <v>1+0.00130825923237735i</v>
      </c>
      <c r="U398" s="18">
        <f t="shared" si="220"/>
        <v>1.0000008557707434</v>
      </c>
      <c r="V398" s="18">
        <f t="shared" si="221"/>
        <v>1.3082584859978133E-3</v>
      </c>
      <c r="W398" s="32" t="str">
        <f t="shared" si="212"/>
        <v>1-0.3171537533036i</v>
      </c>
      <c r="X398" s="18">
        <f t="shared" si="222"/>
        <v>1.0490884153561895</v>
      </c>
      <c r="Y398" s="18">
        <f t="shared" si="223"/>
        <v>-0.30711895156381386</v>
      </c>
      <c r="Z398" s="32" t="str">
        <f t="shared" si="213"/>
        <v>0.997452114108458+0.134233935060515i</v>
      </c>
      <c r="AA398" s="18">
        <f t="shared" si="224"/>
        <v>1.0064439722415068</v>
      </c>
      <c r="AB398" s="18">
        <f t="shared" si="225"/>
        <v>0.13377310048810398</v>
      </c>
      <c r="AC398" s="68" t="str">
        <f t="shared" si="226"/>
        <v>-0.0978013567363685-0.20887894540339i</v>
      </c>
      <c r="AD398" s="66">
        <f t="shared" si="227"/>
        <v>-12.74124947842636</v>
      </c>
      <c r="AE398" s="63">
        <f t="shared" si="228"/>
        <v>-115.08994625197431</v>
      </c>
      <c r="AF398" s="32" t="str">
        <f t="shared" si="214"/>
        <v>-0.434440565864413</v>
      </c>
      <c r="AG398" s="32" t="str">
        <f t="shared" si="215"/>
        <v>10.34714120153i</v>
      </c>
      <c r="AH398" s="32">
        <f t="shared" si="229"/>
        <v>10.34714120153</v>
      </c>
      <c r="AI398" s="32">
        <f t="shared" si="230"/>
        <v>1.5707963267948966</v>
      </c>
      <c r="AJ398" s="32" t="str">
        <f t="shared" si="216"/>
        <v>1+0.102446942589406i</v>
      </c>
      <c r="AK398" s="32">
        <f t="shared" si="231"/>
        <v>1.0052339906936678</v>
      </c>
      <c r="AL398" s="32">
        <f t="shared" si="232"/>
        <v>0.10209077637675457</v>
      </c>
      <c r="AM398" s="32" t="str">
        <f t="shared" si="217"/>
        <v>1+10.34714120153i</v>
      </c>
      <c r="AN398" s="32">
        <f t="shared" si="233"/>
        <v>10.395351415147047</v>
      </c>
      <c r="AO398" s="32">
        <f t="shared" si="234"/>
        <v>1.4744504964731704</v>
      </c>
      <c r="AP398" s="60" t="str">
        <f t="shared" si="235"/>
        <v>-0.425671590706651+0.085595284116059i</v>
      </c>
      <c r="AQ398" s="51">
        <f t="shared" si="236"/>
        <v>-7.246359900466989</v>
      </c>
      <c r="AR398" s="63">
        <f t="shared" si="237"/>
        <v>168.63041993527963</v>
      </c>
      <c r="AS398" s="60" t="str">
        <f t="shared" si="238"/>
        <v>0.0595103117729046+0.0805424980382032i</v>
      </c>
      <c r="AT398" s="66">
        <f t="shared" si="239"/>
        <v>-19.98760937889335</v>
      </c>
      <c r="AU398" s="63">
        <f t="shared" si="240"/>
        <v>53.540473683305279</v>
      </c>
      <c r="AX398" s="32">
        <f t="shared" si="241"/>
        <v>0</v>
      </c>
      <c r="AY398" s="32">
        <f t="shared" si="242"/>
        <v>0</v>
      </c>
    </row>
    <row r="399" spans="14:51" x14ac:dyDescent="0.3">
      <c r="N399" s="11">
        <v>81</v>
      </c>
      <c r="O399" s="52">
        <f t="shared" si="243"/>
        <v>64565.422903465682</v>
      </c>
      <c r="P399" s="50" t="str">
        <f t="shared" si="209"/>
        <v>131.578947368421</v>
      </c>
      <c r="Q399" s="18" t="str">
        <f t="shared" si="210"/>
        <v>1+608.514774808338i</v>
      </c>
      <c r="R399" s="18">
        <f t="shared" si="218"/>
        <v>608.51559648051932</v>
      </c>
      <c r="S399" s="18">
        <f t="shared" si="219"/>
        <v>1.5691529828019399</v>
      </c>
      <c r="T399" s="18" t="str">
        <f t="shared" si="211"/>
        <v>1+0.00133873250457834i</v>
      </c>
      <c r="U399" s="18">
        <f t="shared" si="220"/>
        <v>1.000000896101958</v>
      </c>
      <c r="V399" s="18">
        <f t="shared" si="221"/>
        <v>1.3387317048182961E-3</v>
      </c>
      <c r="W399" s="32" t="str">
        <f t="shared" si="212"/>
        <v>1-0.324541213231114i</v>
      </c>
      <c r="X399" s="18">
        <f t="shared" si="222"/>
        <v>1.0513453281798153</v>
      </c>
      <c r="Y399" s="18">
        <f t="shared" si="223"/>
        <v>-0.31381688619720827</v>
      </c>
      <c r="Z399" s="32" t="str">
        <f t="shared" si="213"/>
        <v>0.99733203594579+0.137360645073695i</v>
      </c>
      <c r="AA399" s="18">
        <f t="shared" si="224"/>
        <v>1.0067468086558984</v>
      </c>
      <c r="AB399" s="18">
        <f t="shared" si="225"/>
        <v>0.13686702181614027</v>
      </c>
      <c r="AC399" s="68" t="str">
        <f t="shared" si="226"/>
        <v>-0.0977513556843322-0.203553760664836i</v>
      </c>
      <c r="AD399" s="66">
        <f t="shared" si="227"/>
        <v>-12.925195786923638</v>
      </c>
      <c r="AE399" s="63">
        <f t="shared" si="228"/>
        <v>-115.65142547195605</v>
      </c>
      <c r="AF399" s="32" t="str">
        <f t="shared" si="214"/>
        <v>-0.434440565864413</v>
      </c>
      <c r="AG399" s="32" t="str">
        <f t="shared" si="215"/>
        <v>10.5881570816651i</v>
      </c>
      <c r="AH399" s="32">
        <f t="shared" si="229"/>
        <v>10.5881570816651</v>
      </c>
      <c r="AI399" s="32">
        <f t="shared" si="230"/>
        <v>1.5707963267948966</v>
      </c>
      <c r="AJ399" s="32" t="str">
        <f t="shared" si="216"/>
        <v>1+0.104833238432328i</v>
      </c>
      <c r="AK399" s="32">
        <f t="shared" si="231"/>
        <v>1.0054799888014725</v>
      </c>
      <c r="AL399" s="32">
        <f t="shared" si="232"/>
        <v>0.1044517117069917</v>
      </c>
      <c r="AM399" s="32" t="str">
        <f t="shared" si="217"/>
        <v>1+10.5881570816651i</v>
      </c>
      <c r="AN399" s="32">
        <f t="shared" si="233"/>
        <v>10.635274814785692</v>
      </c>
      <c r="AO399" s="32">
        <f t="shared" si="234"/>
        <v>1.4766305045902846</v>
      </c>
      <c r="AP399" s="60" t="str">
        <f t="shared" si="235"/>
        <v>-0.425463328787071+0.0856334995616571i</v>
      </c>
      <c r="AQ399" s="51">
        <f t="shared" si="236"/>
        <v>-7.2502944021156788</v>
      </c>
      <c r="AR399" s="63">
        <f t="shared" si="237"/>
        <v>168.62005356956857</v>
      </c>
      <c r="AS399" s="60" t="str">
        <f t="shared" si="238"/>
        <v>0.0590206380575708+0.0782338699254422i</v>
      </c>
      <c r="AT399" s="66">
        <f t="shared" si="239"/>
        <v>-20.175490189039319</v>
      </c>
      <c r="AU399" s="63">
        <f t="shared" si="240"/>
        <v>52.968628097612537</v>
      </c>
      <c r="AX399" s="32">
        <f t="shared" si="241"/>
        <v>0</v>
      </c>
      <c r="AY399" s="32">
        <f t="shared" si="242"/>
        <v>0</v>
      </c>
    </row>
    <row r="400" spans="14:51" x14ac:dyDescent="0.3">
      <c r="N400" s="11">
        <v>82</v>
      </c>
      <c r="O400" s="52">
        <f t="shared" si="243"/>
        <v>66069.344800759733</v>
      </c>
      <c r="P400" s="50" t="str">
        <f t="shared" si="209"/>
        <v>131.578947368421</v>
      </c>
      <c r="Q400" s="18" t="str">
        <f t="shared" si="210"/>
        <v>1+622.688904760674i</v>
      </c>
      <c r="R400" s="18">
        <f t="shared" si="218"/>
        <v>622.68970772933744</v>
      </c>
      <c r="S400" s="18">
        <f t="shared" si="219"/>
        <v>1.5691903898130801</v>
      </c>
      <c r="T400" s="18" t="str">
        <f t="shared" si="211"/>
        <v>1+0.00136991559047348i</v>
      </c>
      <c r="U400" s="18">
        <f t="shared" si="220"/>
        <v>1.0000009383339223</v>
      </c>
      <c r="V400" s="18">
        <f t="shared" si="221"/>
        <v>1.3699147335151968E-3</v>
      </c>
      <c r="W400" s="32" t="str">
        <f t="shared" si="212"/>
        <v>1-0.332100749205693i</v>
      </c>
      <c r="X400" s="18">
        <f t="shared" si="222"/>
        <v>1.0537034248890826</v>
      </c>
      <c r="Y400" s="18">
        <f t="shared" si="223"/>
        <v>-0.32064081878439854</v>
      </c>
      <c r="Z400" s="32" t="str">
        <f t="shared" si="213"/>
        <v>0.997206298673663+0.140560185519076i</v>
      </c>
      <c r="AA400" s="18">
        <f t="shared" si="224"/>
        <v>1.0070638350509782</v>
      </c>
      <c r="AB400" s="18">
        <f t="shared" si="225"/>
        <v>0.14003144912043725</v>
      </c>
      <c r="AC400" s="68" t="str">
        <f t="shared" si="226"/>
        <v>-0.0976975370708223-0.19833721173298i</v>
      </c>
      <c r="AD400" s="66">
        <f t="shared" si="227"/>
        <v>-13.108469614678242</v>
      </c>
      <c r="AE400" s="63">
        <f t="shared" si="228"/>
        <v>-116.22407294592176</v>
      </c>
      <c r="AF400" s="32" t="str">
        <f t="shared" si="214"/>
        <v>-0.434440565864413</v>
      </c>
      <c r="AG400" s="32" t="str">
        <f t="shared" si="215"/>
        <v>10.8347869428357i</v>
      </c>
      <c r="AH400" s="32">
        <f t="shared" si="229"/>
        <v>10.8347869428357</v>
      </c>
      <c r="AI400" s="32">
        <f t="shared" si="230"/>
        <v>1.5707963267948966</v>
      </c>
      <c r="AJ400" s="32" t="str">
        <f t="shared" si="216"/>
        <v>1+0.107275118245898i</v>
      </c>
      <c r="AK400" s="32">
        <f t="shared" si="231"/>
        <v>1.005737515952682</v>
      </c>
      <c r="AL400" s="32">
        <f t="shared" si="232"/>
        <v>0.10686643084772111</v>
      </c>
      <c r="AM400" s="32" t="str">
        <f t="shared" si="217"/>
        <v>1+10.8347869428357i</v>
      </c>
      <c r="AN400" s="32">
        <f t="shared" si="233"/>
        <v>10.880836736972162</v>
      </c>
      <c r="AO400" s="32">
        <f t="shared" si="234"/>
        <v>1.4787617574388203</v>
      </c>
      <c r="AP400" s="60" t="str">
        <f t="shared" si="235"/>
        <v>-0.425245470092649+0.0857150840019291i</v>
      </c>
      <c r="AQ400" s="51">
        <f t="shared" si="236"/>
        <v>-7.2542472307032435</v>
      </c>
      <c r="AR400" s="63">
        <f t="shared" si="237"/>
        <v>168.60381214739166</v>
      </c>
      <c r="AS400" s="60" t="str">
        <f t="shared" si="238"/>
        <v>0.0585459258429766+0.0759678482434492i</v>
      </c>
      <c r="AT400" s="66">
        <f t="shared" si="239"/>
        <v>-20.362716845381492</v>
      </c>
      <c r="AU400" s="63">
        <f t="shared" si="240"/>
        <v>52.379739201469903</v>
      </c>
      <c r="AX400" s="32">
        <f t="shared" si="241"/>
        <v>0</v>
      </c>
      <c r="AY400" s="32">
        <f t="shared" si="242"/>
        <v>0</v>
      </c>
    </row>
    <row r="401" spans="14:51" x14ac:dyDescent="0.3">
      <c r="N401" s="11">
        <v>83</v>
      </c>
      <c r="O401" s="52">
        <f t="shared" si="243"/>
        <v>67608.297539198305</v>
      </c>
      <c r="P401" s="50" t="str">
        <f t="shared" si="209"/>
        <v>131.578947368421</v>
      </c>
      <c r="Q401" s="18" t="str">
        <f t="shared" si="210"/>
        <v>1+637.193192612575i</v>
      </c>
      <c r="R401" s="18">
        <f t="shared" si="218"/>
        <v>637.19397730346304</v>
      </c>
      <c r="S401" s="18">
        <f t="shared" si="219"/>
        <v>1.5692269453410339</v>
      </c>
      <c r="T401" s="18" t="str">
        <f t="shared" si="211"/>
        <v>1+0.00140182502374767i</v>
      </c>
      <c r="U401" s="18">
        <f t="shared" si="220"/>
        <v>1.0000009825562159</v>
      </c>
      <c r="V401" s="18">
        <f t="shared" si="221"/>
        <v>1.4018241055003746E-3</v>
      </c>
      <c r="W401" s="32" t="str">
        <f t="shared" si="212"/>
        <v>1-0.339836369393374i</v>
      </c>
      <c r="X401" s="18">
        <f t="shared" si="222"/>
        <v>1.0561670123434408</v>
      </c>
      <c r="Y401" s="18">
        <f t="shared" si="223"/>
        <v>-0.32759182448758778</v>
      </c>
      <c r="Z401" s="32" t="str">
        <f t="shared" si="213"/>
        <v>0.997074635586465+0.143834252835353i</v>
      </c>
      <c r="AA401" s="18">
        <f t="shared" si="224"/>
        <v>1.0073957123288675</v>
      </c>
      <c r="AB401" s="18">
        <f t="shared" si="225"/>
        <v>0.14326791507802936</v>
      </c>
      <c r="AC401" s="68" t="str">
        <f t="shared" si="226"/>
        <v>-0.0976397983229106-0.193226582385535i</v>
      </c>
      <c r="AD401" s="66">
        <f t="shared" si="227"/>
        <v>-13.291046540032848</v>
      </c>
      <c r="AE401" s="63">
        <f t="shared" si="228"/>
        <v>-116.80803828112164</v>
      </c>
      <c r="AF401" s="32" t="str">
        <f t="shared" si="214"/>
        <v>-0.434440565864413</v>
      </c>
      <c r="AG401" s="32" t="str">
        <f t="shared" si="215"/>
        <v>11.0871615514588i</v>
      </c>
      <c r="AH401" s="32">
        <f t="shared" si="229"/>
        <v>11.0871615514588</v>
      </c>
      <c r="AI401" s="32">
        <f t="shared" si="230"/>
        <v>1.5707963267948966</v>
      </c>
      <c r="AJ401" s="32" t="str">
        <f t="shared" si="216"/>
        <v>1+0.109773876747117i</v>
      </c>
      <c r="AK401" s="32">
        <f t="shared" si="231"/>
        <v>1.0060071093268135</v>
      </c>
      <c r="AL401" s="32">
        <f t="shared" si="232"/>
        <v>0.10933610141429215</v>
      </c>
      <c r="AM401" s="32" t="str">
        <f t="shared" si="217"/>
        <v>1+11.0871615514588i</v>
      </c>
      <c r="AN401" s="32">
        <f t="shared" si="233"/>
        <v>11.132167411072576</v>
      </c>
      <c r="AO401" s="32">
        <f t="shared" si="234"/>
        <v>1.4808453075492436</v>
      </c>
      <c r="AP401" s="60" t="str">
        <f t="shared" si="235"/>
        <v>-0.42501758303542+0.085839938501037i</v>
      </c>
      <c r="AQ401" s="51">
        <f t="shared" si="236"/>
        <v>-7.2582265197291864</v>
      </c>
      <c r="AR401" s="63">
        <f t="shared" si="237"/>
        <v>168.58168907487072</v>
      </c>
      <c r="AS401" s="60" t="str">
        <f t="shared" si="238"/>
        <v>0.0580851890400092+0.0737433007404022i</v>
      </c>
      <c r="AT401" s="66">
        <f t="shared" si="239"/>
        <v>-20.549273059762037</v>
      </c>
      <c r="AU401" s="63">
        <f t="shared" si="240"/>
        <v>51.773650793749084</v>
      </c>
      <c r="AX401" s="32">
        <f t="shared" si="241"/>
        <v>0</v>
      </c>
      <c r="AY401" s="32">
        <f t="shared" si="242"/>
        <v>0</v>
      </c>
    </row>
    <row r="402" spans="14:51" x14ac:dyDescent="0.3">
      <c r="N402" s="11">
        <v>84</v>
      </c>
      <c r="O402" s="52">
        <f t="shared" si="243"/>
        <v>69183.097091893651</v>
      </c>
      <c r="P402" s="50" t="str">
        <f t="shared" si="209"/>
        <v>131.578947368421</v>
      </c>
      <c r="Q402" s="18" t="str">
        <f t="shared" si="210"/>
        <v>1+652.035328729447i</v>
      </c>
      <c r="R402" s="18">
        <f t="shared" si="218"/>
        <v>652.03609555861101</v>
      </c>
      <c r="S402" s="18">
        <f t="shared" si="219"/>
        <v>1.5692626687676348</v>
      </c>
      <c r="T402" s="18" t="str">
        <f t="shared" si="211"/>
        <v>1+0.00143447772320478i</v>
      </c>
      <c r="U402" s="18">
        <f t="shared" si="220"/>
        <v>1.00000102886264</v>
      </c>
      <c r="V402" s="18">
        <f t="shared" si="221"/>
        <v>1.4344767392851306E-3</v>
      </c>
      <c r="W402" s="32" t="str">
        <f t="shared" si="212"/>
        <v>1-0.347752175322372i</v>
      </c>
      <c r="X402" s="18">
        <f t="shared" si="222"/>
        <v>1.0587405609692309</v>
      </c>
      <c r="Y402" s="18">
        <f t="shared" si="223"/>
        <v>-0.33467090114291348</v>
      </c>
      <c r="Z402" s="32" t="str">
        <f t="shared" si="213"/>
        <v>0.996936767409135+0.147184582976355i</v>
      </c>
      <c r="AA402" s="18">
        <f t="shared" si="224"/>
        <v>1.0077431317940595</v>
      </c>
      <c r="AB402" s="18">
        <f t="shared" si="225"/>
        <v>0.14657798046697912</v>
      </c>
      <c r="AC402" s="68" t="str">
        <f t="shared" si="226"/>
        <v>-0.0975780296388037-0.188219215924162i</v>
      </c>
      <c r="AD402" s="66">
        <f t="shared" si="227"/>
        <v>-13.472901581515233</v>
      </c>
      <c r="AE402" s="63">
        <f t="shared" si="228"/>
        <v>-117.40346821648868</v>
      </c>
      <c r="AF402" s="32" t="str">
        <f t="shared" si="214"/>
        <v>-0.434440565864413</v>
      </c>
      <c r="AG402" s="32" t="str">
        <f t="shared" si="215"/>
        <v>11.3454147198924i</v>
      </c>
      <c r="AH402" s="32">
        <f t="shared" si="229"/>
        <v>11.3454147198924</v>
      </c>
      <c r="AI402" s="32">
        <f t="shared" si="230"/>
        <v>1.5707963267948966</v>
      </c>
      <c r="AJ402" s="32" t="str">
        <f t="shared" si="216"/>
        <v>1+0.112330838810816i</v>
      </c>
      <c r="AK402" s="32">
        <f t="shared" si="231"/>
        <v>1.0062893308328085</v>
      </c>
      <c r="AL402" s="32">
        <f t="shared" si="232"/>
        <v>0.1118619122876211</v>
      </c>
      <c r="AM402" s="32" t="str">
        <f t="shared" si="217"/>
        <v>1+11.3454147198924i</v>
      </c>
      <c r="AN402" s="32">
        <f t="shared" si="233"/>
        <v>11.389400123200129</v>
      </c>
      <c r="AO402" s="32">
        <f t="shared" si="234"/>
        <v>1.4828821872468556</v>
      </c>
      <c r="AP402" s="60" t="str">
        <f t="shared" si="235"/>
        <v>-0.424779217630234+0.0860079772968666i</v>
      </c>
      <c r="AQ402" s="51">
        <f t="shared" si="236"/>
        <v>-7.2622404522034332</v>
      </c>
      <c r="AR402" s="63">
        <f t="shared" si="237"/>
        <v>168.55367538202981</v>
      </c>
      <c r="AS402" s="60" t="str">
        <f t="shared" si="238"/>
        <v>0.0576374731379102+0.0715591223253944i</v>
      </c>
      <c r="AT402" s="66">
        <f t="shared" si="239"/>
        <v>-20.735142033718667</v>
      </c>
      <c r="AU402" s="63">
        <f t="shared" si="240"/>
        <v>51.150207165541126</v>
      </c>
      <c r="AX402" s="32">
        <f t="shared" si="241"/>
        <v>0</v>
      </c>
      <c r="AY402" s="32">
        <f t="shared" si="242"/>
        <v>0</v>
      </c>
    </row>
    <row r="403" spans="14:51" x14ac:dyDescent="0.3">
      <c r="N403" s="11">
        <v>85</v>
      </c>
      <c r="O403" s="52">
        <f t="shared" si="243"/>
        <v>70794.578438413781</v>
      </c>
      <c r="P403" s="50" t="str">
        <f t="shared" ref="P403:P466" si="244">COMPLEX(Adc,0)</f>
        <v>131.578947368421</v>
      </c>
      <c r="Q403" s="18" t="str">
        <f t="shared" ref="Q403:Q466" si="245">IMSUM(COMPLEX(1,0),IMDIV(COMPLEX(0,2*PI()*O403),COMPLEX(wp_lf,0)))</f>
        <v>1+667.223182608321i</v>
      </c>
      <c r="R403" s="18">
        <f t="shared" si="218"/>
        <v>667.22393198234204</v>
      </c>
      <c r="S403" s="18">
        <f t="shared" si="219"/>
        <v>1.5692975790335517</v>
      </c>
      <c r="T403" s="18" t="str">
        <f t="shared" ref="T403:T466" si="246">IMSUM(COMPLEX(1,0),IMDIV(COMPLEX(0,2*PI()*O403),COMPLEX(wz_esr,0)))</f>
        <v>1+0.00146789100173831i</v>
      </c>
      <c r="U403" s="18">
        <f t="shared" si="220"/>
        <v>1.0000010773514161</v>
      </c>
      <c r="V403" s="18">
        <f t="shared" si="221"/>
        <v>1.4678899474494722E-3</v>
      </c>
      <c r="W403" s="32" t="str">
        <f t="shared" ref="W403:W466" si="247">IMSUB(COMPLEX(1,0),IMDIV(COMPLEX(0,2*PI()*O403),COMPLEX(wz_rhp,0)))</f>
        <v>1-0.355852364057771i</v>
      </c>
      <c r="X403" s="18">
        <f t="shared" si="222"/>
        <v>1.0614287093373274</v>
      </c>
      <c r="Y403" s="18">
        <f t="shared" si="223"/>
        <v>-0.34187896320301747</v>
      </c>
      <c r="Z403" s="32" t="str">
        <f t="shared" ref="Z403:Z466" si="248">IMSUM(COMPLEX(1,0),IMDIV(COMPLEX(0,2*PI()*O403),COMPLEX(Q*(wsl/2),0)),IMDIV(IMPOWER(COMPLEX(0,2*PI()*O403),2),IMPOWER(COMPLEX(wsl/2,0),2)))</f>
        <v>0.996792401704785+0.150612952331469i</v>
      </c>
      <c r="AA403" s="18">
        <f t="shared" si="224"/>
        <v>1.0081068165161837</v>
      </c>
      <c r="AB403" s="18">
        <f t="shared" si="225"/>
        <v>0.14996323430600653</v>
      </c>
      <c r="AC403" s="68" t="str">
        <f t="shared" si="226"/>
        <v>-0.0975121138551914-0.183312513988506i</v>
      </c>
      <c r="AD403" s="66">
        <f t="shared" si="227"/>
        <v>-13.654009214432216</v>
      </c>
      <c r="AE403" s="63">
        <f t="shared" si="228"/>
        <v>-118.01050628364854</v>
      </c>
      <c r="AF403" s="32" t="str">
        <f t="shared" ref="AF403:AF466" si="249">COMPLEX(Adc_ea,0)</f>
        <v>-0.434440565864413</v>
      </c>
      <c r="AG403" s="32" t="str">
        <f t="shared" ref="AG403:AG466" si="250">IMDIV(COMPLEX(0,2*PI()*O403),COMPLEX(wp0_ea,0))</f>
        <v>11.6096833773848i</v>
      </c>
      <c r="AH403" s="32">
        <f t="shared" si="229"/>
        <v>11.609683377384799</v>
      </c>
      <c r="AI403" s="32">
        <f t="shared" si="230"/>
        <v>1.5707963267948966</v>
      </c>
      <c r="AJ403" s="32" t="str">
        <f t="shared" ref="AJ403:AJ466" si="251">IMSUM(COMPLEX(1,0),IMDIV(COMPLEX(0,2*PI()*O403),COMPLEX(wp1_ea,0)))</f>
        <v>1+0.114947360172127i</v>
      </c>
      <c r="AK403" s="32">
        <f t="shared" si="231"/>
        <v>1.0065847682190212</v>
      </c>
      <c r="AL403" s="32">
        <f t="shared" si="232"/>
        <v>0.11444507370438156</v>
      </c>
      <c r="AM403" s="32" t="str">
        <f t="shared" ref="AM403:AM466" si="252">IMSUM(COMPLEX(1,0),IMDIV(COMPLEX(0,2*PI()*O403),COMPLEX(wz_ea,0)))</f>
        <v>1+11.6096833773848i</v>
      </c>
      <c r="AN403" s="32">
        <f t="shared" si="233"/>
        <v>11.652671287010754</v>
      </c>
      <c r="AO403" s="32">
        <f t="shared" si="234"/>
        <v>1.4848734088686597</v>
      </c>
      <c r="AP403" s="60" t="str">
        <f t="shared" si="235"/>
        <v>-0.424529904807408+0.0862191271044788i</v>
      </c>
      <c r="AQ403" s="51">
        <f t="shared" si="236"/>
        <v>-7.2662972758929509</v>
      </c>
      <c r="AR403" s="63">
        <f t="shared" si="237"/>
        <v>168.5197597300529</v>
      </c>
      <c r="AS403" s="60" t="str">
        <f t="shared" si="238"/>
        <v>0.0572018533559301+0.0694142347748399i</v>
      </c>
      <c r="AT403" s="66">
        <f t="shared" si="239"/>
        <v>-20.920306490325167</v>
      </c>
      <c r="AU403" s="63">
        <f t="shared" si="240"/>
        <v>50.509253446404337</v>
      </c>
      <c r="AX403" s="32">
        <f t="shared" si="241"/>
        <v>0</v>
      </c>
      <c r="AY403" s="32">
        <f t="shared" si="242"/>
        <v>0</v>
      </c>
    </row>
    <row r="404" spans="14:51" x14ac:dyDescent="0.3">
      <c r="N404" s="11">
        <v>86</v>
      </c>
      <c r="O404" s="52">
        <f t="shared" si="243"/>
        <v>72443.596007499116</v>
      </c>
      <c r="P404" s="50" t="str">
        <f t="shared" si="244"/>
        <v>131.578947368421</v>
      </c>
      <c r="Q404" s="18" t="str">
        <f t="shared" si="245"/>
        <v>1+682.764807050358i</v>
      </c>
      <c r="R404" s="18">
        <f t="shared" ref="R404:R467" si="253">IMABS(Q404)</f>
        <v>682.76553936656205</v>
      </c>
      <c r="S404" s="18">
        <f t="shared" ref="S404:S467" si="254">IMARGUMENT(Q404)</f>
        <v>1.5693316946483293</v>
      </c>
      <c r="T404" s="18" t="str">
        <f t="shared" si="246"/>
        <v>1+0.00150208257551079i</v>
      </c>
      <c r="U404" s="18">
        <f t="shared" ref="U404:U467" si="255">IMABS(T404)</f>
        <v>1.0000011281253955</v>
      </c>
      <c r="V404" s="18">
        <f t="shared" ref="V404:V467" si="256">IMARGUMENT(T404)</f>
        <v>1.5020814458200156E-3</v>
      </c>
      <c r="W404" s="32" t="str">
        <f t="shared" si="247"/>
        <v>1-0.364141230426858i</v>
      </c>
      <c r="X404" s="18">
        <f t="shared" ref="X404:X467" si="257">IMABS(W404)</f>
        <v>1.0642362687377207</v>
      </c>
      <c r="Y404" s="18">
        <f t="shared" ref="Y404:Y467" si="258">IMARGUMENT(W404)</f>
        <v>-0.34921683550967397</v>
      </c>
      <c r="Z404" s="32" t="str">
        <f t="shared" si="248"/>
        <v>0.996641232254401+0.154121178667508i</v>
      </c>
      <c r="AA404" s="18">
        <f t="shared" ref="AA404:AA467" si="259">IMABS(Z404)</f>
        <v>1.0084875227504964</v>
      </c>
      <c r="AB404" s="18">
        <f t="shared" ref="AB404:AB467" si="260">IMARGUMENT(Z404)</f>
        <v>0.15342529396391621</v>
      </c>
      <c r="AC404" s="68" t="str">
        <f t="shared" ref="AC404:AC467" si="261">(IMDIV(IMPRODUCT(P404,T404,W404),IMPRODUCT(Q404,Z404)))</f>
        <v>-0.0974419263080077-0.178503935414729i</v>
      </c>
      <c r="AD404" s="66">
        <f t="shared" ref="AD404:AD467" si="262">20*LOG(IMABS(AC404))</f>
        <v>-13.834343390722781</v>
      </c>
      <c r="AE404" s="63">
        <f t="shared" ref="AE404:AE467" si="263">(180/PI())*IMARGUMENT(AC404)</f>
        <v>-118.6292924564371</v>
      </c>
      <c r="AF404" s="32" t="str">
        <f t="shared" si="249"/>
        <v>-0.434440565864413</v>
      </c>
      <c r="AG404" s="32" t="str">
        <f t="shared" si="250"/>
        <v>11.8801076426762i</v>
      </c>
      <c r="AH404" s="32">
        <f t="shared" ref="AH404:AH467" si="264">IMABS(AG404)</f>
        <v>11.880107642676199</v>
      </c>
      <c r="AI404" s="32">
        <f t="shared" ref="AI404:AI467" si="265">IMARGUMENT(AG404)</f>
        <v>1.5707963267948966</v>
      </c>
      <c r="AJ404" s="32" t="str">
        <f t="shared" si="251"/>
        <v>1+0.117624828145309i</v>
      </c>
      <c r="AK404" s="32">
        <f t="shared" ref="AK404:AK467" si="266">IMABS(AJ404)</f>
        <v>1.0068940362303342</v>
      </c>
      <c r="AL404" s="32">
        <f t="shared" ref="AL404:AL467" si="267">IMARGUMENT(AJ404)</f>
        <v>0.11708681732257001</v>
      </c>
      <c r="AM404" s="32" t="str">
        <f t="shared" si="252"/>
        <v>1+11.8801076426762i</v>
      </c>
      <c r="AN404" s="32">
        <f t="shared" ref="AN404:AN467" si="268">IMABS(AM404)</f>
        <v>11.922120516148688</v>
      </c>
      <c r="AO404" s="32">
        <f t="shared" ref="AO404:AO467" si="269">IMARGUMENT(AM404)</f>
        <v>1.4868199649907148</v>
      </c>
      <c r="AP404" s="60" t="str">
        <f t="shared" ref="AP404:AP467" si="270">IMPRODUCT(AF404,IMDIV(AM404,IMPRODUCT(AG404,AJ404)))</f>
        <v>-0.424269155709204+0.0864733263851748i</v>
      </c>
      <c r="AQ404" s="51">
        <f t="shared" ref="AQ404:AQ467" si="271">20*LOG(IMABS(AP404))</f>
        <v>-7.2704053186372537</v>
      </c>
      <c r="AR404" s="63">
        <f t="shared" ref="AR404:AR467" si="272">(180/PI())*IMARGUMENT(AP404)</f>
        <v>168.47992842055427</v>
      </c>
      <c r="AS404" s="60" t="str">
        <f t="shared" ref="AS404:AS467" si="273">IMPRODUCT(AC404,AP404)</f>
        <v>0.0567774328735329+0.0673075864719449i</v>
      </c>
      <c r="AT404" s="66">
        <f t="shared" ref="AT404:AT467" si="274">20*LOG(IMABS(AS404))</f>
        <v>-21.104748709360031</v>
      </c>
      <c r="AU404" s="63">
        <f t="shared" ref="AU404:AU467" si="275">(180/PI())*IMARGUMENT(AS404)</f>
        <v>49.850635964117195</v>
      </c>
      <c r="AX404" s="32">
        <f t="shared" ref="AX404:AX467" si="276">SUM((AT405&lt;0)*(AT404&gt;0))*O404</f>
        <v>0</v>
      </c>
      <c r="AY404" s="32">
        <f t="shared" ref="AY404:AY467" si="277">IF(AX404&gt;0,AU404,0)</f>
        <v>0</v>
      </c>
    </row>
    <row r="405" spans="14:51" x14ac:dyDescent="0.3">
      <c r="N405" s="11">
        <v>87</v>
      </c>
      <c r="O405" s="52">
        <f t="shared" si="243"/>
        <v>74131.024130091857</v>
      </c>
      <c r="P405" s="50" t="str">
        <f t="shared" si="244"/>
        <v>131.578947368421</v>
      </c>
      <c r="Q405" s="18" t="str">
        <f t="shared" si="245"/>
        <v>1+698.668442430553i</v>
      </c>
      <c r="R405" s="18">
        <f t="shared" si="253"/>
        <v>698.66915807722251</v>
      </c>
      <c r="S405" s="18">
        <f t="shared" si="254"/>
        <v>1.5693650337002001</v>
      </c>
      <c r="T405" s="18" t="str">
        <f t="shared" si="246"/>
        <v>1+0.00153707057334722i</v>
      </c>
      <c r="U405" s="18">
        <f t="shared" si="255"/>
        <v>1.000001181292276</v>
      </c>
      <c r="V405" s="18">
        <f t="shared" si="256"/>
        <v>1.5370693628618236E-3</v>
      </c>
      <c r="W405" s="32" t="str">
        <f t="shared" si="247"/>
        <v>1-0.372623169296295i</v>
      </c>
      <c r="X405" s="18">
        <f t="shared" si="257"/>
        <v>1.0671682277393828</v>
      </c>
      <c r="Y405" s="18">
        <f t="shared" si="258"/>
        <v>-0.35668524691061493</v>
      </c>
      <c r="Z405" s="32" t="str">
        <f t="shared" si="248"/>
        <v>0.996482938407311+0.157711122092511i</v>
      </c>
      <c r="AA405" s="18">
        <f t="shared" si="259"/>
        <v>1.0088860414182306</v>
      </c>
      <c r="AB405" s="18">
        <f t="shared" si="260"/>
        <v>0.15696580523610248</v>
      </c>
      <c r="AC405" s="68" t="str">
        <f t="shared" si="261"/>
        <v>-0.0973673346870798-0.173790995138653i</v>
      </c>
      <c r="AD405" s="66">
        <f t="shared" si="262"/>
        <v>-14.013877562283914</v>
      </c>
      <c r="AE405" s="63">
        <f t="shared" si="263"/>
        <v>-119.2599627895779</v>
      </c>
      <c r="AF405" s="32" t="str">
        <f t="shared" si="249"/>
        <v>-0.434440565864413</v>
      </c>
      <c r="AG405" s="32" t="str">
        <f t="shared" si="250"/>
        <v>12.1568308982916i</v>
      </c>
      <c r="AH405" s="32">
        <f t="shared" si="264"/>
        <v>12.1568308982916</v>
      </c>
      <c r="AI405" s="32">
        <f t="shared" si="265"/>
        <v>1.5707963267948966</v>
      </c>
      <c r="AJ405" s="32" t="str">
        <f t="shared" si="251"/>
        <v>1+0.120364662359323i</v>
      </c>
      <c r="AK405" s="32">
        <f t="shared" si="266"/>
        <v>1.0072177778141498</v>
      </c>
      <c r="AL405" s="32">
        <f t="shared" si="267"/>
        <v>0.11978839626023902</v>
      </c>
      <c r="AM405" s="32" t="str">
        <f t="shared" si="252"/>
        <v>1+12.1568308982916i</v>
      </c>
      <c r="AN405" s="32">
        <f t="shared" si="268"/>
        <v>12.197890698381313</v>
      </c>
      <c r="AO405" s="32">
        <f t="shared" si="269"/>
        <v>1.4887228286647967</v>
      </c>
      <c r="AP405" s="60" t="str">
        <f t="shared" si="270"/>
        <v>-0.423996460970778+0.0867705245785183i</v>
      </c>
      <c r="AQ405" s="51">
        <f t="shared" si="271"/>
        <v>-7.2745730037482232</v>
      </c>
      <c r="AR405" s="63">
        <f t="shared" si="272"/>
        <v>168.43416540691805</v>
      </c>
      <c r="AS405" s="60" t="str">
        <f t="shared" si="273"/>
        <v>0.0563633411366827+0.0652381521797685i</v>
      </c>
      <c r="AT405" s="66">
        <f t="shared" si="274"/>
        <v>-21.288450566032143</v>
      </c>
      <c r="AU405" s="63">
        <f t="shared" si="275"/>
        <v>49.174202617340178</v>
      </c>
      <c r="AX405" s="32">
        <f t="shared" si="276"/>
        <v>0</v>
      </c>
      <c r="AY405" s="32">
        <f t="shared" si="277"/>
        <v>0</v>
      </c>
    </row>
    <row r="406" spans="14:51" x14ac:dyDescent="0.3">
      <c r="N406" s="11">
        <v>88</v>
      </c>
      <c r="O406" s="52">
        <f t="shared" si="243"/>
        <v>75857.757502918481</v>
      </c>
      <c r="P406" s="50" t="str">
        <f t="shared" si="244"/>
        <v>131.578947368421</v>
      </c>
      <c r="Q406" s="18" t="str">
        <f t="shared" si="245"/>
        <v>1+714.942521066893i</v>
      </c>
      <c r="R406" s="18">
        <f t="shared" si="253"/>
        <v>714.94322042347164</v>
      </c>
      <c r="S406" s="18">
        <f t="shared" si="254"/>
        <v>1.569397613865674</v>
      </c>
      <c r="T406" s="18" t="str">
        <f t="shared" si="246"/>
        <v>1+0.00157287354634717i</v>
      </c>
      <c r="U406" s="18">
        <f t="shared" si="255"/>
        <v>1.0000012369648315</v>
      </c>
      <c r="V406" s="18">
        <f t="shared" si="256"/>
        <v>1.5728722492887857E-3</v>
      </c>
      <c r="W406" s="32" t="str">
        <f t="shared" si="247"/>
        <v>1-0.381302677902343i</v>
      </c>
      <c r="X406" s="18">
        <f t="shared" si="257"/>
        <v>1.070229756723059</v>
      </c>
      <c r="Y406" s="18">
        <f t="shared" si="258"/>
        <v>-0.36428482373709725</v>
      </c>
      <c r="Z406" s="32" t="str">
        <f t="shared" si="248"/>
        <v>0.996317184401042+0.161384686042i</v>
      </c>
      <c r="AA406" s="18">
        <f t="shared" si="259"/>
        <v>1.009303199648993</v>
      </c>
      <c r="AB406" s="18">
        <f t="shared" si="260"/>
        <v>0.16058644238527731</v>
      </c>
      <c r="AC406" s="68" t="str">
        <f t="shared" si="261"/>
        <v>-0.0972881988852047-0.169171263143655i</v>
      </c>
      <c r="AD406" s="66">
        <f t="shared" si="262"/>
        <v>-14.192584707982942</v>
      </c>
      <c r="AE406" s="63">
        <f t="shared" si="263"/>
        <v>-119.90264904730761</v>
      </c>
      <c r="AF406" s="32" t="str">
        <f t="shared" si="249"/>
        <v>-0.434440565864413</v>
      </c>
      <c r="AG406" s="32" t="str">
        <f t="shared" si="250"/>
        <v>12.439999866564i</v>
      </c>
      <c r="AH406" s="32">
        <f t="shared" si="264"/>
        <v>12.439999866563999</v>
      </c>
      <c r="AI406" s="32">
        <f t="shared" si="265"/>
        <v>1.5707963267948966</v>
      </c>
      <c r="AJ406" s="32" t="str">
        <f t="shared" si="251"/>
        <v>1+0.123168315510534i</v>
      </c>
      <c r="AK406" s="32">
        <f t="shared" si="266"/>
        <v>1.0075566653770409</v>
      </c>
      <c r="AL406" s="32">
        <f t="shared" si="267"/>
        <v>0.12255108510502649</v>
      </c>
      <c r="AM406" s="32" t="str">
        <f t="shared" si="252"/>
        <v>1+12.439999866564i</v>
      </c>
      <c r="AN406" s="32">
        <f t="shared" si="268"/>
        <v>12.48012807146274</v>
      </c>
      <c r="AO406" s="32">
        <f t="shared" si="269"/>
        <v>1.4905829536632615</v>
      </c>
      <c r="AP406" s="60" t="str">
        <f t="shared" si="270"/>
        <v>-0.423711289986394+0.0871106812945018i</v>
      </c>
      <c r="AQ406" s="51">
        <f t="shared" si="271"/>
        <v>-7.278808865509264</v>
      </c>
      <c r="AR406" s="63">
        <f t="shared" si="272"/>
        <v>168.38245230778264</v>
      </c>
      <c r="AS406" s="60" t="str">
        <f t="shared" si="273"/>
        <v>0.0559587322379982+0.0632049328484206i</v>
      </c>
      <c r="AT406" s="66">
        <f t="shared" si="274"/>
        <v>-21.471393573492207</v>
      </c>
      <c r="AU406" s="63">
        <f t="shared" si="275"/>
        <v>48.479803260475009</v>
      </c>
      <c r="AX406" s="32">
        <f t="shared" si="276"/>
        <v>0</v>
      </c>
      <c r="AY406" s="32">
        <f t="shared" si="277"/>
        <v>0</v>
      </c>
    </row>
    <row r="407" spans="14:51" x14ac:dyDescent="0.3">
      <c r="N407" s="11">
        <v>89</v>
      </c>
      <c r="O407" s="52">
        <f t="shared" si="243"/>
        <v>77624.711662869129</v>
      </c>
      <c r="P407" s="50" t="str">
        <f t="shared" si="244"/>
        <v>131.578947368421</v>
      </c>
      <c r="Q407" s="18" t="str">
        <f t="shared" si="245"/>
        <v>1+731.595671691286i</v>
      </c>
      <c r="R407" s="18">
        <f t="shared" si="253"/>
        <v>731.5963551285804</v>
      </c>
      <c r="S407" s="18">
        <f t="shared" si="254"/>
        <v>1.5694294524189092</v>
      </c>
      <c r="T407" s="18" t="str">
        <f t="shared" si="246"/>
        <v>1+0.00160951047772083i</v>
      </c>
      <c r="U407" s="18">
        <f t="shared" si="255"/>
        <v>1.0000012952611501</v>
      </c>
      <c r="V407" s="18">
        <f t="shared" si="256"/>
        <v>1.6095090878978286E-3</v>
      </c>
      <c r="W407" s="32" t="str">
        <f t="shared" si="247"/>
        <v>1-0.390184358235353i</v>
      </c>
      <c r="X407" s="18">
        <f t="shared" si="257"/>
        <v>1.0734262123739733</v>
      </c>
      <c r="Y407" s="18">
        <f t="shared" si="258"/>
        <v>-0.37201608316127649</v>
      </c>
      <c r="Z407" s="32" t="str">
        <f t="shared" si="248"/>
        <v>0.996143618649124+0.165143818288208i</v>
      </c>
      <c r="AA407" s="18">
        <f t="shared" si="259"/>
        <v>1.009739862387427</v>
      </c>
      <c r="AB407" s="18">
        <f t="shared" si="260"/>
        <v>0.16428890814337607</v>
      </c>
      <c r="AC407" s="68" t="str">
        <f t="shared" si="261"/>
        <v>-0.0972043708422378-0.164642363453544i</v>
      </c>
      <c r="AD407" s="66">
        <f t="shared" si="262"/>
        <v>-14.370437364566747</v>
      </c>
      <c r="AE407" s="63">
        <f t="shared" si="263"/>
        <v>-120.55747832286374</v>
      </c>
      <c r="AF407" s="32" t="str">
        <f t="shared" si="249"/>
        <v>-0.434440565864413</v>
      </c>
      <c r="AG407" s="32" t="str">
        <f t="shared" si="250"/>
        <v>12.7297646874284i</v>
      </c>
      <c r="AH407" s="32">
        <f t="shared" si="264"/>
        <v>12.7297646874284</v>
      </c>
      <c r="AI407" s="32">
        <f t="shared" si="265"/>
        <v>1.5707963267948966</v>
      </c>
      <c r="AJ407" s="32" t="str">
        <f t="shared" si="251"/>
        <v>1+0.126037274132954i</v>
      </c>
      <c r="AK407" s="32">
        <f t="shared" si="266"/>
        <v>1.0079114020938871</v>
      </c>
      <c r="AL407" s="32">
        <f t="shared" si="267"/>
        <v>0.12537617989199004</v>
      </c>
      <c r="AM407" s="32" t="str">
        <f t="shared" si="252"/>
        <v>1+12.7297646874284i</v>
      </c>
      <c r="AN407" s="32">
        <f t="shared" si="268"/>
        <v>12.768982300766925</v>
      </c>
      <c r="AO407" s="32">
        <f t="shared" si="269"/>
        <v>1.492401274731088</v>
      </c>
      <c r="AP407" s="60" t="str">
        <f t="shared" si="270"/>
        <v>-0.423413090161833+0.087493765462969i</v>
      </c>
      <c r="AQ407" s="51">
        <f t="shared" si="271"/>
        <v>-7.2831215647885905</v>
      </c>
      <c r="AR407" s="63">
        <f t="shared" si="272"/>
        <v>168.32476842275142</v>
      </c>
      <c r="AS407" s="60" t="str">
        <f t="shared" si="273"/>
        <v>0.055562783368822+0.0612069554569665i</v>
      </c>
      <c r="AT407" s="66">
        <f t="shared" si="274"/>
        <v>-21.653558929355334</v>
      </c>
      <c r="AU407" s="63">
        <f t="shared" si="275"/>
        <v>47.767290099887653</v>
      </c>
      <c r="AX407" s="32">
        <f t="shared" si="276"/>
        <v>0</v>
      </c>
      <c r="AY407" s="32">
        <f t="shared" si="277"/>
        <v>0</v>
      </c>
    </row>
    <row r="408" spans="14:51" x14ac:dyDescent="0.3">
      <c r="N408" s="11">
        <v>90</v>
      </c>
      <c r="O408" s="52">
        <f t="shared" si="243"/>
        <v>79432.823472428237</v>
      </c>
      <c r="P408" s="50" t="str">
        <f t="shared" si="244"/>
        <v>131.578947368421</v>
      </c>
      <c r="Q408" s="18" t="str">
        <f t="shared" si="245"/>
        <v>1+748.636724024626i</v>
      </c>
      <c r="R408" s="18">
        <f t="shared" si="253"/>
        <v>748.63739190500235</v>
      </c>
      <c r="S408" s="18">
        <f t="shared" si="254"/>
        <v>1.56946056624087</v>
      </c>
      <c r="T408" s="18" t="str">
        <f t="shared" si="246"/>
        <v>1+0.00164700079285418i</v>
      </c>
      <c r="U408" s="18">
        <f t="shared" si="255"/>
        <v>1.000001356304886</v>
      </c>
      <c r="V408" s="18">
        <f t="shared" si="256"/>
        <v>1.646999303632112E-3</v>
      </c>
      <c r="W408" s="32" t="str">
        <f t="shared" si="247"/>
        <v>1-0.399272919479801i</v>
      </c>
      <c r="X408" s="18">
        <f t="shared" si="257"/>
        <v>1.0767631421208304</v>
      </c>
      <c r="Y408" s="18">
        <f t="shared" si="258"/>
        <v>-0.37987942645514144</v>
      </c>
      <c r="Z408" s="32" t="str">
        <f t="shared" si="248"/>
        <v>0.995961872995327+0.16899051197281i</v>
      </c>
      <c r="AA408" s="18">
        <f t="shared" si="259"/>
        <v>1.0101969340664188</v>
      </c>
      <c r="AB408" s="18">
        <f t="shared" si="260"/>
        <v>0.1680749336714257</v>
      </c>
      <c r="AC408" s="68" t="str">
        <f t="shared" si="261"/>
        <v>-0.0971156943848387-0.160201973170653i</v>
      </c>
      <c r="AD408" s="66">
        <f t="shared" si="262"/>
        <v>-14.547407661675605</v>
      </c>
      <c r="AE408" s="63">
        <f t="shared" si="263"/>
        <v>-121.22457264989907</v>
      </c>
      <c r="AF408" s="32" t="str">
        <f t="shared" si="249"/>
        <v>-0.434440565864413</v>
      </c>
      <c r="AG408" s="32" t="str">
        <f t="shared" si="250"/>
        <v>13.0262789980285i</v>
      </c>
      <c r="AH408" s="32">
        <f t="shared" si="264"/>
        <v>13.0262789980285</v>
      </c>
      <c r="AI408" s="32">
        <f t="shared" si="265"/>
        <v>1.5707963267948966</v>
      </c>
      <c r="AJ408" s="32" t="str">
        <f t="shared" si="251"/>
        <v>1+0.128973059386421i</v>
      </c>
      <c r="AK408" s="32">
        <f t="shared" si="266"/>
        <v>1.0082827232713518</v>
      </c>
      <c r="AL408" s="32">
        <f t="shared" si="267"/>
        <v>0.12826499804707658</v>
      </c>
      <c r="AM408" s="32" t="str">
        <f t="shared" si="252"/>
        <v>1+13.0262789980285i</v>
      </c>
      <c r="AN408" s="32">
        <f t="shared" si="268"/>
        <v>13.06460655873258</v>
      </c>
      <c r="AO408" s="32">
        <f t="shared" si="269"/>
        <v>1.4941787078441446</v>
      </c>
      <c r="AP408" s="60" t="str">
        <f t="shared" si="270"/>
        <v>-0.423101286154135+0.087919754437277i</v>
      </c>
      <c r="AQ408" s="51">
        <f t="shared" si="271"/>
        <v>-7.2875199047803543</v>
      </c>
      <c r="AR408" s="63">
        <f t="shared" si="272"/>
        <v>168.26109075042913</v>
      </c>
      <c r="AS408" s="60" t="str">
        <f t="shared" si="273"/>
        <v>0.0551746933415082+0.0592432728906129i</v>
      </c>
      <c r="AT408" s="66">
        <f t="shared" si="274"/>
        <v>-21.834927566455956</v>
      </c>
      <c r="AU408" s="63">
        <f t="shared" si="275"/>
        <v>47.036518100530081</v>
      </c>
      <c r="AX408" s="32">
        <f t="shared" si="276"/>
        <v>0</v>
      </c>
      <c r="AY408" s="32">
        <f t="shared" si="277"/>
        <v>0</v>
      </c>
    </row>
    <row r="409" spans="14:51" x14ac:dyDescent="0.3">
      <c r="N409" s="11">
        <v>91</v>
      </c>
      <c r="O409" s="52">
        <f t="shared" si="243"/>
        <v>81283.051616410012</v>
      </c>
      <c r="P409" s="50" t="str">
        <f t="shared" si="244"/>
        <v>131.578947368421</v>
      </c>
      <c r="Q409" s="18" t="str">
        <f t="shared" si="245"/>
        <v>1+766.07471345842i</v>
      </c>
      <c r="R409" s="18">
        <f t="shared" si="253"/>
        <v>766.07536613599586</v>
      </c>
      <c r="S409" s="18">
        <f t="shared" si="254"/>
        <v>1.5694909718282752</v>
      </c>
      <c r="T409" s="18" t="str">
        <f t="shared" si="246"/>
        <v>1+0.00168536436960853i</v>
      </c>
      <c r="U409" s="18">
        <f t="shared" si="255"/>
        <v>1.0000014202255207</v>
      </c>
      <c r="V409" s="18">
        <f t="shared" si="256"/>
        <v>1.6853627738784569E-3</v>
      </c>
      <c r="W409" s="32" t="str">
        <f t="shared" si="247"/>
        <v>1-0.408573180511158i</v>
      </c>
      <c r="X409" s="18">
        <f t="shared" si="257"/>
        <v>1.0802462885069326</v>
      </c>
      <c r="Y409" s="18">
        <f t="shared" si="258"/>
        <v>-0.38787513217551128</v>
      </c>
      <c r="Z409" s="32" t="str">
        <f t="shared" si="248"/>
        <v>0.995771561932751+0.172926806663714i</v>
      </c>
      <c r="AA409" s="18">
        <f t="shared" si="259"/>
        <v>1.0106753603491578</v>
      </c>
      <c r="AB409" s="18">
        <f t="shared" si="260"/>
        <v>0.17194627847399457</v>
      </c>
      <c r="AC409" s="68" t="str">
        <f t="shared" si="261"/>
        <v>-0.0970220050625979-0.155847821559452i</v>
      </c>
      <c r="AD409" s="66">
        <f t="shared" si="262"/>
        <v>-14.723467361161537</v>
      </c>
      <c r="AE409" s="63">
        <f t="shared" si="263"/>
        <v>-121.90404860703123</v>
      </c>
      <c r="AF409" s="32" t="str">
        <f t="shared" si="249"/>
        <v>-0.434440565864413</v>
      </c>
      <c r="AG409" s="32" t="str">
        <f t="shared" si="250"/>
        <v>13.3297000141765i</v>
      </c>
      <c r="AH409" s="32">
        <f t="shared" si="264"/>
        <v>13.329700014176501</v>
      </c>
      <c r="AI409" s="32">
        <f t="shared" si="265"/>
        <v>1.5707963267948966</v>
      </c>
      <c r="AJ409" s="32" t="str">
        <f t="shared" si="251"/>
        <v>1+0.131977227863134i</v>
      </c>
      <c r="AK409" s="32">
        <f t="shared" si="266"/>
        <v>1.008671397767597</v>
      </c>
      <c r="AL409" s="32">
        <f t="shared" si="267"/>
        <v>0.1312188782934143</v>
      </c>
      <c r="AM409" s="32" t="str">
        <f t="shared" si="252"/>
        <v>1+13.3297000141765i</v>
      </c>
      <c r="AN409" s="32">
        <f t="shared" si="268"/>
        <v>13.367157606160594</v>
      </c>
      <c r="AO409" s="32">
        <f t="shared" si="269"/>
        <v>1.4959161504727891</v>
      </c>
      <c r="AP409" s="60" t="str">
        <f t="shared" si="270"/>
        <v>-0.422775279099986+0.088388633049066i</v>
      </c>
      <c r="AQ409" s="51">
        <f t="shared" si="271"/>
        <v>-7.2920128468868581</v>
      </c>
      <c r="AR409" s="63">
        <f t="shared" si="272"/>
        <v>168.19139400889443</v>
      </c>
      <c r="AS409" s="60" t="str">
        <f t="shared" si="273"/>
        <v>0.0547936811804948+0.0573129638537596i</v>
      </c>
      <c r="AT409" s="66">
        <f t="shared" si="274"/>
        <v>-22.015480208048391</v>
      </c>
      <c r="AU409" s="63">
        <f t="shared" si="275"/>
        <v>46.287345401863213</v>
      </c>
      <c r="AX409" s="32">
        <f t="shared" si="276"/>
        <v>0</v>
      </c>
      <c r="AY409" s="32">
        <f t="shared" si="277"/>
        <v>0</v>
      </c>
    </row>
    <row r="410" spans="14:51" x14ac:dyDescent="0.3">
      <c r="N410" s="11">
        <v>92</v>
      </c>
      <c r="O410" s="52">
        <f t="shared" si="243"/>
        <v>83176.377110267174</v>
      </c>
      <c r="P410" s="50" t="str">
        <f t="shared" si="244"/>
        <v>131.578947368421</v>
      </c>
      <c r="Q410" s="18" t="str">
        <f t="shared" si="245"/>
        <v>1+783.918885845488i</v>
      </c>
      <c r="R410" s="18">
        <f t="shared" si="253"/>
        <v>783.91952366632086</v>
      </c>
      <c r="S410" s="18">
        <f t="shared" si="254"/>
        <v>1.5695206853023447</v>
      </c>
      <c r="T410" s="18" t="str">
        <f t="shared" si="246"/>
        <v>1+0.00172462154886007i</v>
      </c>
      <c r="U410" s="18">
        <f t="shared" si="255"/>
        <v>1.0000014871586376</v>
      </c>
      <c r="V410" s="18">
        <f t="shared" si="256"/>
        <v>1.7246198390046281E-3</v>
      </c>
      <c r="W410" s="32" t="str">
        <f t="shared" si="247"/>
        <v>1-0.418090072450927i</v>
      </c>
      <c r="X410" s="18">
        <f t="shared" si="257"/>
        <v>1.083881593478744</v>
      </c>
      <c r="Y410" s="18">
        <f t="shared" si="258"/>
        <v>-0.39600334930245018</v>
      </c>
      <c r="Z410" s="32" t="str">
        <f t="shared" si="248"/>
        <v>0.995572281786119+0.176954789436467i</v>
      </c>
      <c r="AA410" s="18">
        <f t="shared" si="259"/>
        <v>1.0111761299424169</v>
      </c>
      <c r="AB410" s="18">
        <f t="shared" si="260"/>
        <v>0.17590473026464035</v>
      </c>
      <c r="AC410" s="68" t="str">
        <f t="shared" si="261"/>
        <v>-0.0969231299813196-0.151577689175981i</v>
      </c>
      <c r="AD410" s="66">
        <f t="shared" si="262"/>
        <v>-14.898587900904401</v>
      </c>
      <c r="AE410" s="63">
        <f t="shared" si="263"/>
        <v>-122.59601691689191</v>
      </c>
      <c r="AF410" s="32" t="str">
        <f t="shared" si="249"/>
        <v>-0.434440565864413</v>
      </c>
      <c r="AG410" s="32" t="str">
        <f t="shared" si="250"/>
        <v>13.6401886137115i</v>
      </c>
      <c r="AH410" s="32">
        <f t="shared" si="264"/>
        <v>13.6401886137115</v>
      </c>
      <c r="AI410" s="32">
        <f t="shared" si="265"/>
        <v>1.5707963267948966</v>
      </c>
      <c r="AJ410" s="32" t="str">
        <f t="shared" si="251"/>
        <v>1+0.135051372412985i</v>
      </c>
      <c r="AK410" s="32">
        <f t="shared" si="266"/>
        <v>1.0090782294701588</v>
      </c>
      <c r="AL410" s="32">
        <f t="shared" si="267"/>
        <v>0.13423918051746161</v>
      </c>
      <c r="AM410" s="32" t="str">
        <f t="shared" si="252"/>
        <v>1+13.6401886137115i</v>
      </c>
      <c r="AN410" s="32">
        <f t="shared" si="268"/>
        <v>13.676795875409738</v>
      </c>
      <c r="AO410" s="32">
        <f t="shared" si="269"/>
        <v>1.4976144818499897</v>
      </c>
      <c r="AP410" s="60" t="str">
        <f t="shared" si="270"/>
        <v>-0.422434445834256+0.0889003926109144i</v>
      </c>
      <c r="AQ410" s="51">
        <f t="shared" si="271"/>
        <v>-7.2966095267545796</v>
      </c>
      <c r="AR410" s="63">
        <f t="shared" si="272"/>
        <v>168.11565065873071</v>
      </c>
      <c r="AS410" s="60" t="str">
        <f t="shared" si="273"/>
        <v>0.0544189847809802+0.0554151328194746i</v>
      </c>
      <c r="AT410" s="66">
        <f t="shared" si="274"/>
        <v>-22.195197427658982</v>
      </c>
      <c r="AU410" s="63">
        <f t="shared" si="275"/>
        <v>45.519633741838774</v>
      </c>
      <c r="AX410" s="32">
        <f t="shared" si="276"/>
        <v>0</v>
      </c>
      <c r="AY410" s="32">
        <f t="shared" si="277"/>
        <v>0</v>
      </c>
    </row>
    <row r="411" spans="14:51" x14ac:dyDescent="0.3">
      <c r="N411" s="11">
        <v>93</v>
      </c>
      <c r="O411" s="52">
        <f t="shared" si="243"/>
        <v>85113.803820237721</v>
      </c>
      <c r="P411" s="50" t="str">
        <f t="shared" si="244"/>
        <v>131.578947368421</v>
      </c>
      <c r="Q411" s="18" t="str">
        <f t="shared" si="245"/>
        <v>1+802.178702402224i</v>
      </c>
      <c r="R411" s="18">
        <f t="shared" si="253"/>
        <v>802.17932570449341</v>
      </c>
      <c r="S411" s="18">
        <f t="shared" si="254"/>
        <v>1.569549722417346</v>
      </c>
      <c r="T411" s="18" t="str">
        <f t="shared" si="246"/>
        <v>1+0.00176479314528489i</v>
      </c>
      <c r="U411" s="18">
        <f t="shared" si="255"/>
        <v>1.0000015572462102</v>
      </c>
      <c r="V411" s="18">
        <f t="shared" si="256"/>
        <v>1.7647913131419288E-3</v>
      </c>
      <c r="W411" s="32" t="str">
        <f t="shared" si="247"/>
        <v>1-0.427828641281186i</v>
      </c>
      <c r="X411" s="18">
        <f t="shared" si="257"/>
        <v>1.0876752025768104</v>
      </c>
      <c r="Y411" s="18">
        <f t="shared" si="258"/>
        <v>-0.40426409036133487</v>
      </c>
      <c r="Z411" s="32" t="str">
        <f t="shared" si="248"/>
        <v>0.99536360985552+0.181076595980853i</v>
      </c>
      <c r="AA411" s="18">
        <f t="shared" si="259"/>
        <v>1.0117002764834182</v>
      </c>
      <c r="AB411" s="18">
        <f t="shared" si="260"/>
        <v>0.17995210477859699</v>
      </c>
      <c r="AC411" s="68" t="str">
        <f t="shared" si="261"/>
        <v>-0.0968188876343439-0.14738940704352i</v>
      </c>
      <c r="AD411" s="66">
        <f t="shared" si="262"/>
        <v>-15.072740443303337</v>
      </c>
      <c r="AE411" s="63">
        <f t="shared" si="263"/>
        <v>-123.30058204118878</v>
      </c>
      <c r="AF411" s="32" t="str">
        <f t="shared" si="249"/>
        <v>-0.434440565864413</v>
      </c>
      <c r="AG411" s="32" t="str">
        <f t="shared" si="250"/>
        <v>13.9579094217987i</v>
      </c>
      <c r="AH411" s="32">
        <f t="shared" si="264"/>
        <v>13.9579094217987</v>
      </c>
      <c r="AI411" s="32">
        <f t="shared" si="265"/>
        <v>1.5707963267948966</v>
      </c>
      <c r="AJ411" s="32" t="str">
        <f t="shared" si="251"/>
        <v>1+0.138197122988106i</v>
      </c>
      <c r="AK411" s="32">
        <f t="shared" si="266"/>
        <v>1.0095040588339352</v>
      </c>
      <c r="AL411" s="32">
        <f t="shared" si="267"/>
        <v>0.13732728559184573</v>
      </c>
      <c r="AM411" s="32" t="str">
        <f t="shared" si="252"/>
        <v>1+13.9579094217987i</v>
      </c>
      <c r="AN411" s="32">
        <f t="shared" si="268"/>
        <v>13.993685555533142</v>
      </c>
      <c r="AO411" s="32">
        <f t="shared" si="269"/>
        <v>1.4992745632431963</v>
      </c>
      <c r="AP411" s="60" t="str">
        <f t="shared" si="270"/>
        <v>-0.422078138100459+0.0894550298635262i</v>
      </c>
      <c r="AQ411" s="51">
        <f t="shared" si="271"/>
        <v>-7.3013192704751955</v>
      </c>
      <c r="AR411" s="63">
        <f t="shared" si="272"/>
        <v>168.0338309287545</v>
      </c>
      <c r="AS411" s="60" t="str">
        <f t="shared" si="273"/>
        <v>0.0540498596343069+0.053548910015976i</v>
      </c>
      <c r="AT411" s="66">
        <f t="shared" si="274"/>
        <v>-22.374059713778532</v>
      </c>
      <c r="AU411" s="63">
        <f t="shared" si="275"/>
        <v>44.73324888756575</v>
      </c>
      <c r="AX411" s="32">
        <f t="shared" si="276"/>
        <v>0</v>
      </c>
      <c r="AY411" s="32">
        <f t="shared" si="277"/>
        <v>0</v>
      </c>
    </row>
    <row r="412" spans="14:51" x14ac:dyDescent="0.3">
      <c r="N412" s="11">
        <v>94</v>
      </c>
      <c r="O412" s="52">
        <f t="shared" si="243"/>
        <v>87096.358995608127</v>
      </c>
      <c r="P412" s="50" t="str">
        <f t="shared" si="244"/>
        <v>131.578947368421</v>
      </c>
      <c r="Q412" s="18" t="str">
        <f t="shared" si="245"/>
        <v>1+820.863844725066i</v>
      </c>
      <c r="R412" s="18">
        <f t="shared" si="253"/>
        <v>820.86445383925434</v>
      </c>
      <c r="S412" s="18">
        <f t="shared" si="254"/>
        <v>1.5695780985689458</v>
      </c>
      <c r="T412" s="18" t="str">
        <f t="shared" si="246"/>
        <v>1+0.00180590045839515i</v>
      </c>
      <c r="U412" s="18">
        <f t="shared" si="255"/>
        <v>1.0000016306369033</v>
      </c>
      <c r="V412" s="18">
        <f t="shared" si="256"/>
        <v>1.8058984952187701E-3</v>
      </c>
      <c r="W412" s="32" t="str">
        <f t="shared" si="247"/>
        <v>1-0.437794050520035i</v>
      </c>
      <c r="X412" s="18">
        <f t="shared" si="257"/>
        <v>1.0916334690136331</v>
      </c>
      <c r="Y412" s="18">
        <f t="shared" si="258"/>
        <v>-0.41265722456176429</v>
      </c>
      <c r="Z412" s="32" t="str">
        <f t="shared" si="248"/>
        <v>0.995145103519813+0.18529441173326i</v>
      </c>
      <c r="AA412" s="18">
        <f t="shared" si="259"/>
        <v>1.0122488805027321</v>
      </c>
      <c r="AB412" s="18">
        <f t="shared" si="260"/>
        <v>0.18409024552872638</v>
      </c>
      <c r="AC412" s="68" t="str">
        <f t="shared" si="261"/>
        <v>-0.0967090877328425-0.143280855874836i</v>
      </c>
      <c r="AD412" s="66">
        <f t="shared" si="262"/>
        <v>-15.245895928611702</v>
      </c>
      <c r="AE412" s="63">
        <f t="shared" si="263"/>
        <v>-124.01784177345864</v>
      </c>
      <c r="AF412" s="32" t="str">
        <f t="shared" si="249"/>
        <v>-0.434440565864413</v>
      </c>
      <c r="AG412" s="32" t="str">
        <f t="shared" si="250"/>
        <v>14.2830308982162i</v>
      </c>
      <c r="AH412" s="32">
        <f t="shared" si="264"/>
        <v>14.2830308982162</v>
      </c>
      <c r="AI412" s="32">
        <f t="shared" si="265"/>
        <v>1.5707963267948966</v>
      </c>
      <c r="AJ412" s="32" t="str">
        <f t="shared" si="251"/>
        <v>1+0.141416147507091i</v>
      </c>
      <c r="AK412" s="32">
        <f t="shared" si="266"/>
        <v>1.0099497644812574</v>
      </c>
      <c r="AL412" s="32">
        <f t="shared" si="267"/>
        <v>0.14048459515157907</v>
      </c>
      <c r="AM412" s="32" t="str">
        <f t="shared" si="252"/>
        <v>1+14.2830308982162i</v>
      </c>
      <c r="AN412" s="32">
        <f t="shared" si="268"/>
        <v>14.317994679402512</v>
      </c>
      <c r="AO412" s="32">
        <f t="shared" si="269"/>
        <v>1.5008972382292647</v>
      </c>
      <c r="AP412" s="60" t="str">
        <f t="shared" si="270"/>
        <v>-0.421705681755117+0.0900525458640268i</v>
      </c>
      <c r="AQ412" s="51">
        <f t="shared" si="271"/>
        <v>-7.3061516109624129</v>
      </c>
      <c r="AR412" s="63">
        <f t="shared" si="272"/>
        <v>167.94590284458863</v>
      </c>
      <c r="AS412" s="60" t="str">
        <f t="shared" si="273"/>
        <v>0.0536855776193995+0.0517134514506244i</v>
      </c>
      <c r="AT412" s="66">
        <f t="shared" si="274"/>
        <v>-22.552047539574108</v>
      </c>
      <c r="AU412" s="63">
        <f t="shared" si="275"/>
        <v>43.928061071129967</v>
      </c>
      <c r="AX412" s="32">
        <f t="shared" si="276"/>
        <v>0</v>
      </c>
      <c r="AY412" s="32">
        <f t="shared" si="277"/>
        <v>0</v>
      </c>
    </row>
    <row r="413" spans="14:51" x14ac:dyDescent="0.3">
      <c r="N413" s="11">
        <v>95</v>
      </c>
      <c r="O413" s="52">
        <f t="shared" si="243"/>
        <v>89125.093813374609</v>
      </c>
      <c r="P413" s="50" t="str">
        <f t="shared" si="244"/>
        <v>131.578947368421</v>
      </c>
      <c r="Q413" s="18" t="str">
        <f t="shared" si="245"/>
        <v>1+839.984219923797i</v>
      </c>
      <c r="R413" s="18">
        <f t="shared" si="253"/>
        <v>839.98481517286348</v>
      </c>
      <c r="S413" s="18">
        <f t="shared" si="254"/>
        <v>1.5696058288023722</v>
      </c>
      <c r="T413" s="18" t="str">
        <f t="shared" si="246"/>
        <v>1+0.00184796528383235i</v>
      </c>
      <c r="U413" s="18">
        <f t="shared" si="255"/>
        <v>1.0000017074863874</v>
      </c>
      <c r="V413" s="18">
        <f t="shared" si="256"/>
        <v>1.8479631802511534E-3</v>
      </c>
      <c r="W413" s="32" t="str">
        <f t="shared" si="247"/>
        <v>1-0.447991583959358i</v>
      </c>
      <c r="X413" s="18">
        <f t="shared" si="257"/>
        <v>1.0957629576228678</v>
      </c>
      <c r="Y413" s="18">
        <f t="shared" si="258"/>
        <v>-0.42118247098941419</v>
      </c>
      <c r="Z413" s="32" t="str">
        <f t="shared" si="248"/>
        <v>0.994916299297765+0.18961047303543i</v>
      </c>
      <c r="AA413" s="18">
        <f t="shared" si="259"/>
        <v>1.0128230714656334</v>
      </c>
      <c r="AB413" s="18">
        <f t="shared" si="260"/>
        <v>0.18832102350059343</v>
      </c>
      <c r="AC413" s="68" t="str">
        <f t="shared" si="261"/>
        <v>-0.0965935310361571-0.139249965341494i</v>
      </c>
      <c r="AD413" s="66">
        <f t="shared" si="262"/>
        <v>-15.418025133260144</v>
      </c>
      <c r="AE413" s="63">
        <f t="shared" si="263"/>
        <v>-124.74788683133825</v>
      </c>
      <c r="AF413" s="32" t="str">
        <f t="shared" si="249"/>
        <v>-0.434440565864413</v>
      </c>
      <c r="AG413" s="32" t="str">
        <f t="shared" si="250"/>
        <v>14.6157254266741i</v>
      </c>
      <c r="AH413" s="32">
        <f t="shared" si="264"/>
        <v>14.6157254266741</v>
      </c>
      <c r="AI413" s="32">
        <f t="shared" si="265"/>
        <v>1.5707963267948966</v>
      </c>
      <c r="AJ413" s="32" t="str">
        <f t="shared" si="251"/>
        <v>1+0.144710152739347i</v>
      </c>
      <c r="AK413" s="32">
        <f t="shared" si="266"/>
        <v>1.0104162648660429</v>
      </c>
      <c r="AL413" s="32">
        <f t="shared" si="267"/>
        <v>0.14371253132014558</v>
      </c>
      <c r="AM413" s="32" t="str">
        <f t="shared" si="252"/>
        <v>1+14.6157254266741i</v>
      </c>
      <c r="AN413" s="32">
        <f t="shared" si="268"/>
        <v>14.649895212865102</v>
      </c>
      <c r="AO413" s="32">
        <f t="shared" si="269"/>
        <v>1.5024833329717755</v>
      </c>
      <c r="AP413" s="60" t="str">
        <f t="shared" si="270"/>
        <v>-0.421316375968313+0.0906929448118248i</v>
      </c>
      <c r="AQ413" s="51">
        <f t="shared" si="271"/>
        <v>-7.3111163045136562</v>
      </c>
      <c r="AR413" s="63">
        <f t="shared" si="272"/>
        <v>167.85183226024589</v>
      </c>
      <c r="AS413" s="60" t="str">
        <f t="shared" si="273"/>
        <v>0.0533254258599011+0.04990793897195i</v>
      </c>
      <c r="AT413" s="66">
        <f t="shared" si="274"/>
        <v>-22.729141437773798</v>
      </c>
      <c r="AU413" s="63">
        <f t="shared" si="275"/>
        <v>43.103945428907679</v>
      </c>
      <c r="AX413" s="32">
        <f t="shared" si="276"/>
        <v>0</v>
      </c>
      <c r="AY413" s="32">
        <f t="shared" si="277"/>
        <v>0</v>
      </c>
    </row>
    <row r="414" spans="14:51" x14ac:dyDescent="0.3">
      <c r="N414" s="11">
        <v>96</v>
      </c>
      <c r="O414" s="52">
        <f t="shared" si="243"/>
        <v>91201.083935591028</v>
      </c>
      <c r="P414" s="50" t="str">
        <f t="shared" si="244"/>
        <v>131.578947368421</v>
      </c>
      <c r="Q414" s="18" t="str">
        <f t="shared" si="245"/>
        <v>1+859.549965874437i</v>
      </c>
      <c r="R414" s="18">
        <f t="shared" si="253"/>
        <v>859.55054757398989</v>
      </c>
      <c r="S414" s="18">
        <f t="shared" si="254"/>
        <v>1.5696329278203915</v>
      </c>
      <c r="T414" s="18" t="str">
        <f t="shared" si="246"/>
        <v>1+0.00189100992492376i</v>
      </c>
      <c r="U414" s="18">
        <f t="shared" si="255"/>
        <v>1.0000017879576697</v>
      </c>
      <c r="V414" s="18">
        <f t="shared" si="256"/>
        <v>1.8910076708961152E-3</v>
      </c>
      <c r="W414" s="32" t="str">
        <f t="shared" si="247"/>
        <v>1-0.458426648466366i</v>
      </c>
      <c r="X414" s="18">
        <f t="shared" si="257"/>
        <v>1.1000704486641322</v>
      </c>
      <c r="Y414" s="18">
        <f t="shared" si="258"/>
        <v>-0.42983939188984716</v>
      </c>
      <c r="Z414" s="32" t="str">
        <f t="shared" si="248"/>
        <v>0.994676711864943+0.194027068320194i</v>
      </c>
      <c r="AA414" s="18">
        <f t="shared" si="259"/>
        <v>1.0134240298943893</v>
      </c>
      <c r="AB414" s="18">
        <f t="shared" si="260"/>
        <v>0.19264633678229212</v>
      </c>
      <c r="AC414" s="68" t="str">
        <f t="shared" si="261"/>
        <v>-0.0964720091833111-0.135294713390633i</v>
      </c>
      <c r="AD414" s="66">
        <f t="shared" si="262"/>
        <v>-15.589098733296659</v>
      </c>
      <c r="AE414" s="63">
        <f t="shared" si="263"/>
        <v>-125.49080045034117</v>
      </c>
      <c r="AF414" s="32" t="str">
        <f t="shared" si="249"/>
        <v>-0.434440565864413</v>
      </c>
      <c r="AG414" s="32" t="str">
        <f t="shared" si="250"/>
        <v>14.9561694062152i</v>
      </c>
      <c r="AH414" s="32">
        <f t="shared" si="264"/>
        <v>14.956169406215199</v>
      </c>
      <c r="AI414" s="32">
        <f t="shared" si="265"/>
        <v>1.5707963267948966</v>
      </c>
      <c r="AJ414" s="32" t="str">
        <f t="shared" si="251"/>
        <v>1+0.148080885210052i</v>
      </c>
      <c r="AK414" s="32">
        <f t="shared" si="266"/>
        <v>1.0109045200040372</v>
      </c>
      <c r="AL414" s="32">
        <f t="shared" si="267"/>
        <v>0.14701253638177605</v>
      </c>
      <c r="AM414" s="32" t="str">
        <f t="shared" si="252"/>
        <v>1+14.9561694062152i</v>
      </c>
      <c r="AN414" s="32">
        <f t="shared" si="268"/>
        <v>14.989563145982856</v>
      </c>
      <c r="AO414" s="32">
        <f t="shared" si="269"/>
        <v>1.5040336565001553</v>
      </c>
      <c r="AP414" s="60" t="str">
        <f t="shared" si="270"/>
        <v>-0.420909492422981+0.0913762328084272i</v>
      </c>
      <c r="AQ414" s="51">
        <f t="shared" si="271"/>
        <v>-7.3162233475649145</v>
      </c>
      <c r="AR414" s="63">
        <f t="shared" si="272"/>
        <v>167.75158289289868</v>
      </c>
      <c r="AS414" s="60" t="str">
        <f t="shared" si="273"/>
        <v>0.0529687056469045+0.0481315803701331i</v>
      </c>
      <c r="AT414" s="66">
        <f t="shared" si="274"/>
        <v>-22.905322080861573</v>
      </c>
      <c r="AU414" s="63">
        <f t="shared" si="275"/>
        <v>42.26078244255757</v>
      </c>
      <c r="AX414" s="32">
        <f t="shared" si="276"/>
        <v>0</v>
      </c>
      <c r="AY414" s="32">
        <f t="shared" si="277"/>
        <v>0</v>
      </c>
    </row>
    <row r="415" spans="14:51" x14ac:dyDescent="0.3">
      <c r="N415" s="11">
        <v>97</v>
      </c>
      <c r="O415" s="52">
        <f t="shared" si="243"/>
        <v>93325.430079699145</v>
      </c>
      <c r="P415" s="50" t="str">
        <f t="shared" si="244"/>
        <v>131.578947368421</v>
      </c>
      <c r="Q415" s="18" t="str">
        <f t="shared" si="245"/>
        <v>1+879.571456594473i</v>
      </c>
      <c r="R415" s="18">
        <f t="shared" si="253"/>
        <v>879.57202505293606</v>
      </c>
      <c r="S415" s="18">
        <f t="shared" si="254"/>
        <v>1.5696594099911023</v>
      </c>
      <c r="T415" s="18" t="str">
        <f t="shared" si="246"/>
        <v>1+0.00193505720450784i</v>
      </c>
      <c r="U415" s="18">
        <f t="shared" si="255"/>
        <v>1.0000018722214397</v>
      </c>
      <c r="V415" s="18">
        <f t="shared" si="256"/>
        <v>1.9350547892739484E-3</v>
      </c>
      <c r="W415" s="32" t="str">
        <f t="shared" si="247"/>
        <v>1-0.469104776850386i</v>
      </c>
      <c r="X415" s="18">
        <f t="shared" si="257"/>
        <v>1.1045629414677329</v>
      </c>
      <c r="Y415" s="18">
        <f t="shared" si="258"/>
        <v>-0.43862738608607194</v>
      </c>
      <c r="Z415" s="32" t="str">
        <f t="shared" si="248"/>
        <v>0.994425833024281+0.198546539324834i</v>
      </c>
      <c r="AA415" s="18">
        <f t="shared" si="259"/>
        <v>1.0140529895739683</v>
      </c>
      <c r="AB415" s="18">
        <f t="shared" si="260"/>
        <v>0.1970681101244724</v>
      </c>
      <c r="AC415" s="68" t="str">
        <f t="shared" si="261"/>
        <v>-0.0963443045269666-0.131413125609717i</v>
      </c>
      <c r="AD415" s="66">
        <f t="shared" si="262"/>
        <v>-15.759087373043402</v>
      </c>
      <c r="AE415" s="63">
        <f t="shared" si="263"/>
        <v>-126.24665798127185</v>
      </c>
      <c r="AF415" s="32" t="str">
        <f t="shared" si="249"/>
        <v>-0.434440565864413</v>
      </c>
      <c r="AG415" s="32" t="str">
        <f t="shared" si="250"/>
        <v>15.3045433447438i</v>
      </c>
      <c r="AH415" s="32">
        <f t="shared" si="264"/>
        <v>15.3045433447438</v>
      </c>
      <c r="AI415" s="32">
        <f t="shared" si="265"/>
        <v>1.5707963267948966</v>
      </c>
      <c r="AJ415" s="32" t="str">
        <f t="shared" si="251"/>
        <v>1+0.151530132126177i</v>
      </c>
      <c r="AK415" s="32">
        <f t="shared" si="266"/>
        <v>1.0114155332711559</v>
      </c>
      <c r="AL415" s="32">
        <f t="shared" si="267"/>
        <v>0.15038607239601029</v>
      </c>
      <c r="AM415" s="32" t="str">
        <f t="shared" si="252"/>
        <v>1+15.3045433447438i</v>
      </c>
      <c r="AN415" s="32">
        <f t="shared" si="268"/>
        <v>15.337178586400492</v>
      </c>
      <c r="AO415" s="32">
        <f t="shared" si="269"/>
        <v>1.5055490009900341</v>
      </c>
      <c r="AP415" s="60" t="str">
        <f t="shared" si="270"/>
        <v>-0.420484274515828+0.092102416547511i</v>
      </c>
      <c r="AQ415" s="51">
        <f t="shared" si="271"/>
        <v>-7.3214829936450805</v>
      </c>
      <c r="AR415" s="63">
        <f t="shared" si="272"/>
        <v>167.64511636102611</v>
      </c>
      <c r="AS415" s="60" t="str">
        <f t="shared" si="273"/>
        <v>0.0526147314274701+0.0463836095163363i</v>
      </c>
      <c r="AT415" s="66">
        <f t="shared" si="274"/>
        <v>-23.080570366688484</v>
      </c>
      <c r="AU415" s="63">
        <f t="shared" si="275"/>
        <v>41.398458379754267</v>
      </c>
      <c r="AX415" s="32">
        <f t="shared" si="276"/>
        <v>0</v>
      </c>
      <c r="AY415" s="32">
        <f t="shared" si="277"/>
        <v>0</v>
      </c>
    </row>
    <row r="416" spans="14:51" x14ac:dyDescent="0.3">
      <c r="N416" s="11">
        <v>98</v>
      </c>
      <c r="O416" s="52">
        <f t="shared" si="243"/>
        <v>95499.258602143804</v>
      </c>
      <c r="P416" s="50" t="str">
        <f t="shared" si="244"/>
        <v>131.578947368421</v>
      </c>
      <c r="Q416" s="18" t="str">
        <f t="shared" si="245"/>
        <v>1+900.059307743301i</v>
      </c>
      <c r="R416" s="18">
        <f t="shared" si="253"/>
        <v>900.05986326207778</v>
      </c>
      <c r="S416" s="18">
        <f t="shared" si="254"/>
        <v>1.5696852893555537</v>
      </c>
      <c r="T416" s="18" t="str">
        <f t="shared" si="246"/>
        <v>1+0.00198013047703526i</v>
      </c>
      <c r="U416" s="18">
        <f t="shared" si="255"/>
        <v>1.0000019604564312</v>
      </c>
      <c r="V416" s="18">
        <f t="shared" si="256"/>
        <v>1.9801278890657923E-3</v>
      </c>
      <c r="W416" s="32" t="str">
        <f t="shared" si="247"/>
        <v>1-0.480031630796427i</v>
      </c>
      <c r="X416" s="18">
        <f t="shared" si="257"/>
        <v>1.1092476579038053</v>
      </c>
      <c r="Y416" s="18">
        <f t="shared" si="258"/>
        <v>-0.44754568257435934</v>
      </c>
      <c r="Z416" s="32" t="str">
        <f t="shared" si="248"/>
        <v>0.994163130628122+0.203171282332698i</v>
      </c>
      <c r="AA416" s="18">
        <f t="shared" si="259"/>
        <v>1.014711239843642</v>
      </c>
      <c r="AB416" s="18">
        <f t="shared" si="260"/>
        <v>0.20158829442578877</v>
      </c>
      <c r="AC416" s="68" t="str">
        <f t="shared" si="261"/>
        <v>-0.0962101899711922-0.127603274639715i</v>
      </c>
      <c r="AD416" s="66">
        <f t="shared" si="262"/>
        <v>-15.927961739045317</v>
      </c>
      <c r="AE416" s="63">
        <f t="shared" si="263"/>
        <v>-127.01552649355578</v>
      </c>
      <c r="AF416" s="32" t="str">
        <f t="shared" si="249"/>
        <v>-0.434440565864413</v>
      </c>
      <c r="AG416" s="32" t="str">
        <f t="shared" si="250"/>
        <v>15.6610319547334i</v>
      </c>
      <c r="AH416" s="32">
        <f t="shared" si="264"/>
        <v>15.661031954733399</v>
      </c>
      <c r="AI416" s="32">
        <f t="shared" si="265"/>
        <v>1.5707963267948966</v>
      </c>
      <c r="AJ416" s="32" t="str">
        <f t="shared" si="251"/>
        <v>1+0.155059722324094i</v>
      </c>
      <c r="AK416" s="32">
        <f t="shared" si="266"/>
        <v>1.0119503532719503</v>
      </c>
      <c r="AL416" s="32">
        <f t="shared" si="267"/>
        <v>0.15383462075050297</v>
      </c>
      <c r="AM416" s="32" t="str">
        <f t="shared" si="252"/>
        <v>1+15.6610319547334i</v>
      </c>
      <c r="AN416" s="32">
        <f t="shared" si="268"/>
        <v>15.692925854893364</v>
      </c>
      <c r="AO416" s="32">
        <f t="shared" si="269"/>
        <v>1.5070301420443379</v>
      </c>
      <c r="AP416" s="60" t="str">
        <f t="shared" si="270"/>
        <v>-0.420039936563094+0.0928715019314969i</v>
      </c>
      <c r="AQ416" s="51">
        <f t="shared" si="271"/>
        <v>-7.3269057705350606</v>
      </c>
      <c r="AR416" s="63">
        <f t="shared" si="272"/>
        <v>167.53239222614212</v>
      </c>
      <c r="AS416" s="60" t="str">
        <f t="shared" si="273"/>
        <v>0.0522628298593904+0.0446632865411697i</v>
      </c>
      <c r="AT416" s="66">
        <f t="shared" si="274"/>
        <v>-23.254867509580382</v>
      </c>
      <c r="AU416" s="63">
        <f t="shared" si="275"/>
        <v>40.516865732586346</v>
      </c>
      <c r="AX416" s="32">
        <f t="shared" si="276"/>
        <v>0</v>
      </c>
      <c r="AY416" s="32">
        <f t="shared" si="277"/>
        <v>0</v>
      </c>
    </row>
    <row r="417" spans="14:51" x14ac:dyDescent="0.3">
      <c r="N417" s="11">
        <v>99</v>
      </c>
      <c r="O417" s="52">
        <f t="shared" si="243"/>
        <v>97723.722095581266</v>
      </c>
      <c r="P417" s="50" t="str">
        <f t="shared" si="244"/>
        <v>131.578947368421</v>
      </c>
      <c r="Q417" s="18" t="str">
        <f t="shared" si="245"/>
        <v>1+921.024382250785i</v>
      </c>
      <c r="R417" s="18">
        <f t="shared" si="253"/>
        <v>921.02492512441825</v>
      </c>
      <c r="S417" s="18">
        <f t="shared" si="254"/>
        <v>1.5697105796351882</v>
      </c>
      <c r="T417" s="18" t="str">
        <f t="shared" si="246"/>
        <v>1+0.00202625364095173i</v>
      </c>
      <c r="U417" s="18">
        <f t="shared" si="255"/>
        <v>1.0000020528498015</v>
      </c>
      <c r="V417" s="18">
        <f t="shared" si="256"/>
        <v>2.0262508678927918E-3</v>
      </c>
      <c r="W417" s="32" t="str">
        <f t="shared" si="247"/>
        <v>1-0.491213003867086i</v>
      </c>
      <c r="X417" s="18">
        <f t="shared" si="257"/>
        <v>1.1141320456607133</v>
      </c>
      <c r="Y417" s="18">
        <f t="shared" si="258"/>
        <v>-0.45659333434533483</v>
      </c>
      <c r="Z417" s="32" t="str">
        <f t="shared" si="248"/>
        <v>0.993888047449463+0.207903749443744i</v>
      </c>
      <c r="AA417" s="18">
        <f t="shared" si="259"/>
        <v>1.0154001279769826</v>
      </c>
      <c r="AB417" s="18">
        <f t="shared" si="260"/>
        <v>0.20620886613881645</v>
      </c>
      <c r="AC417" s="68" t="str">
        <f t="shared" si="261"/>
        <v>-0.0960694288145504-0.123863279637228i</v>
      </c>
      <c r="AD417" s="66">
        <f t="shared" si="262"/>
        <v>-16.095692639350755</v>
      </c>
      <c r="AE417" s="63">
        <f t="shared" si="263"/>
        <v>-127.79746438689101</v>
      </c>
      <c r="AF417" s="32" t="str">
        <f t="shared" si="249"/>
        <v>-0.434440565864413</v>
      </c>
      <c r="AG417" s="32" t="str">
        <f t="shared" si="250"/>
        <v>16.0258242511637i</v>
      </c>
      <c r="AH417" s="32">
        <f t="shared" si="264"/>
        <v>16.025824251163701</v>
      </c>
      <c r="AI417" s="32">
        <f t="shared" si="265"/>
        <v>1.5707963267948966</v>
      </c>
      <c r="AJ417" s="32" t="str">
        <f t="shared" si="251"/>
        <v>1+0.158671527239244i</v>
      </c>
      <c r="AK417" s="32">
        <f t="shared" si="266"/>
        <v>1.0125100757802039</v>
      </c>
      <c r="AL417" s="32">
        <f t="shared" si="267"/>
        <v>0.15735968164777486</v>
      </c>
      <c r="AM417" s="32" t="str">
        <f t="shared" si="252"/>
        <v>1+16.0258242511637i</v>
      </c>
      <c r="AN417" s="32">
        <f t="shared" si="268"/>
        <v>16.056993583145839</v>
      </c>
      <c r="AO417" s="32">
        <f t="shared" si="269"/>
        <v>1.5084778389746438</v>
      </c>
      <c r="AP417" s="60" t="str">
        <f t="shared" si="270"/>
        <v>-0.419575663014748+0.0936834926108203i</v>
      </c>
      <c r="AQ417" s="51">
        <f t="shared" si="271"/>
        <v>-7.3325024976346986</v>
      </c>
      <c r="AR417" s="63">
        <f t="shared" si="272"/>
        <v>167.41336803832232</v>
      </c>
      <c r="AS417" s="60" t="str">
        <f t="shared" si="273"/>
        <v>0.0519123389329593+0.0429698980524974i</v>
      </c>
      <c r="AT417" s="66">
        <f t="shared" si="274"/>
        <v>-23.428195136985458</v>
      </c>
      <c r="AU417" s="63">
        <f t="shared" si="275"/>
        <v>39.615903651431353</v>
      </c>
      <c r="AX417" s="32">
        <f t="shared" si="276"/>
        <v>0</v>
      </c>
      <c r="AY417" s="32">
        <f t="shared" si="277"/>
        <v>0</v>
      </c>
    </row>
    <row r="418" spans="14:51" x14ac:dyDescent="0.3">
      <c r="N418" s="11">
        <v>100</v>
      </c>
      <c r="O418" s="52">
        <f t="shared" si="243"/>
        <v>100000</v>
      </c>
      <c r="P418" s="50" t="str">
        <f t="shared" si="244"/>
        <v>131.578947368421</v>
      </c>
      <c r="Q418" s="18" t="str">
        <f t="shared" si="245"/>
        <v>1+942.477796076938i</v>
      </c>
      <c r="R418" s="18">
        <f t="shared" si="253"/>
        <v>942.47832659326582</v>
      </c>
      <c r="S418" s="18">
        <f t="shared" si="254"/>
        <v>1.5697352942391174</v>
      </c>
      <c r="T418" s="18" t="str">
        <f t="shared" si="246"/>
        <v>1+0.00207345115136927i</v>
      </c>
      <c r="U418" s="18">
        <f t="shared" si="255"/>
        <v>1.0000021495975282</v>
      </c>
      <c r="V418" s="18">
        <f t="shared" si="256"/>
        <v>2.0734481799834278E-3</v>
      </c>
      <c r="W418" s="32" t="str">
        <f t="shared" si="247"/>
        <v>1-0.502654824574367i</v>
      </c>
      <c r="X418" s="18">
        <f t="shared" si="257"/>
        <v>1.1192237813180561</v>
      </c>
      <c r="Y418" s="18">
        <f t="shared" si="258"/>
        <v>-0.46576921247963776</v>
      </c>
      <c r="Z418" s="32" t="str">
        <f t="shared" si="248"/>
        <v>0.9936+0.212746449874677i</v>
      </c>
      <c r="AA418" s="18">
        <f t="shared" si="259"/>
        <v>1.0161210616527336</v>
      </c>
      <c r="AB418" s="18">
        <f t="shared" si="260"/>
        <v>0.2109318265912585</v>
      </c>
      <c r="AC418" s="68" t="str">
        <f t="shared" si="261"/>
        <v>-0.0959217746001298-0.120191305786006i</v>
      </c>
      <c r="AD418" s="66">
        <f t="shared" si="262"/>
        <v>-16.262251088132381</v>
      </c>
      <c r="AE418" s="63">
        <f t="shared" si="263"/>
        <v>-128.59252101375554</v>
      </c>
      <c r="AF418" s="32" t="str">
        <f t="shared" si="249"/>
        <v>-0.434440565864413</v>
      </c>
      <c r="AG418" s="32" t="str">
        <f t="shared" si="250"/>
        <v>16.3991136517387i</v>
      </c>
      <c r="AH418" s="32">
        <f t="shared" si="264"/>
        <v>16.399113651738698</v>
      </c>
      <c r="AI418" s="32">
        <f t="shared" si="265"/>
        <v>1.5707963267948966</v>
      </c>
      <c r="AJ418" s="32" t="str">
        <f t="shared" si="251"/>
        <v>1+0.162367461898403i</v>
      </c>
      <c r="AK418" s="32">
        <f t="shared" si="266"/>
        <v>1.013095845753663</v>
      </c>
      <c r="AL418" s="32">
        <f t="shared" si="267"/>
        <v>0.16096277352146285</v>
      </c>
      <c r="AM418" s="32" t="str">
        <f t="shared" si="252"/>
        <v>1+16.3991136517387i</v>
      </c>
      <c r="AN418" s="32">
        <f t="shared" si="268"/>
        <v>16.429574813811907</v>
      </c>
      <c r="AO418" s="32">
        <f t="shared" si="269"/>
        <v>1.5098928350823639</v>
      </c>
      <c r="AP418" s="60" t="str">
        <f t="shared" si="270"/>
        <v>-0.419090607681111+0.0945383884420595i</v>
      </c>
      <c r="AQ418" s="51">
        <f t="shared" si="271"/>
        <v>-7.3382843035386891</v>
      </c>
      <c r="AR418" s="63">
        <f t="shared" si="272"/>
        <v>167.28799938576196</v>
      </c>
      <c r="AS418" s="60" t="str">
        <f t="shared" si="273"/>
        <v>0.0515626071607747+0.0413027573926447i</v>
      </c>
      <c r="AT418" s="66">
        <f t="shared" si="274"/>
        <v>-23.60053539167108</v>
      </c>
      <c r="AU418" s="63">
        <f t="shared" si="275"/>
        <v>38.695478372006413</v>
      </c>
      <c r="AX418" s="32">
        <f t="shared" si="276"/>
        <v>0</v>
      </c>
      <c r="AY418" s="32">
        <f t="shared" si="277"/>
        <v>0</v>
      </c>
    </row>
    <row r="419" spans="14:51" x14ac:dyDescent="0.3">
      <c r="N419" s="11">
        <v>1</v>
      </c>
      <c r="O419" s="52">
        <f>10^(5+(N419/100))</f>
        <v>102329.29922807543</v>
      </c>
      <c r="P419" s="50" t="str">
        <f t="shared" si="244"/>
        <v>131.578947368421</v>
      </c>
      <c r="Q419" s="18" t="str">
        <f t="shared" si="245"/>
        <v>1+964.43092410574i</v>
      </c>
      <c r="R419" s="18">
        <f t="shared" si="253"/>
        <v>964.43144254604829</v>
      </c>
      <c r="S419" s="18">
        <f t="shared" si="254"/>
        <v>1.5697594462712308</v>
      </c>
      <c r="T419" s="18" t="str">
        <f t="shared" si="246"/>
        <v>1+0.00212174803303263i</v>
      </c>
      <c r="U419" s="18">
        <f t="shared" si="255"/>
        <v>1.0000022509048245</v>
      </c>
      <c r="V419" s="18">
        <f t="shared" si="256"/>
        <v>2.121744849135724E-3</v>
      </c>
      <c r="W419" s="32" t="str">
        <f t="shared" si="247"/>
        <v>1-0.514363159523062i</v>
      </c>
      <c r="X419" s="18">
        <f t="shared" si="257"/>
        <v>1.1245307732003367</v>
      </c>
      <c r="Y419" s="18">
        <f t="shared" si="258"/>
        <v>-0.47507200056948168</v>
      </c>
      <c r="Z419" s="32" t="str">
        <f t="shared" si="248"/>
        <v>0.993298377292474+0.217701951289366i</v>
      </c>
      <c r="AA419" s="18">
        <f t="shared" si="259"/>
        <v>1.0168755115190156</v>
      </c>
      <c r="AB419" s="18">
        <f t="shared" si="260"/>
        <v>0.21575920121707232</v>
      </c>
      <c r="AC419" s="68" t="str">
        <f t="shared" si="261"/>
        <v>-0.0957669709743049-0.116585563858374i</v>
      </c>
      <c r="AD419" s="66">
        <f t="shared" si="262"/>
        <v>-16.427608395613358</v>
      </c>
      <c r="AE419" s="63">
        <f t="shared" si="263"/>
        <v>-129.40073631539553</v>
      </c>
      <c r="AF419" s="32" t="str">
        <f t="shared" si="249"/>
        <v>-0.434440565864413</v>
      </c>
      <c r="AG419" s="32" t="str">
        <f t="shared" si="250"/>
        <v>16.7810980794399i</v>
      </c>
      <c r="AH419" s="32">
        <f t="shared" si="264"/>
        <v>16.7810980794399</v>
      </c>
      <c r="AI419" s="32">
        <f t="shared" si="265"/>
        <v>1.5707963267948966</v>
      </c>
      <c r="AJ419" s="32" t="str">
        <f t="shared" si="251"/>
        <v>1+0.166149485935048i</v>
      </c>
      <c r="AK419" s="32">
        <f t="shared" si="266"/>
        <v>1.0137088594248749</v>
      </c>
      <c r="AL419" s="32">
        <f t="shared" si="267"/>
        <v>0.16464543237737428</v>
      </c>
      <c r="AM419" s="32" t="str">
        <f t="shared" si="252"/>
        <v>1+16.7810980794399i</v>
      </c>
      <c r="AN419" s="32">
        <f t="shared" si="268"/>
        <v>16.810867102912376</v>
      </c>
      <c r="AO419" s="32">
        <f t="shared" si="269"/>
        <v>1.5112758579393717</v>
      </c>
      <c r="AP419" s="60" t="str">
        <f t="shared" si="270"/>
        <v>-0.418583892976292+0.0954361838610765i</v>
      </c>
      <c r="AQ419" s="51">
        <f t="shared" si="271"/>
        <v>-7.3442626438210183</v>
      </c>
      <c r="AR419" s="63">
        <f t="shared" si="272"/>
        <v>167.15623994860843</v>
      </c>
      <c r="AS419" s="60" t="str">
        <f t="shared" si="273"/>
        <v>0.0512129928369072+0.0396612049349521i</v>
      </c>
      <c r="AT419" s="66">
        <f t="shared" si="274"/>
        <v>-23.771871039434377</v>
      </c>
      <c r="AU419" s="63">
        <f t="shared" si="275"/>
        <v>37.755503633212832</v>
      </c>
      <c r="AX419" s="32">
        <f t="shared" si="276"/>
        <v>0</v>
      </c>
      <c r="AY419" s="32">
        <f t="shared" si="277"/>
        <v>0</v>
      </c>
    </row>
    <row r="420" spans="14:51" x14ac:dyDescent="0.3">
      <c r="N420" s="11">
        <v>2</v>
      </c>
      <c r="O420" s="52">
        <f t="shared" ref="O420:O483" si="278">10^(5+(N420/100))</f>
        <v>104712.85480508996</v>
      </c>
      <c r="P420" s="50" t="str">
        <f t="shared" si="244"/>
        <v>131.578947368421</v>
      </c>
      <c r="Q420" s="18" t="str">
        <f t="shared" si="245"/>
        <v>1+986.895406176256i</v>
      </c>
      <c r="R420" s="18">
        <f t="shared" si="253"/>
        <v>986.89591281542812</v>
      </c>
      <c r="S420" s="18">
        <f t="shared" si="254"/>
        <v>1.5697830485371427</v>
      </c>
      <c r="T420" s="18" t="str">
        <f t="shared" si="246"/>
        <v>1+0.00217116989358776i</v>
      </c>
      <c r="U420" s="18">
        <f t="shared" si="255"/>
        <v>1.0000023569865757</v>
      </c>
      <c r="V420" s="18">
        <f t="shared" si="256"/>
        <v>2.1711664819811937E-3</v>
      </c>
      <c r="W420" s="32" t="str">
        <f t="shared" si="247"/>
        <v>1-0.526344216627337i</v>
      </c>
      <c r="X420" s="18">
        <f t="shared" si="257"/>
        <v>1.1300611639982348</v>
      </c>
      <c r="Y420" s="18">
        <f t="shared" si="258"/>
        <v>-0.48450018951909379</v>
      </c>
      <c r="Z420" s="32" t="str">
        <f t="shared" si="248"/>
        <v>0.992982539544684+0.222772881160254i</v>
      </c>
      <c r="AA420" s="18">
        <f t="shared" si="259"/>
        <v>1.0176650138533065</v>
      </c>
      <c r="AB420" s="18">
        <f t="shared" si="260"/>
        <v>0.22069303869196483</v>
      </c>
      <c r="AC420" s="68" t="str">
        <f t="shared" si="261"/>
        <v>-0.0956047515561425-0.113044309826965i</v>
      </c>
      <c r="AD420" s="66">
        <f t="shared" si="262"/>
        <v>-16.591736263225648</v>
      </c>
      <c r="AE420" s="63">
        <f t="shared" si="263"/>
        <v>-130.22214047402016</v>
      </c>
      <c r="AF420" s="32" t="str">
        <f t="shared" si="249"/>
        <v>-0.434440565864413</v>
      </c>
      <c r="AG420" s="32" t="str">
        <f t="shared" si="250"/>
        <v>17.1719800674669i</v>
      </c>
      <c r="AH420" s="32">
        <f t="shared" si="264"/>
        <v>17.171980067466901</v>
      </c>
      <c r="AI420" s="32">
        <f t="shared" si="265"/>
        <v>1.5707963267948966</v>
      </c>
      <c r="AJ420" s="32" t="str">
        <f t="shared" si="251"/>
        <v>1+0.170019604628385i</v>
      </c>
      <c r="AK420" s="32">
        <f t="shared" si="266"/>
        <v>1.0143503664700833</v>
      </c>
      <c r="AL420" s="32">
        <f t="shared" si="267"/>
        <v>0.16840921105449852</v>
      </c>
      <c r="AM420" s="32" t="str">
        <f t="shared" si="252"/>
        <v>1+17.1719800674669i</v>
      </c>
      <c r="AN420" s="32">
        <f t="shared" si="268"/>
        <v>17.201072624620842</v>
      </c>
      <c r="AO420" s="32">
        <f t="shared" si="269"/>
        <v>1.5126276196676953</v>
      </c>
      <c r="AP420" s="60" t="str">
        <f t="shared" si="270"/>
        <v>-0.41805460918332+0.096376866167335i</v>
      </c>
      <c r="AQ420" s="51">
        <f t="shared" si="271"/>
        <v>-7.3504493190242588</v>
      </c>
      <c r="AR420" s="63">
        <f t="shared" si="272"/>
        <v>167.01804155732813</v>
      </c>
      <c r="AS420" s="60" t="str">
        <f t="shared" si="273"/>
        <v>0.0508628633670437+0.0380446084194223i</v>
      </c>
      <c r="AT420" s="66">
        <f t="shared" si="274"/>
        <v>-23.942185582249913</v>
      </c>
      <c r="AU420" s="63">
        <f t="shared" si="275"/>
        <v>36.795901083307939</v>
      </c>
      <c r="AX420" s="32">
        <f t="shared" si="276"/>
        <v>0</v>
      </c>
      <c r="AY420" s="32">
        <f t="shared" si="277"/>
        <v>0</v>
      </c>
    </row>
    <row r="421" spans="14:51" x14ac:dyDescent="0.3">
      <c r="N421" s="11">
        <v>3</v>
      </c>
      <c r="O421" s="52">
        <f t="shared" si="278"/>
        <v>107151.93052376082</v>
      </c>
      <c r="P421" s="50" t="str">
        <f t="shared" si="244"/>
        <v>131.578947368421</v>
      </c>
      <c r="Q421" s="18" t="str">
        <f t="shared" si="245"/>
        <v>1+1009.88315325423i</v>
      </c>
      <c r="R421" s="18">
        <f t="shared" si="253"/>
        <v>1009.8836483608924</v>
      </c>
      <c r="S421" s="18">
        <f t="shared" si="254"/>
        <v>1.5698061135509813</v>
      </c>
      <c r="T421" s="18" t="str">
        <f t="shared" si="246"/>
        <v>1+0.00222174293715931i</v>
      </c>
      <c r="U421" s="18">
        <f t="shared" si="255"/>
        <v>1.0000024680677937</v>
      </c>
      <c r="V421" s="18">
        <f t="shared" si="256"/>
        <v>2.2217392815574995E-3</v>
      </c>
      <c r="W421" s="32" t="str">
        <f t="shared" si="247"/>
        <v>1-0.538604348402258i</v>
      </c>
      <c r="X421" s="18">
        <f t="shared" si="257"/>
        <v>1.1358233331455296</v>
      </c>
      <c r="Y421" s="18">
        <f t="shared" si="258"/>
        <v>-0.49405207277833518</v>
      </c>
      <c r="Z421" s="32" t="str">
        <f t="shared" si="248"/>
        <v>0.99265181682242+0.227961928161482i</v>
      </c>
      <c r="AA421" s="18">
        <f t="shared" si="259"/>
        <v>1.0184911733205899</v>
      </c>
      <c r="AB421" s="18">
        <f t="shared" si="260"/>
        <v>0.22573540996751171</v>
      </c>
      <c r="AC421" s="68" t="str">
        <f t="shared" si="261"/>
        <v>-0.0954348398195436-0.109565844527214i</v>
      </c>
      <c r="AD421" s="66">
        <f t="shared" si="262"/>
        <v>-16.754606883877191</v>
      </c>
      <c r="AE421" s="63">
        <f t="shared" si="263"/>
        <v>-131.05675358397647</v>
      </c>
      <c r="AF421" s="32" t="str">
        <f t="shared" si="249"/>
        <v>-0.434440565864413</v>
      </c>
      <c r="AG421" s="32" t="str">
        <f t="shared" si="250"/>
        <v>17.5719668666237i</v>
      </c>
      <c r="AH421" s="32">
        <f t="shared" si="264"/>
        <v>17.571966866623701</v>
      </c>
      <c r="AI421" s="32">
        <f t="shared" si="265"/>
        <v>1.5707963267948966</v>
      </c>
      <c r="AJ421" s="32" t="str">
        <f t="shared" si="251"/>
        <v>1+0.173979869966571i</v>
      </c>
      <c r="AK421" s="32">
        <f t="shared" si="266"/>
        <v>1.015021672258078</v>
      </c>
      <c r="AL421" s="32">
        <f t="shared" si="267"/>
        <v>0.17225567840088574</v>
      </c>
      <c r="AM421" s="32" t="str">
        <f t="shared" si="252"/>
        <v>1+17.5719668666237i</v>
      </c>
      <c r="AN421" s="32">
        <f t="shared" si="268"/>
        <v>17.600398278497025</v>
      </c>
      <c r="AO421" s="32">
        <f t="shared" si="269"/>
        <v>1.513948817217966</v>
      </c>
      <c r="AP421" s="60" t="str">
        <f t="shared" si="270"/>
        <v>-0.417501813746282+0.0973604137155962i</v>
      </c>
      <c r="AQ421" s="51">
        <f t="shared" si="271"/>
        <v>-7.3568564928485172</v>
      </c>
      <c r="AR421" s="63">
        <f t="shared" si="272"/>
        <v>166.87335425587875</v>
      </c>
      <c r="AS421" s="60" t="str">
        <f t="shared" si="273"/>
        <v>0.0505115946715136+0.0364523633270426i</v>
      </c>
      <c r="AT421" s="66">
        <f t="shared" si="274"/>
        <v>-24.111463376725702</v>
      </c>
      <c r="AU421" s="63">
        <f t="shared" si="275"/>
        <v>35.816600671902286</v>
      </c>
      <c r="AX421" s="32">
        <f t="shared" si="276"/>
        <v>0</v>
      </c>
      <c r="AY421" s="32">
        <f t="shared" si="277"/>
        <v>0</v>
      </c>
    </row>
    <row r="422" spans="14:51" x14ac:dyDescent="0.3">
      <c r="N422" s="11">
        <v>4</v>
      </c>
      <c r="O422" s="52">
        <f t="shared" si="278"/>
        <v>109647.81961431868</v>
      </c>
      <c r="P422" s="50" t="str">
        <f t="shared" si="244"/>
        <v>131.578947368421</v>
      </c>
      <c r="Q422" s="18" t="str">
        <f t="shared" si="245"/>
        <v>1+1033.40635374745i</v>
      </c>
      <c r="R422" s="18">
        <f t="shared" si="253"/>
        <v>1033.4068375841143</v>
      </c>
      <c r="S422" s="18">
        <f t="shared" si="254"/>
        <v>1.5698286535420245</v>
      </c>
      <c r="T422" s="18" t="str">
        <f t="shared" si="246"/>
        <v>1+0.00227349397824438i</v>
      </c>
      <c r="U422" s="18">
        <f t="shared" si="255"/>
        <v>1.0000025843840952</v>
      </c>
      <c r="V422" s="18">
        <f t="shared" si="256"/>
        <v>2.2734900611970149E-3</v>
      </c>
      <c r="W422" s="32" t="str">
        <f t="shared" si="247"/>
        <v>1-0.551150055331972i</v>
      </c>
      <c r="X422" s="18">
        <f t="shared" si="257"/>
        <v>1.1418258989410057</v>
      </c>
      <c r="Y422" s="18">
        <f t="shared" si="258"/>
        <v>-0.50372574206459209</v>
      </c>
      <c r="Z422" s="32" t="str">
        <f t="shared" si="248"/>
        <v>0.992305507618448+0.233271843594453i</v>
      </c>
      <c r="AA422" s="18">
        <f t="shared" si="259"/>
        <v>1.0193556658320297</v>
      </c>
      <c r="AB422" s="18">
        <f t="shared" si="260"/>
        <v>0.23088840719796738</v>
      </c>
      <c r="AC422" s="68" t="str">
        <f t="shared" si="261"/>
        <v>-0.0952569489903618-0.106148513370934i</v>
      </c>
      <c r="AD422" s="66">
        <f t="shared" si="262"/>
        <v>-16.916193047159648</v>
      </c>
      <c r="AE422" s="63">
        <f t="shared" si="263"/>
        <v>-131.90458534472933</v>
      </c>
      <c r="AF422" s="32" t="str">
        <f t="shared" si="249"/>
        <v>-0.434440565864413</v>
      </c>
      <c r="AG422" s="32" t="str">
        <f t="shared" si="250"/>
        <v>17.9812705552056i</v>
      </c>
      <c r="AH422" s="32">
        <f t="shared" si="264"/>
        <v>17.981270555205601</v>
      </c>
      <c r="AI422" s="32">
        <f t="shared" si="265"/>
        <v>1.5707963267948966</v>
      </c>
      <c r="AJ422" s="32" t="str">
        <f t="shared" si="251"/>
        <v>1+0.178032381734709i</v>
      </c>
      <c r="AK422" s="32">
        <f t="shared" si="266"/>
        <v>1.015724140180853</v>
      </c>
      <c r="AL422" s="32">
        <f t="shared" si="267"/>
        <v>0.17618641835914164</v>
      </c>
      <c r="AM422" s="32" t="str">
        <f t="shared" si="252"/>
        <v>1+17.9812705552056i</v>
      </c>
      <c r="AN422" s="32">
        <f t="shared" si="268"/>
        <v>18.009055799222345</v>
      </c>
      <c r="AO422" s="32">
        <f t="shared" si="269"/>
        <v>1.5152401326463065</v>
      </c>
      <c r="AP422" s="60" t="str">
        <f t="shared" si="270"/>
        <v>-0.416924530595343+0.098386794011275i</v>
      </c>
      <c r="AQ422" s="51">
        <f t="shared" si="271"/>
        <v>-7.3634967105309332</v>
      </c>
      <c r="AR422" s="63">
        <f t="shared" si="272"/>
        <v>166.72212636997133</v>
      </c>
      <c r="AS422" s="60" t="str">
        <f t="shared" si="273"/>
        <v>0.0501585706633803+0.0348838932921129i</v>
      </c>
      <c r="AT422" s="66">
        <f t="shared" si="274"/>
        <v>-24.27968975769058</v>
      </c>
      <c r="AU422" s="63">
        <f t="shared" si="275"/>
        <v>34.817541025241972</v>
      </c>
      <c r="AX422" s="32">
        <f t="shared" si="276"/>
        <v>0</v>
      </c>
      <c r="AY422" s="32">
        <f t="shared" si="277"/>
        <v>0</v>
      </c>
    </row>
    <row r="423" spans="14:51" x14ac:dyDescent="0.3">
      <c r="N423" s="11">
        <v>5</v>
      </c>
      <c r="O423" s="52">
        <f t="shared" si="278"/>
        <v>112201.84543019651</v>
      </c>
      <c r="P423" s="50" t="str">
        <f t="shared" si="244"/>
        <v>131.578947368421</v>
      </c>
      <c r="Q423" s="18" t="str">
        <f t="shared" si="245"/>
        <v>1+1057.47747996817i</v>
      </c>
      <c r="R423" s="18">
        <f t="shared" si="253"/>
        <v>1057.477952791372</v>
      </c>
      <c r="S423" s="18">
        <f t="shared" si="254"/>
        <v>1.569850680461182</v>
      </c>
      <c r="T423" s="18" t="str">
        <f t="shared" si="246"/>
        <v>1+0.00232645045592997i</v>
      </c>
      <c r="U423" s="18">
        <f t="shared" si="255"/>
        <v>1.0000027061822003</v>
      </c>
      <c r="V423" s="18">
        <f t="shared" si="256"/>
        <v>2.3264462587387117E-3</v>
      </c>
      <c r="W423" s="32" t="str">
        <f t="shared" si="247"/>
        <v>1-0.563987989316357i</v>
      </c>
      <c r="X423" s="18">
        <f t="shared" si="257"/>
        <v>1.1480777204062045</v>
      </c>
      <c r="Y423" s="18">
        <f t="shared" si="258"/>
        <v>-0.51351908362839738</v>
      </c>
      <c r="Z423" s="32" t="str">
        <f t="shared" si="248"/>
        <v>0.991942877364517+0.238705442846616i</v>
      </c>
      <c r="AA423" s="18">
        <f t="shared" si="259"/>
        <v>1.0202602415064483</v>
      </c>
      <c r="AB423" s="18">
        <f t="shared" si="260"/>
        <v>0.23615414255371084</v>
      </c>
      <c r="AC423" s="68" t="str">
        <f t="shared" si="261"/>
        <v>-0.0950707819609293-0.102790706111309i</v>
      </c>
      <c r="AD423" s="66">
        <f t="shared" si="262"/>
        <v>-17.076468249272601</v>
      </c>
      <c r="AE423" s="63">
        <f t="shared" si="263"/>
        <v>-132.76563477846756</v>
      </c>
      <c r="AF423" s="32" t="str">
        <f t="shared" si="249"/>
        <v>-0.434440565864413</v>
      </c>
      <c r="AG423" s="32" t="str">
        <f t="shared" si="250"/>
        <v>18.4001081514462i</v>
      </c>
      <c r="AH423" s="32">
        <f t="shared" si="264"/>
        <v>18.400108151446201</v>
      </c>
      <c r="AI423" s="32">
        <f t="shared" si="265"/>
        <v>1.5707963267948966</v>
      </c>
      <c r="AJ423" s="32" t="str">
        <f t="shared" si="251"/>
        <v>1+0.18217928862818i</v>
      </c>
      <c r="AK423" s="32">
        <f t="shared" si="266"/>
        <v>1.0164591940678531</v>
      </c>
      <c r="AL423" s="32">
        <f t="shared" si="267"/>
        <v>0.18020302895606596</v>
      </c>
      <c r="AM423" s="32" t="str">
        <f t="shared" si="252"/>
        <v>1+18.4001081514462i</v>
      </c>
      <c r="AN423" s="32">
        <f t="shared" si="268"/>
        <v>18.427261868897311</v>
      </c>
      <c r="AO423" s="32">
        <f t="shared" si="269"/>
        <v>1.5165022333893954</v>
      </c>
      <c r="AP423" s="60" t="str">
        <f t="shared" si="270"/>
        <v>-0.416321749511013+0.0994559617058342i</v>
      </c>
      <c r="AQ423" s="51">
        <f t="shared" si="271"/>
        <v>-7.37038291740466</v>
      </c>
      <c r="AR423" s="63">
        <f t="shared" si="272"/>
        <v>166.56430458071938</v>
      </c>
      <c r="AS423" s="60" t="str">
        <f t="shared" si="273"/>
        <v>0.0498031828040761+0.0333386505516826i</v>
      </c>
      <c r="AT423" s="66">
        <f t="shared" si="274"/>
        <v>-24.446851166677273</v>
      </c>
      <c r="AU423" s="63">
        <f t="shared" si="275"/>
        <v>33.79866980225183</v>
      </c>
      <c r="AX423" s="32">
        <f t="shared" si="276"/>
        <v>0</v>
      </c>
      <c r="AY423" s="32">
        <f t="shared" si="277"/>
        <v>0</v>
      </c>
    </row>
    <row r="424" spans="14:51" x14ac:dyDescent="0.3">
      <c r="N424" s="11">
        <v>6</v>
      </c>
      <c r="O424" s="52">
        <f t="shared" si="278"/>
        <v>114815.36214968823</v>
      </c>
      <c r="P424" s="50" t="str">
        <f t="shared" si="244"/>
        <v>131.578947368421</v>
      </c>
      <c r="Q424" s="18" t="str">
        <f t="shared" si="245"/>
        <v>1+1082.10929474614i</v>
      </c>
      <c r="R424" s="18">
        <f t="shared" si="253"/>
        <v>1082.1097568065766</v>
      </c>
      <c r="S424" s="18">
        <f t="shared" si="254"/>
        <v>1.5698722059873325</v>
      </c>
      <c r="T424" s="18" t="str">
        <f t="shared" si="246"/>
        <v>1+0.0023806404484415i</v>
      </c>
      <c r="U424" s="18">
        <f t="shared" si="255"/>
        <v>1.0000028337204574</v>
      </c>
      <c r="V424" s="18">
        <f t="shared" si="256"/>
        <v>2.3806359510707273E-3</v>
      </c>
      <c r="W424" s="32" t="str">
        <f t="shared" si="247"/>
        <v>1-0.577124957197939i</v>
      </c>
      <c r="X424" s="18">
        <f t="shared" si="257"/>
        <v>1.1545878988715943</v>
      </c>
      <c r="Y424" s="18">
        <f t="shared" si="258"/>
        <v>-0.52342977511795641</v>
      </c>
      <c r="Z424" s="32" t="str">
        <f t="shared" si="248"/>
        <v>0.991563156873239+0.244265606884215i</v>
      </c>
      <c r="AA424" s="18">
        <f t="shared" si="259"/>
        <v>1.0212067277368171</v>
      </c>
      <c r="AB424" s="18">
        <f t="shared" si="260"/>
        <v>0.24153474691507257</v>
      </c>
      <c r="AC424" s="68" t="str">
        <f t="shared" si="261"/>
        <v>-0.0948760312245766-0.099490856659478i</v>
      </c>
      <c r="AD424" s="66">
        <f t="shared" si="262"/>
        <v>-17.235406807390461</v>
      </c>
      <c r="AE424" s="63">
        <f t="shared" si="263"/>
        <v>-133.63988997514775</v>
      </c>
      <c r="AF424" s="32" t="str">
        <f t="shared" si="249"/>
        <v>-0.434440565864413</v>
      </c>
      <c r="AG424" s="32" t="str">
        <f t="shared" si="250"/>
        <v>18.8287017285828i</v>
      </c>
      <c r="AH424" s="32">
        <f t="shared" si="264"/>
        <v>18.8287017285828</v>
      </c>
      <c r="AI424" s="32">
        <f t="shared" si="265"/>
        <v>1.5707963267948966</v>
      </c>
      <c r="AJ424" s="32" t="str">
        <f t="shared" si="251"/>
        <v>1+0.186422789391909i</v>
      </c>
      <c r="AK424" s="32">
        <f t="shared" si="266"/>
        <v>1.0172283206855086</v>
      </c>
      <c r="AL424" s="32">
        <f t="shared" si="267"/>
        <v>0.18430712119079745</v>
      </c>
      <c r="AM424" s="32" t="str">
        <f t="shared" si="252"/>
        <v>1+18.8287017285828i</v>
      </c>
      <c r="AN424" s="32">
        <f t="shared" si="268"/>
        <v>18.855238231959227</v>
      </c>
      <c r="AO424" s="32">
        <f t="shared" si="269"/>
        <v>1.5177357725374554</v>
      </c>
      <c r="AP424" s="60" t="str">
        <f t="shared" si="270"/>
        <v>-0.415692425534617+0.100567856488742i</v>
      </c>
      <c r="AQ424" s="51">
        <f t="shared" si="271"/>
        <v>-7.3775284776223957</v>
      </c>
      <c r="AR424" s="63">
        <f t="shared" si="272"/>
        <v>166.39983400398486</v>
      </c>
      <c r="AS424" s="60" t="str">
        <f t="shared" si="273"/>
        <v>0.0494448297393147+0.0318161164308807i</v>
      </c>
      <c r="AT424" s="66">
        <f t="shared" si="274"/>
        <v>-24.612935285012853</v>
      </c>
      <c r="AU424" s="63">
        <f t="shared" si="275"/>
        <v>32.759944028837118</v>
      </c>
      <c r="AX424" s="32">
        <f t="shared" si="276"/>
        <v>0</v>
      </c>
      <c r="AY424" s="32">
        <f t="shared" si="277"/>
        <v>0</v>
      </c>
    </row>
    <row r="425" spans="14:51" x14ac:dyDescent="0.3">
      <c r="N425" s="11">
        <v>7</v>
      </c>
      <c r="O425" s="52">
        <f t="shared" si="278"/>
        <v>117489.75549395311</v>
      </c>
      <c r="P425" s="50" t="str">
        <f t="shared" si="244"/>
        <v>131.578947368421</v>
      </c>
      <c r="Q425" s="18" t="str">
        <f t="shared" si="245"/>
        <v>1+1107.31485819559i</v>
      </c>
      <c r="R425" s="18">
        <f t="shared" si="253"/>
        <v>1107.3153097382515</v>
      </c>
      <c r="S425" s="18">
        <f t="shared" si="254"/>
        <v>1.5698932415335147</v>
      </c>
      <c r="T425" s="18" t="str">
        <f t="shared" si="246"/>
        <v>1+0.0024360926880303i</v>
      </c>
      <c r="U425" s="18">
        <f t="shared" si="255"/>
        <v>1.00000296726939</v>
      </c>
      <c r="V425" s="18">
        <f t="shared" si="256"/>
        <v>2.4360878690114669E-3</v>
      </c>
      <c r="W425" s="32" t="str">
        <f t="shared" si="247"/>
        <v>1-0.590567924370982i</v>
      </c>
      <c r="X425" s="18">
        <f t="shared" si="257"/>
        <v>1.1613657792856866</v>
      </c>
      <c r="Y425" s="18">
        <f t="shared" si="258"/>
        <v>-0.53345528309695134</v>
      </c>
      <c r="Z425" s="32" t="str">
        <f t="shared" si="248"/>
        <v>0.991165540706542+0.249955283779824i</v>
      </c>
      <c r="AA425" s="18">
        <f t="shared" si="259"/>
        <v>1.02219703236389</v>
      </c>
      <c r="AB425" s="18">
        <f t="shared" si="260"/>
        <v>0.24703236844021467</v>
      </c>
      <c r="AC425" s="68" t="str">
        <f t="shared" si="261"/>
        <v>-0.0946723788329564-0.0962474429528661i</v>
      </c>
      <c r="AD425" s="66">
        <f t="shared" si="262"/>
        <v>-17.392983978137043</v>
      </c>
      <c r="AE425" s="63">
        <f t="shared" si="263"/>
        <v>-134.52732786772179</v>
      </c>
      <c r="AF425" s="32" t="str">
        <f t="shared" si="249"/>
        <v>-0.434440565864413</v>
      </c>
      <c r="AG425" s="32" t="str">
        <f t="shared" si="250"/>
        <v>19.2672785326033i</v>
      </c>
      <c r="AH425" s="32">
        <f t="shared" si="264"/>
        <v>19.267278532603299</v>
      </c>
      <c r="AI425" s="32">
        <f t="shared" si="265"/>
        <v>1.5707963267948966</v>
      </c>
      <c r="AJ425" s="32" t="str">
        <f t="shared" si="251"/>
        <v>1+0.190765133986171i</v>
      </c>
      <c r="AK425" s="32">
        <f t="shared" si="266"/>
        <v>1.0180330723236657</v>
      </c>
      <c r="AL425" s="32">
        <f t="shared" si="267"/>
        <v>0.18850031781564622</v>
      </c>
      <c r="AM425" s="32" t="str">
        <f t="shared" si="252"/>
        <v>1+19.2672785326033i</v>
      </c>
      <c r="AN425" s="32">
        <f t="shared" si="268"/>
        <v>19.293211812783166</v>
      </c>
      <c r="AO425" s="32">
        <f t="shared" si="269"/>
        <v>1.5189413891049479</v>
      </c>
      <c r="AP425" s="60" t="str">
        <f t="shared" si="270"/>
        <v>-0.415035478432534+0.101722400872719i</v>
      </c>
      <c r="AQ425" s="51">
        <f t="shared" si="271"/>
        <v>-7.3849471930258472</v>
      </c>
      <c r="AR425" s="63">
        <f t="shared" si="272"/>
        <v>166.22865827574088</v>
      </c>
      <c r="AS425" s="60" t="str">
        <f t="shared" si="273"/>
        <v>0.0490829170183078+0.0303158018626309i</v>
      </c>
      <c r="AT425" s="66">
        <f t="shared" si="274"/>
        <v>-24.777931171162884</v>
      </c>
      <c r="AU425" s="63">
        <f t="shared" si="275"/>
        <v>31.701330408019079</v>
      </c>
      <c r="AX425" s="32">
        <f t="shared" si="276"/>
        <v>0</v>
      </c>
      <c r="AY425" s="32">
        <f t="shared" si="277"/>
        <v>0</v>
      </c>
    </row>
    <row r="426" spans="14:51" x14ac:dyDescent="0.3">
      <c r="N426" s="11">
        <v>8</v>
      </c>
      <c r="O426" s="52">
        <f t="shared" si="278"/>
        <v>120226.44346174144</v>
      </c>
      <c r="P426" s="50" t="str">
        <f t="shared" si="244"/>
        <v>131.578947368421</v>
      </c>
      <c r="Q426" s="18" t="str">
        <f t="shared" si="245"/>
        <v>1+1133.10753463991i</v>
      </c>
      <c r="R426" s="18">
        <f t="shared" si="253"/>
        <v>1133.1079759042098</v>
      </c>
      <c r="S426" s="18">
        <f t="shared" si="254"/>
        <v>1.5699137982529794</v>
      </c>
      <c r="T426" s="18" t="str">
        <f t="shared" si="246"/>
        <v>1+0.00249283657620779i</v>
      </c>
      <c r="U426" s="18">
        <f t="shared" si="255"/>
        <v>1.0000031071122708</v>
      </c>
      <c r="V426" s="18">
        <f t="shared" si="256"/>
        <v>2.4928314125369439E-3</v>
      </c>
      <c r="W426" s="32" t="str">
        <f t="shared" si="247"/>
        <v>1-0.604324018474617i</v>
      </c>
      <c r="X426" s="18">
        <f t="shared" si="257"/>
        <v>1.1684209512437327</v>
      </c>
      <c r="Y426" s="18">
        <f t="shared" si="258"/>
        <v>-0.54359286126841699</v>
      </c>
      <c r="Z426" s="32" t="str">
        <f t="shared" si="248"/>
        <v>0.990749185467226+0.255777490275441i</v>
      </c>
      <c r="AA426" s="18">
        <f t="shared" si="259"/>
        <v>1.0232331469589788</v>
      </c>
      <c r="AB426" s="18">
        <f t="shared" si="260"/>
        <v>0.25264917100057288</v>
      </c>
      <c r="AC426" s="68" t="str">
        <f t="shared" si="261"/>
        <v>-0.0944594963791201-0.0930589868752211i</v>
      </c>
      <c r="AD426" s="66">
        <f t="shared" si="262"/>
        <v>-17.549176079781155</v>
      </c>
      <c r="AE426" s="63">
        <f t="shared" si="263"/>
        <v>-135.42791404020494</v>
      </c>
      <c r="AF426" s="32" t="str">
        <f t="shared" si="249"/>
        <v>-0.434440565864413</v>
      </c>
      <c r="AG426" s="32" t="str">
        <f t="shared" si="250"/>
        <v>19.7160711027344i</v>
      </c>
      <c r="AH426" s="32">
        <f t="shared" si="264"/>
        <v>19.7160711027344</v>
      </c>
      <c r="AI426" s="32">
        <f t="shared" si="265"/>
        <v>1.5707963267948966</v>
      </c>
      <c r="AJ426" s="32" t="str">
        <f t="shared" si="251"/>
        <v>1+0.195208624779548i</v>
      </c>
      <c r="AK426" s="32">
        <f t="shared" si="266"/>
        <v>1.018875069470405</v>
      </c>
      <c r="AL426" s="32">
        <f t="shared" si="267"/>
        <v>0.19278425200362082</v>
      </c>
      <c r="AM426" s="32" t="str">
        <f t="shared" si="252"/>
        <v>1+19.7160711027344i</v>
      </c>
      <c r="AN426" s="32">
        <f t="shared" si="268"/>
        <v>19.741414836026276</v>
      </c>
      <c r="AO426" s="32">
        <f t="shared" si="269"/>
        <v>1.5201197082987645</v>
      </c>
      <c r="AP426" s="60" t="str">
        <f t="shared" si="270"/>
        <v>-0.414349792222359+0.102919497869229i</v>
      </c>
      <c r="AQ426" s="51">
        <f t="shared" si="271"/>
        <v>-7.392653322139326</v>
      </c>
      <c r="AR426" s="63">
        <f t="shared" si="272"/>
        <v>166.05071964378303</v>
      </c>
      <c r="AS426" s="60" t="str">
        <f t="shared" si="273"/>
        <v>0.048716856899534+0.0288372479398518i</v>
      </c>
      <c r="AT426" s="66">
        <f t="shared" si="274"/>
        <v>-24.941829401920486</v>
      </c>
      <c r="AU426" s="63">
        <f t="shared" si="275"/>
        <v>30.622805603578101</v>
      </c>
      <c r="AX426" s="32">
        <f t="shared" si="276"/>
        <v>0</v>
      </c>
      <c r="AY426" s="32">
        <f t="shared" si="277"/>
        <v>0</v>
      </c>
    </row>
    <row r="427" spans="14:51" x14ac:dyDescent="0.3">
      <c r="N427" s="11">
        <v>9</v>
      </c>
      <c r="O427" s="52">
        <f t="shared" si="278"/>
        <v>123026.87708123829</v>
      </c>
      <c r="P427" s="50" t="str">
        <f t="shared" si="244"/>
        <v>131.578947368421</v>
      </c>
      <c r="Q427" s="18" t="str">
        <f t="shared" si="245"/>
        <v>1+1159.50099969754i</v>
      </c>
      <c r="R427" s="18">
        <f t="shared" si="253"/>
        <v>1159.5014309174417</v>
      </c>
      <c r="S427" s="18">
        <f t="shared" si="254"/>
        <v>1.5699338870451018</v>
      </c>
      <c r="T427" s="18" t="str">
        <f t="shared" si="246"/>
        <v>1+0.00255090219933458i</v>
      </c>
      <c r="U427" s="18">
        <f t="shared" si="255"/>
        <v>1.0000032535457224</v>
      </c>
      <c r="V427" s="18">
        <f t="shared" si="256"/>
        <v>2.550896666362555E-3</v>
      </c>
      <c r="W427" s="32" t="str">
        <f t="shared" si="247"/>
        <v>1-0.61840053317202i</v>
      </c>
      <c r="X427" s="18">
        <f t="shared" si="257"/>
        <v>1.175763249735013</v>
      </c>
      <c r="Y427" s="18">
        <f t="shared" si="258"/>
        <v>-0.55383954945535074</v>
      </c>
      <c r="Z427" s="32" t="str">
        <f t="shared" si="248"/>
        <v>0.990313208010008+0.261735313382017i</v>
      </c>
      <c r="AA427" s="18">
        <f t="shared" si="259"/>
        <v>1.024317150217771</v>
      </c>
      <c r="AB427" s="18">
        <f t="shared" si="260"/>
        <v>0.25838733247736551</v>
      </c>
      <c r="AC427" s="68" t="str">
        <f t="shared" si="261"/>
        <v>-0.0942370450095533-0.0899240542282438i</v>
      </c>
      <c r="AD427" s="66">
        <f t="shared" si="262"/>
        <v>-17.703960617702585</v>
      </c>
      <c r="AE427" s="63">
        <f t="shared" si="263"/>
        <v>-136.34160257111122</v>
      </c>
      <c r="AF427" s="32" t="str">
        <f t="shared" si="249"/>
        <v>-0.434440565864413</v>
      </c>
      <c r="AG427" s="32" t="str">
        <f t="shared" si="250"/>
        <v>20.1753173947372i</v>
      </c>
      <c r="AH427" s="32">
        <f t="shared" si="264"/>
        <v>20.175317394737199</v>
      </c>
      <c r="AI427" s="32">
        <f t="shared" si="265"/>
        <v>1.5707963267948966</v>
      </c>
      <c r="AJ427" s="32" t="str">
        <f t="shared" si="251"/>
        <v>1+0.199755617769675i</v>
      </c>
      <c r="AK427" s="32">
        <f t="shared" si="266"/>
        <v>1.0197560035766127</v>
      </c>
      <c r="AL427" s="32">
        <f t="shared" si="267"/>
        <v>0.19716056589651934</v>
      </c>
      <c r="AM427" s="32" t="str">
        <f t="shared" si="252"/>
        <v>1+20.1753173947372i</v>
      </c>
      <c r="AN427" s="32">
        <f t="shared" si="268"/>
        <v>20.200084949781409</v>
      </c>
      <c r="AO427" s="32">
        <f t="shared" si="269"/>
        <v>1.5212713417837429</v>
      </c>
      <c r="AP427" s="60" t="str">
        <f t="shared" si="270"/>
        <v>-0.413634214769824+0.104159028551473i</v>
      </c>
      <c r="AQ427" s="51">
        <f t="shared" si="271"/>
        <v>-7.400661599260939</v>
      </c>
      <c r="AR427" s="63">
        <f t="shared" si="272"/>
        <v>165.8659590661307</v>
      </c>
      <c r="AS427" s="60" t="str">
        <f t="shared" si="273"/>
        <v>0.048346068246579+0.0273800264978622i</v>
      </c>
      <c r="AT427" s="66">
        <f t="shared" si="274"/>
        <v>-25.104622216963524</v>
      </c>
      <c r="AU427" s="63">
        <f t="shared" si="275"/>
        <v>29.524356495019475</v>
      </c>
      <c r="AX427" s="32">
        <f t="shared" si="276"/>
        <v>0</v>
      </c>
      <c r="AY427" s="32">
        <f t="shared" si="277"/>
        <v>0</v>
      </c>
    </row>
    <row r="428" spans="14:51" x14ac:dyDescent="0.3">
      <c r="N428" s="11">
        <v>10</v>
      </c>
      <c r="O428" s="52">
        <f t="shared" si="278"/>
        <v>125892.54117941685</v>
      </c>
      <c r="P428" s="50" t="str">
        <f t="shared" si="244"/>
        <v>131.578947368421</v>
      </c>
      <c r="Q428" s="18" t="str">
        <f t="shared" si="245"/>
        <v>1+1186.50924753302i</v>
      </c>
      <c r="R428" s="18">
        <f t="shared" si="253"/>
        <v>1186.5096689371619</v>
      </c>
      <c r="S428" s="18">
        <f t="shared" si="254"/>
        <v>1.5699535185611606</v>
      </c>
      <c r="T428" s="18" t="str">
        <f t="shared" si="246"/>
        <v>1+0.00261032034457264i</v>
      </c>
      <c r="U428" s="18">
        <f t="shared" si="255"/>
        <v>1.0000034068803472</v>
      </c>
      <c r="V428" s="18">
        <f t="shared" si="256"/>
        <v>2.6103144158873912E-3</v>
      </c>
      <c r="W428" s="32" t="str">
        <f t="shared" si="247"/>
        <v>1-0.63280493201761i</v>
      </c>
      <c r="X428" s="18">
        <f t="shared" si="257"/>
        <v>1.1834027556101989</v>
      </c>
      <c r="Y428" s="18">
        <f t="shared" si="258"/>
        <v>-0.56419217338570538</v>
      </c>
      <c r="Z428" s="32" t="str">
        <f t="shared" si="248"/>
        <v>0.989856683568249+0.267831912016225i</v>
      </c>
      <c r="AA428" s="18">
        <f t="shared" si="259"/>
        <v>1.0254512114669325</v>
      </c>
      <c r="AB428" s="18">
        <f t="shared" si="260"/>
        <v>0.26424904291254847</v>
      </c>
      <c r="AC428" s="68" t="str">
        <f t="shared" si="261"/>
        <v>-0.0940046754685119-0.0868412547544685i</v>
      </c>
      <c r="AD428" s="66">
        <f t="shared" si="262"/>
        <v>-17.857316412625586</v>
      </c>
      <c r="AE428" s="63">
        <f t="shared" si="263"/>
        <v>-137.26833591460993</v>
      </c>
      <c r="AF428" s="32" t="str">
        <f t="shared" si="249"/>
        <v>-0.434440565864413</v>
      </c>
      <c r="AG428" s="32" t="str">
        <f t="shared" si="250"/>
        <v>20.6452609070746i</v>
      </c>
      <c r="AH428" s="32">
        <f t="shared" si="264"/>
        <v>20.645260907074601</v>
      </c>
      <c r="AI428" s="32">
        <f t="shared" si="265"/>
        <v>1.5707963267948966</v>
      </c>
      <c r="AJ428" s="32" t="str">
        <f t="shared" si="251"/>
        <v>1+0.204408523832421i</v>
      </c>
      <c r="AK428" s="32">
        <f t="shared" si="266"/>
        <v>1.0206776399115194</v>
      </c>
      <c r="AL428" s="32">
        <f t="shared" si="267"/>
        <v>0.20163090902731354</v>
      </c>
      <c r="AM428" s="32" t="str">
        <f t="shared" si="252"/>
        <v>1+20.6452609070746i</v>
      </c>
      <c r="AN428" s="32">
        <f t="shared" si="268"/>
        <v>20.669465351604597</v>
      </c>
      <c r="AO428" s="32">
        <f t="shared" si="269"/>
        <v>1.5223968879453411</v>
      </c>
      <c r="AP428" s="60" t="str">
        <f t="shared" si="270"/>
        <v>-0.41288755746597+0.105440849502505i</v>
      </c>
      <c r="AQ428" s="51">
        <f t="shared" si="271"/>
        <v>-7.4089872536207135</v>
      </c>
      <c r="AR428" s="63">
        <f t="shared" si="272"/>
        <v>165.67431631646767</v>
      </c>
      <c r="AS428" s="60" t="str">
        <f t="shared" si="273"/>
        <v>0.0479699765177497+0.0259437407242454i</v>
      </c>
      <c r="AT428" s="66">
        <f t="shared" si="274"/>
        <v>-25.266303666246294</v>
      </c>
      <c r="AU428" s="63">
        <f t="shared" si="275"/>
        <v>28.405980401857761</v>
      </c>
      <c r="AX428" s="32">
        <f t="shared" si="276"/>
        <v>0</v>
      </c>
      <c r="AY428" s="32">
        <f t="shared" si="277"/>
        <v>0</v>
      </c>
    </row>
    <row r="429" spans="14:51" x14ac:dyDescent="0.3">
      <c r="N429" s="11">
        <v>11</v>
      </c>
      <c r="O429" s="52">
        <f t="shared" si="278"/>
        <v>128824.95516931375</v>
      </c>
      <c r="P429" s="50" t="str">
        <f t="shared" si="244"/>
        <v>131.578947368421</v>
      </c>
      <c r="Q429" s="18" t="str">
        <f t="shared" si="245"/>
        <v>1+1214.14659827685i</v>
      </c>
      <c r="R429" s="18">
        <f t="shared" si="253"/>
        <v>1214.1470100886656</v>
      </c>
      <c r="S429" s="18">
        <f t="shared" si="254"/>
        <v>1.5699727032099846</v>
      </c>
      <c r="T429" s="18" t="str">
        <f t="shared" si="246"/>
        <v>1+0.00267112251620907i</v>
      </c>
      <c r="U429" s="18">
        <f t="shared" si="255"/>
        <v>1.000003567441385</v>
      </c>
      <c r="V429" s="18">
        <f t="shared" si="256"/>
        <v>2.671116163509595E-3</v>
      </c>
      <c r="W429" s="32" t="str">
        <f t="shared" si="247"/>
        <v>1-0.647544852414321i</v>
      </c>
      <c r="X429" s="18">
        <f t="shared" si="257"/>
        <v>1.1913497957729646</v>
      </c>
      <c r="Y429" s="18">
        <f t="shared" si="258"/>
        <v>-0.57464734532576001</v>
      </c>
      <c r="Z429" s="32" t="str">
        <f t="shared" si="248"/>
        <v>0.9893786437924+0.274070518675359i</v>
      </c>
      <c r="AA429" s="18">
        <f t="shared" si="259"/>
        <v>1.0266375942850861</v>
      </c>
      <c r="AB429" s="18">
        <f t="shared" si="260"/>
        <v>0.2702365025076387</v>
      </c>
      <c r="AC429" s="68" t="str">
        <f t="shared" si="261"/>
        <v>-0.0937620281782559-0.0838092422109187i</v>
      </c>
      <c r="AD429" s="66">
        <f t="shared" si="262"/>
        <v>-18.009223731054565</v>
      </c>
      <c r="AE429" s="63">
        <f t="shared" si="263"/>
        <v>-138.20804482154588</v>
      </c>
      <c r="AF429" s="32" t="str">
        <f t="shared" si="249"/>
        <v>-0.434440565864413</v>
      </c>
      <c r="AG429" s="32" t="str">
        <f t="shared" si="250"/>
        <v>21.1261508100172i</v>
      </c>
      <c r="AH429" s="32">
        <f t="shared" si="264"/>
        <v>21.126150810017201</v>
      </c>
      <c r="AI429" s="32">
        <f t="shared" si="265"/>
        <v>1.5707963267948966</v>
      </c>
      <c r="AJ429" s="32" t="str">
        <f t="shared" si="251"/>
        <v>1+0.209169810000171i</v>
      </c>
      <c r="AK429" s="32">
        <f t="shared" si="266"/>
        <v>1.0216418205102549</v>
      </c>
      <c r="AL429" s="32">
        <f t="shared" si="267"/>
        <v>0.20619693661044702</v>
      </c>
      <c r="AM429" s="32" t="str">
        <f t="shared" si="252"/>
        <v>1+21.1261508100172i</v>
      </c>
      <c r="AN429" s="32">
        <f t="shared" si="268"/>
        <v>21.149804917483056</v>
      </c>
      <c r="AO429" s="32">
        <f t="shared" si="269"/>
        <v>1.5234969321493288</v>
      </c>
      <c r="AP429" s="60" t="str">
        <f t="shared" si="270"/>
        <v>-0.412108594994759+0.106764790146512i</v>
      </c>
      <c r="AQ429" s="51">
        <f t="shared" si="271"/>
        <v>-7.4176460285703136</v>
      </c>
      <c r="AR429" s="63">
        <f t="shared" si="272"/>
        <v>165.47573009698016</v>
      </c>
      <c r="AS429" s="60" t="str">
        <f t="shared" si="273"/>
        <v>0.047588013853387+0.0245280257929543i</v>
      </c>
      <c r="AT429" s="66">
        <f t="shared" si="274"/>
        <v>-25.426869759624875</v>
      </c>
      <c r="AU429" s="63">
        <f t="shared" si="275"/>
        <v>27.267685275434228</v>
      </c>
      <c r="AX429" s="32">
        <f t="shared" si="276"/>
        <v>0</v>
      </c>
      <c r="AY429" s="32">
        <f t="shared" si="277"/>
        <v>0</v>
      </c>
    </row>
    <row r="430" spans="14:51" x14ac:dyDescent="0.3">
      <c r="N430" s="11">
        <v>12</v>
      </c>
      <c r="O430" s="52">
        <f t="shared" si="278"/>
        <v>131825.67385564081</v>
      </c>
      <c r="P430" s="50" t="str">
        <f t="shared" si="244"/>
        <v>131.578947368421</v>
      </c>
      <c r="Q430" s="18" t="str">
        <f t="shared" si="245"/>
        <v>1+1242.42770561821i</v>
      </c>
      <c r="R430" s="18">
        <f t="shared" si="253"/>
        <v>1242.4281080560474</v>
      </c>
      <c r="S430" s="18">
        <f t="shared" si="254"/>
        <v>1.5699914511634725</v>
      </c>
      <c r="T430" s="18" t="str">
        <f t="shared" si="246"/>
        <v>1+0.00273334095236007i</v>
      </c>
      <c r="U430" s="18">
        <f t="shared" si="255"/>
        <v>1.0000037355694036</v>
      </c>
      <c r="V430" s="18">
        <f t="shared" si="256"/>
        <v>2.7333341453213153E-3</v>
      </c>
      <c r="W430" s="32" t="str">
        <f t="shared" si="247"/>
        <v>1-0.662628109663048i</v>
      </c>
      <c r="X430" s="18">
        <f t="shared" si="257"/>
        <v>1.1996149431028376</v>
      </c>
      <c r="Y430" s="18">
        <f t="shared" si="258"/>
        <v>-0.58520146560140918</v>
      </c>
      <c r="Z430" s="32" t="str">
        <f t="shared" si="248"/>
        <v>0.988878074696004+0.280454441151246i</v>
      </c>
      <c r="AA430" s="18">
        <f t="shared" si="259"/>
        <v>1.0278786602395895</v>
      </c>
      <c r="AB430" s="18">
        <f t="shared" si="260"/>
        <v>0.27635191946383819</v>
      </c>
      <c r="AC430" s="68" t="str">
        <f t="shared" si="261"/>
        <v>-0.093508733358931-0.0808267144928073i</v>
      </c>
      <c r="AD430" s="66">
        <f t="shared" si="262"/>
        <v>-18.159664417294888</v>
      </c>
      <c r="AE430" s="63">
        <f t="shared" si="263"/>
        <v>-139.16064830220864</v>
      </c>
      <c r="AF430" s="32" t="str">
        <f t="shared" si="249"/>
        <v>-0.434440565864413</v>
      </c>
      <c r="AG430" s="32" t="str">
        <f t="shared" si="250"/>
        <v>21.618242077757i</v>
      </c>
      <c r="AH430" s="32">
        <f t="shared" si="264"/>
        <v>21.618242077756999</v>
      </c>
      <c r="AI430" s="32">
        <f t="shared" si="265"/>
        <v>1.5707963267948966</v>
      </c>
      <c r="AJ430" s="32" t="str">
        <f t="shared" si="251"/>
        <v>1+0.214042000769871i</v>
      </c>
      <c r="AK430" s="32">
        <f t="shared" si="266"/>
        <v>1.0226504672142724</v>
      </c>
      <c r="AL430" s="32">
        <f t="shared" si="267"/>
        <v>0.21086030769356387</v>
      </c>
      <c r="AM430" s="32" t="str">
        <f t="shared" si="252"/>
        <v>1+21.618242077757i</v>
      </c>
      <c r="AN430" s="32">
        <f t="shared" si="268"/>
        <v>21.641358333813137</v>
      </c>
      <c r="AO430" s="32">
        <f t="shared" si="269"/>
        <v>1.5245720469983663</v>
      </c>
      <c r="AP430" s="60" t="str">
        <f t="shared" si="270"/>
        <v>-0.411296065202044+0.108130649961797i</v>
      </c>
      <c r="AQ430" s="51">
        <f t="shared" si="271"/>
        <v>-7.4266542007634415</v>
      </c>
      <c r="AR430" s="63">
        <f t="shared" si="272"/>
        <v>165.2701381589558</v>
      </c>
      <c r="AS430" s="60" t="str">
        <f t="shared" si="273"/>
        <v>0.0471996192649393+0.0231325495188951i</v>
      </c>
      <c r="AT430" s="66">
        <f t="shared" si="274"/>
        <v>-25.586318618058325</v>
      </c>
      <c r="AU430" s="63">
        <f t="shared" si="275"/>
        <v>26.109489856747192</v>
      </c>
      <c r="AX430" s="32">
        <f t="shared" si="276"/>
        <v>0</v>
      </c>
      <c r="AY430" s="32">
        <f t="shared" si="277"/>
        <v>0</v>
      </c>
    </row>
    <row r="431" spans="14:51" x14ac:dyDescent="0.3">
      <c r="N431" s="11">
        <v>13</v>
      </c>
      <c r="O431" s="52">
        <f t="shared" si="278"/>
        <v>134896.28825916545</v>
      </c>
      <c r="P431" s="50" t="str">
        <f t="shared" si="244"/>
        <v>131.578947368421</v>
      </c>
      <c r="Q431" s="18" t="str">
        <f t="shared" si="245"/>
        <v>1+1271.36756457457i</v>
      </c>
      <c r="R431" s="18">
        <f t="shared" si="253"/>
        <v>1271.3679578518068</v>
      </c>
      <c r="S431" s="18">
        <f t="shared" si="254"/>
        <v>1.5700097723619841</v>
      </c>
      <c r="T431" s="18" t="str">
        <f t="shared" si="246"/>
        <v>1+0.00279700864206407i</v>
      </c>
      <c r="U431" s="18">
        <f t="shared" si="255"/>
        <v>1.0000039116210215</v>
      </c>
      <c r="V431" s="18">
        <f t="shared" si="256"/>
        <v>2.7970013481921738E-3</v>
      </c>
      <c r="W431" s="32" t="str">
        <f t="shared" si="247"/>
        <v>1-0.67806270110644i</v>
      </c>
      <c r="X431" s="18">
        <f t="shared" si="257"/>
        <v>1.2082090161192149</v>
      </c>
      <c r="Y431" s="18">
        <f t="shared" si="258"/>
        <v>-0.59585072504172754</v>
      </c>
      <c r="Z431" s="32" t="str">
        <f t="shared" si="248"/>
        <v>0.988353914504896+0.286987064284085i</v>
      </c>
      <c r="AA431" s="18">
        <f t="shared" si="259"/>
        <v>1.0291768727403219</v>
      </c>
      <c r="AB431" s="18">
        <f t="shared" si="260"/>
        <v>0.28259750765697161</v>
      </c>
      <c r="AC431" s="68" t="str">
        <f t="shared" si="261"/>
        <v>-0.0932444111920749-0.0778924138063009i</v>
      </c>
      <c r="AD431" s="66">
        <f t="shared" si="262"/>
        <v>-18.308622026387237</v>
      </c>
      <c r="AE431" s="63">
        <f t="shared" si="263"/>
        <v>-140.12605363245441</v>
      </c>
      <c r="AF431" s="32" t="str">
        <f t="shared" si="249"/>
        <v>-0.434440565864413</v>
      </c>
      <c r="AG431" s="32" t="str">
        <f t="shared" si="250"/>
        <v>22.1217956235976i</v>
      </c>
      <c r="AH431" s="32">
        <f t="shared" si="264"/>
        <v>22.121795623597599</v>
      </c>
      <c r="AI431" s="32">
        <f t="shared" si="265"/>
        <v>1.5707963267948966</v>
      </c>
      <c r="AJ431" s="32" t="str">
        <f t="shared" si="251"/>
        <v>1+0.219027679441561i</v>
      </c>
      <c r="AK431" s="32">
        <f t="shared" si="266"/>
        <v>1.0237055848052969</v>
      </c>
      <c r="AL431" s="32">
        <f t="shared" si="267"/>
        <v>0.21562268316416866</v>
      </c>
      <c r="AM431" s="32" t="str">
        <f t="shared" si="252"/>
        <v>1+22.1217956235976i</v>
      </c>
      <c r="AN431" s="32">
        <f t="shared" si="268"/>
        <v>22.144386232456792</v>
      </c>
      <c r="AO431" s="32">
        <f t="shared" si="269"/>
        <v>1.5256227925853625</v>
      </c>
      <c r="AP431" s="60" t="str">
        <f t="shared" si="270"/>
        <v>-0.410448669077492+0.109538195574603i</v>
      </c>
      <c r="AQ431" s="51">
        <f t="shared" si="271"/>
        <v>-7.4360285992817303</v>
      </c>
      <c r="AR431" s="63">
        <f t="shared" si="272"/>
        <v>165.05747743151045</v>
      </c>
      <c r="AS431" s="60" t="str">
        <f t="shared" si="273"/>
        <v>0.046804238929994+0.0217570130286333i</v>
      </c>
      <c r="AT431" s="66">
        <f t="shared" si="274"/>
        <v>-25.744650625668971</v>
      </c>
      <c r="AU431" s="63">
        <f t="shared" si="275"/>
        <v>24.931423799056077</v>
      </c>
      <c r="AX431" s="32">
        <f t="shared" si="276"/>
        <v>0</v>
      </c>
      <c r="AY431" s="32">
        <f t="shared" si="277"/>
        <v>0</v>
      </c>
    </row>
    <row r="432" spans="14:51" x14ac:dyDescent="0.3">
      <c r="N432" s="11">
        <v>14</v>
      </c>
      <c r="O432" s="52">
        <f t="shared" si="278"/>
        <v>138038.42646028858</v>
      </c>
      <c r="P432" s="50" t="str">
        <f t="shared" si="244"/>
        <v>131.578947368421</v>
      </c>
      <c r="Q432" s="18" t="str">
        <f t="shared" si="245"/>
        <v>1+1300.98151944221i</v>
      </c>
      <c r="R432" s="18">
        <f t="shared" si="253"/>
        <v>1300.9819037673665</v>
      </c>
      <c r="S432" s="18">
        <f t="shared" si="254"/>
        <v>1.5700276765196124</v>
      </c>
      <c r="T432" s="18" t="str">
        <f t="shared" si="246"/>
        <v>1+0.00286215934277287i</v>
      </c>
      <c r="U432" s="18">
        <f t="shared" si="255"/>
        <v>1.0000040959696632</v>
      </c>
      <c r="V432" s="18">
        <f t="shared" si="256"/>
        <v>2.8621515272500521E-3</v>
      </c>
      <c r="W432" s="32" t="str">
        <f t="shared" si="247"/>
        <v>1-0.69385681036918i</v>
      </c>
      <c r="X432" s="18">
        <f t="shared" si="257"/>
        <v>1.217143078399451</v>
      </c>
      <c r="Y432" s="18">
        <f t="shared" si="258"/>
        <v>-0.60659110837317232</v>
      </c>
      <c r="Z432" s="32" t="str">
        <f t="shared" si="248"/>
        <v>0.987805051405035+0.293671851757131i</v>
      </c>
      <c r="AA432" s="18">
        <f t="shared" si="259"/>
        <v>1.0305348010114779</v>
      </c>
      <c r="AB432" s="18">
        <f t="shared" si="260"/>
        <v>0.28897548414086871</v>
      </c>
      <c r="AC432" s="68" t="str">
        <f t="shared" si="261"/>
        <v>-0.0929686720319042-0.07500512688913i</v>
      </c>
      <c r="AD432" s="66">
        <f t="shared" si="262"/>
        <v>-18.456081957233039</v>
      </c>
      <c r="AE432" s="63">
        <f t="shared" si="263"/>
        <v>-141.1041564044333</v>
      </c>
      <c r="AF432" s="32" t="str">
        <f t="shared" si="249"/>
        <v>-0.434440565864413</v>
      </c>
      <c r="AG432" s="32" t="str">
        <f t="shared" si="250"/>
        <v>22.6370784382945i</v>
      </c>
      <c r="AH432" s="32">
        <f t="shared" si="264"/>
        <v>22.637078438294498</v>
      </c>
      <c r="AI432" s="32">
        <f t="shared" si="265"/>
        <v>1.5707963267948966</v>
      </c>
      <c r="AJ432" s="32" t="str">
        <f t="shared" si="251"/>
        <v>1+0.224129489488065i</v>
      </c>
      <c r="AK432" s="32">
        <f t="shared" si="266"/>
        <v>1.0248092642331941</v>
      </c>
      <c r="AL432" s="32">
        <f t="shared" si="267"/>
        <v>0.22048572360462571</v>
      </c>
      <c r="AM432" s="32" t="str">
        <f t="shared" si="252"/>
        <v>1+22.6370784382945i</v>
      </c>
      <c r="AN432" s="32">
        <f t="shared" si="268"/>
        <v>22.65915532895032</v>
      </c>
      <c r="AO432" s="32">
        <f t="shared" si="269"/>
        <v>1.5266497167435138</v>
      </c>
      <c r="AP432" s="60" t="str">
        <f t="shared" si="270"/>
        <v>-0.409565070861856+0.110987157733573i</v>
      </c>
      <c r="AQ432" s="51">
        <f t="shared" si="271"/>
        <v>-7.4457866246536595</v>
      </c>
      <c r="AR432" s="63">
        <f t="shared" si="272"/>
        <v>164.83768415881289</v>
      </c>
      <c r="AS432" s="60" t="str">
        <f t="shared" si="273"/>
        <v>0.04640132659755+0.0204011514422633i</v>
      </c>
      <c r="AT432" s="66">
        <f t="shared" si="274"/>
        <v>-25.901868581886699</v>
      </c>
      <c r="AU432" s="63">
        <f t="shared" si="275"/>
        <v>23.733527754379644</v>
      </c>
      <c r="AX432" s="32">
        <f t="shared" si="276"/>
        <v>0</v>
      </c>
      <c r="AY432" s="32">
        <f t="shared" si="277"/>
        <v>0</v>
      </c>
    </row>
    <row r="433" spans="14:51" x14ac:dyDescent="0.3">
      <c r="N433" s="11">
        <v>15</v>
      </c>
      <c r="O433" s="52">
        <f t="shared" si="278"/>
        <v>141253.75446227577</v>
      </c>
      <c r="P433" s="50" t="str">
        <f t="shared" si="244"/>
        <v>131.578947368421</v>
      </c>
      <c r="Q433" s="18" t="str">
        <f t="shared" si="245"/>
        <v>1+1331.28527193199i</v>
      </c>
      <c r="R433" s="18">
        <f t="shared" si="253"/>
        <v>1331.2856475088406</v>
      </c>
      <c r="S433" s="18">
        <f t="shared" si="254"/>
        <v>1.5700451731293328</v>
      </c>
      <c r="T433" s="18" t="str">
        <f t="shared" si="246"/>
        <v>1+0.00292882759825037i</v>
      </c>
      <c r="U433" s="18">
        <f t="shared" si="255"/>
        <v>1.0000042890063523</v>
      </c>
      <c r="V433" s="18">
        <f t="shared" si="256"/>
        <v>2.9288192237687301E-3</v>
      </c>
      <c r="W433" s="32" t="str">
        <f t="shared" si="247"/>
        <v>1-0.710018811697059i</v>
      </c>
      <c r="X433" s="18">
        <f t="shared" si="257"/>
        <v>1.2264284377670407</v>
      </c>
      <c r="Y433" s="18">
        <f t="shared" si="258"/>
        <v>-0.61741839858623326</v>
      </c>
      <c r="Z433" s="32" t="str">
        <f t="shared" si="248"/>
        <v>0.987230321184199+0.300512347933185i</v>
      </c>
      <c r="AA433" s="18">
        <f t="shared" si="259"/>
        <v>1.0319551241821381</v>
      </c>
      <c r="AB433" s="18">
        <f t="shared" si="260"/>
        <v>0.29548806647302123</v>
      </c>
      <c r="AC433" s="68" t="str">
        <f t="shared" si="261"/>
        <v>-0.0926811166687052-0.0721636852774529i</v>
      </c>
      <c r="AD433" s="66">
        <f t="shared" si="262"/>
        <v>-18.602031585146701</v>
      </c>
      <c r="AE433" s="63">
        <f t="shared" si="263"/>
        <v>-142.09484062282115</v>
      </c>
      <c r="AF433" s="32" t="str">
        <f t="shared" si="249"/>
        <v>-0.434440565864413</v>
      </c>
      <c r="AG433" s="32" t="str">
        <f t="shared" si="250"/>
        <v>23.1643637316166i</v>
      </c>
      <c r="AH433" s="32">
        <f t="shared" si="264"/>
        <v>23.1643637316166</v>
      </c>
      <c r="AI433" s="32">
        <f t="shared" si="265"/>
        <v>1.5707963267948966</v>
      </c>
      <c r="AJ433" s="32" t="str">
        <f t="shared" si="251"/>
        <v>1+0.2293501359566i</v>
      </c>
      <c r="AK433" s="32">
        <f t="shared" si="266"/>
        <v>1.0259636859379142</v>
      </c>
      <c r="AL433" s="32">
        <f t="shared" si="267"/>
        <v>0.22545108698899136</v>
      </c>
      <c r="AM433" s="32" t="str">
        <f t="shared" si="252"/>
        <v>1+23.1643637316166i</v>
      </c>
      <c r="AN433" s="32">
        <f t="shared" si="268"/>
        <v>23.185938563936428</v>
      </c>
      <c r="AO433" s="32">
        <f t="shared" si="269"/>
        <v>1.5276533552929361</v>
      </c>
      <c r="AP433" s="60" t="str">
        <f t="shared" si="270"/>
        <v>-0.408643898292656+0.112477228165405i</v>
      </c>
      <c r="AQ433" s="51">
        <f t="shared" si="271"/>
        <v>-7.4559462677095665</v>
      </c>
      <c r="AR433" s="63">
        <f t="shared" si="272"/>
        <v>164.61069404617859</v>
      </c>
      <c r="AS433" s="60" t="str">
        <f t="shared" si="273"/>
        <v>0.0459903441078247+0.0190647345607722i</v>
      </c>
      <c r="AT433" s="66">
        <f t="shared" si="274"/>
        <v>-26.057977852856268</v>
      </c>
      <c r="AU433" s="63">
        <f t="shared" si="275"/>
        <v>22.515853423357402</v>
      </c>
      <c r="AX433" s="32">
        <f t="shared" si="276"/>
        <v>0</v>
      </c>
      <c r="AY433" s="32">
        <f t="shared" si="277"/>
        <v>0</v>
      </c>
    </row>
    <row r="434" spans="14:51" x14ac:dyDescent="0.3">
      <c r="N434" s="11">
        <v>16</v>
      </c>
      <c r="O434" s="52">
        <f t="shared" si="278"/>
        <v>144543.97707459307</v>
      </c>
      <c r="P434" s="50" t="str">
        <f t="shared" si="244"/>
        <v>131.578947368421</v>
      </c>
      <c r="Q434" s="18" t="str">
        <f t="shared" si="245"/>
        <v>1+1362.29488949458i</v>
      </c>
      <c r="R434" s="18">
        <f t="shared" si="253"/>
        <v>1362.2952565222602</v>
      </c>
      <c r="S434" s="18">
        <f t="shared" si="254"/>
        <v>1.5700622714680366</v>
      </c>
      <c r="T434" s="18" t="str">
        <f t="shared" si="246"/>
        <v>1+0.00299704875688807i</v>
      </c>
      <c r="U434" s="18">
        <f t="shared" si="255"/>
        <v>1.0000044911405404</v>
      </c>
      <c r="V434" s="18">
        <f t="shared" si="256"/>
        <v>2.9970397834714981E-3</v>
      </c>
      <c r="W434" s="32" t="str">
        <f t="shared" si="247"/>
        <v>1-0.726557274397109i</v>
      </c>
      <c r="X434" s="18">
        <f t="shared" si="257"/>
        <v>1.2360766452689558</v>
      </c>
      <c r="Y434" s="18">
        <f t="shared" si="258"/>
        <v>-0.62832818228898046</v>
      </c>
      <c r="Z434" s="32" t="str">
        <f t="shared" si="248"/>
        <v>0.986628504762534+0.307512179733864i</v>
      </c>
      <c r="AA434" s="18">
        <f t="shared" si="259"/>
        <v>1.0334406354961208</v>
      </c>
      <c r="AB434" s="18">
        <f t="shared" si="260"/>
        <v>0.30213746985659296</v>
      </c>
      <c r="AC434" s="68" t="str">
        <f t="shared" si="261"/>
        <v>-0.0923813366488558-0.069366965617088i</v>
      </c>
      <c r="AD434" s="66">
        <f t="shared" si="262"/>
        <v>-18.746460393026183</v>
      </c>
      <c r="AE434" s="63">
        <f t="shared" si="263"/>
        <v>-143.09797884704528</v>
      </c>
      <c r="AF434" s="32" t="str">
        <f t="shared" si="249"/>
        <v>-0.434440565864413</v>
      </c>
      <c r="AG434" s="32" t="str">
        <f t="shared" si="250"/>
        <v>23.7039310772057i</v>
      </c>
      <c r="AH434" s="32">
        <f t="shared" si="264"/>
        <v>23.703931077205699</v>
      </c>
      <c r="AI434" s="32">
        <f t="shared" si="265"/>
        <v>1.5707963267948966</v>
      </c>
      <c r="AJ434" s="32" t="str">
        <f t="shared" si="251"/>
        <v>1+0.234692386903027i</v>
      </c>
      <c r="AK434" s="32">
        <f t="shared" si="266"/>
        <v>1.0271711232653691</v>
      </c>
      <c r="AL434" s="32">
        <f t="shared" si="267"/>
        <v>0.2305204262151761</v>
      </c>
      <c r="AM434" s="32" t="str">
        <f t="shared" si="252"/>
        <v>1+23.7039310772057i</v>
      </c>
      <c r="AN434" s="32">
        <f t="shared" si="268"/>
        <v>23.72501524789643</v>
      </c>
      <c r="AO434" s="32">
        <f t="shared" si="269"/>
        <v>1.5286342322838238</v>
      </c>
      <c r="AP434" s="60" t="str">
        <f t="shared" si="270"/>
        <v>-0.407683743002104+0.114008056313152i</v>
      </c>
      <c r="AQ434" s="51">
        <f t="shared" si="271"/>
        <v>-7.4665261282081774</v>
      </c>
      <c r="AR434" s="63">
        <f t="shared" si="272"/>
        <v>164.37644241539732</v>
      </c>
      <c r="AS434" s="60" t="str">
        <f t="shared" si="273"/>
        <v>0.0455707620308884+0.0177475675525257i</v>
      </c>
      <c r="AT434" s="66">
        <f t="shared" si="274"/>
        <v>-26.212986521234363</v>
      </c>
      <c r="AU434" s="63">
        <f t="shared" si="275"/>
        <v>21.278463568352084</v>
      </c>
      <c r="AX434" s="32">
        <f t="shared" si="276"/>
        <v>0</v>
      </c>
      <c r="AY434" s="32">
        <f t="shared" si="277"/>
        <v>0</v>
      </c>
    </row>
    <row r="435" spans="14:51" x14ac:dyDescent="0.3">
      <c r="N435" s="11">
        <v>17</v>
      </c>
      <c r="O435" s="52">
        <f t="shared" si="278"/>
        <v>147910.83881682079</v>
      </c>
      <c r="P435" s="50" t="str">
        <f t="shared" si="244"/>
        <v>131.578947368421</v>
      </c>
      <c r="Q435" s="18" t="str">
        <f t="shared" si="245"/>
        <v>1+1394.02681383968i</v>
      </c>
      <c r="R435" s="18">
        <f t="shared" si="253"/>
        <v>1394.027172512792</v>
      </c>
      <c r="S435" s="18">
        <f t="shared" si="254"/>
        <v>1.5700789806014492</v>
      </c>
      <c r="T435" s="18" t="str">
        <f t="shared" si="246"/>
        <v>1+0.0030668589904473i</v>
      </c>
      <c r="U435" s="18">
        <f t="shared" si="255"/>
        <v>1.0000047028009755</v>
      </c>
      <c r="V435" s="18">
        <f t="shared" si="256"/>
        <v>3.0668493752606515E-3</v>
      </c>
      <c r="W435" s="32" t="str">
        <f t="shared" si="247"/>
        <v>1-0.743480967381165i</v>
      </c>
      <c r="X435" s="18">
        <f t="shared" si="257"/>
        <v>1.2460994939642793</v>
      </c>
      <c r="Y435" s="18">
        <f t="shared" si="258"/>
        <v>-0.63931585605412555</v>
      </c>
      <c r="Z435" s="32" t="str">
        <f t="shared" si="248"/>
        <v>0.985998325606723+0.314675058562642i</v>
      </c>
      <c r="AA435" s="18">
        <f t="shared" si="259"/>
        <v>1.0349942466413344</v>
      </c>
      <c r="AB435" s="18">
        <f t="shared" si="260"/>
        <v>0.3089259040931765</v>
      </c>
      <c r="AC435" s="68" t="str">
        <f t="shared" si="261"/>
        <v>-0.0920689146561075-0.0666138900168058i</v>
      </c>
      <c r="AD435" s="66">
        <f t="shared" si="262"/>
        <v>-18.889360100304199</v>
      </c>
      <c r="AE435" s="63">
        <f t="shared" si="263"/>
        <v>-144.11343237955776</v>
      </c>
      <c r="AF435" s="32" t="str">
        <f t="shared" si="249"/>
        <v>-0.434440565864413</v>
      </c>
      <c r="AG435" s="32" t="str">
        <f t="shared" si="250"/>
        <v>24.2560665608105i</v>
      </c>
      <c r="AH435" s="32">
        <f t="shared" si="264"/>
        <v>24.256066560810499</v>
      </c>
      <c r="AI435" s="32">
        <f t="shared" si="265"/>
        <v>1.5707963267948966</v>
      </c>
      <c r="AJ435" s="32" t="str">
        <f t="shared" si="251"/>
        <v>1+0.24015907485951i</v>
      </c>
      <c r="AK435" s="32">
        <f t="shared" si="266"/>
        <v>1.0284339459767826</v>
      </c>
      <c r="AL435" s="32">
        <f t="shared" si="267"/>
        <v>0.23569538646606475</v>
      </c>
      <c r="AM435" s="32" t="str">
        <f t="shared" si="252"/>
        <v>1+24.2560665608105i</v>
      </c>
      <c r="AN435" s="32">
        <f t="shared" si="268"/>
        <v>24.276671209259092</v>
      </c>
      <c r="AO435" s="32">
        <f t="shared" si="269"/>
        <v>1.5295928602360715</v>
      </c>
      <c r="AP435" s="60" t="str">
        <f t="shared" si="270"/>
        <v>-0.406683161081806+0.115579245959558i</v>
      </c>
      <c r="AQ435" s="51">
        <f t="shared" si="271"/>
        <v>-7.4775454331639954</v>
      </c>
      <c r="AR435" s="63">
        <f t="shared" si="272"/>
        <v>164.13486436966051</v>
      </c>
      <c r="AS435" s="60" t="str">
        <f t="shared" si="273"/>
        <v>0.0451420604282922+0.0164494916317225i</v>
      </c>
      <c r="AT435" s="66">
        <f t="shared" si="274"/>
        <v>-26.366905533468188</v>
      </c>
      <c r="AU435" s="63">
        <f t="shared" si="275"/>
        <v>20.021431990102673</v>
      </c>
      <c r="AX435" s="32">
        <f t="shared" si="276"/>
        <v>0</v>
      </c>
      <c r="AY435" s="32">
        <f t="shared" si="277"/>
        <v>0</v>
      </c>
    </row>
    <row r="436" spans="14:51" x14ac:dyDescent="0.3">
      <c r="N436" s="11">
        <v>18</v>
      </c>
      <c r="O436" s="52">
        <f t="shared" si="278"/>
        <v>151356.12484362084</v>
      </c>
      <c r="P436" s="50" t="str">
        <f t="shared" si="244"/>
        <v>131.578947368421</v>
      </c>
      <c r="Q436" s="18" t="str">
        <f t="shared" si="245"/>
        <v>1+1426.49786965362i</v>
      </c>
      <c r="R436" s="18">
        <f t="shared" si="253"/>
        <v>1426.4982201623375</v>
      </c>
      <c r="S436" s="18">
        <f t="shared" si="254"/>
        <v>1.5700953093889369</v>
      </c>
      <c r="T436" s="18" t="str">
        <f t="shared" si="246"/>
        <v>1+0.00313829531323796i</v>
      </c>
      <c r="U436" s="18">
        <f t="shared" si="255"/>
        <v>1.0000049244366116</v>
      </c>
      <c r="V436" s="18">
        <f t="shared" si="256"/>
        <v>3.138285010382583E-3</v>
      </c>
      <c r="W436" s="32" t="str">
        <f t="shared" si="247"/>
        <v>1-0.760798863815262i</v>
      </c>
      <c r="X436" s="18">
        <f t="shared" si="257"/>
        <v>1.2565090175492548</v>
      </c>
      <c r="Y436" s="18">
        <f t="shared" si="258"/>
        <v>-0.6503766337578154</v>
      </c>
      <c r="Z436" s="32" t="str">
        <f t="shared" si="248"/>
        <v>0.985338447022286+0.322004782272688i</v>
      </c>
      <c r="AA436" s="18">
        <f t="shared" si="259"/>
        <v>1.0366189921985665</v>
      </c>
      <c r="AB436" s="18">
        <f t="shared" si="260"/>
        <v>0.31585557034110456</v>
      </c>
      <c r="AC436" s="68" t="str">
        <f t="shared" si="261"/>
        <v>-0.091743424958954-0.0639034264409842i</v>
      </c>
      <c r="AD436" s="66">
        <f t="shared" si="262"/>
        <v>-19.030724788810353</v>
      </c>
      <c r="AE436" s="63">
        <f t="shared" si="263"/>
        <v>-145.14105149976052</v>
      </c>
      <c r="AF436" s="32" t="str">
        <f t="shared" si="249"/>
        <v>-0.434440565864413</v>
      </c>
      <c r="AG436" s="32" t="str">
        <f t="shared" si="250"/>
        <v>24.821062931973i</v>
      </c>
      <c r="AH436" s="32">
        <f t="shared" si="264"/>
        <v>24.821062931973</v>
      </c>
      <c r="AI436" s="32">
        <f t="shared" si="265"/>
        <v>1.5707963267948966</v>
      </c>
      <c r="AJ436" s="32" t="str">
        <f t="shared" si="251"/>
        <v>1+0.245753098336366i</v>
      </c>
      <c r="AK436" s="32">
        <f t="shared" si="266"/>
        <v>1.0297546238507131</v>
      </c>
      <c r="AL436" s="32">
        <f t="shared" si="267"/>
        <v>0.24097760239338231</v>
      </c>
      <c r="AM436" s="32" t="str">
        <f t="shared" si="252"/>
        <v>1+24.821062931973i</v>
      </c>
      <c r="AN436" s="32">
        <f t="shared" si="268"/>
        <v>24.84119894596402</v>
      </c>
      <c r="AO436" s="32">
        <f t="shared" si="269"/>
        <v>1.5305297403753089</v>
      </c>
      <c r="AP436" s="60" t="str">
        <f t="shared" si="270"/>
        <v>-0.405640673829434+0.117190351738964i</v>
      </c>
      <c r="AQ436" s="51">
        <f t="shared" si="271"/>
        <v>-7.4890240547979552</v>
      </c>
      <c r="AR436" s="63">
        <f t="shared" si="272"/>
        <v>163.88589496843636</v>
      </c>
      <c r="AS436" s="60" t="str">
        <f t="shared" si="273"/>
        <v>0.0447037297417142+0.0151703847208534i</v>
      </c>
      <c r="AT436" s="66">
        <f t="shared" si="274"/>
        <v>-26.519748843608305</v>
      </c>
      <c r="AU436" s="63">
        <f t="shared" si="275"/>
        <v>18.744843468675807</v>
      </c>
      <c r="AX436" s="32">
        <f t="shared" si="276"/>
        <v>0</v>
      </c>
      <c r="AY436" s="32">
        <f t="shared" si="277"/>
        <v>0</v>
      </c>
    </row>
    <row r="437" spans="14:51" x14ac:dyDescent="0.3">
      <c r="N437" s="11">
        <v>19</v>
      </c>
      <c r="O437" s="52">
        <f t="shared" si="278"/>
        <v>154881.66189124843</v>
      </c>
      <c r="P437" s="50" t="str">
        <f t="shared" si="244"/>
        <v>131.578947368421</v>
      </c>
      <c r="Q437" s="18" t="str">
        <f t="shared" si="245"/>
        <v>1+1459.72527351997i</v>
      </c>
      <c r="R437" s="18">
        <f t="shared" si="253"/>
        <v>1459.725616050137</v>
      </c>
      <c r="S437" s="18">
        <f t="shared" si="254"/>
        <v>1.5701112664882042</v>
      </c>
      <c r="T437" s="18" t="str">
        <f t="shared" si="246"/>
        <v>1+0.00321139560174394i</v>
      </c>
      <c r="U437" s="18">
        <f t="shared" si="255"/>
        <v>1.0000051565175605</v>
      </c>
      <c r="V437" s="18">
        <f t="shared" si="256"/>
        <v>3.2113845620385787E-3</v>
      </c>
      <c r="W437" s="32" t="str">
        <f t="shared" si="247"/>
        <v>1-0.778520145877319i</v>
      </c>
      <c r="X437" s="18">
        <f t="shared" si="257"/>
        <v>1.2673174888467538</v>
      </c>
      <c r="Y437" s="18">
        <f t="shared" si="258"/>
        <v>-0.66150555489958174</v>
      </c>
      <c r="Z437" s="32" t="str">
        <f t="shared" si="248"/>
        <v>0.984647469318275+0.329505237180532i</v>
      </c>
      <c r="AA437" s="18">
        <f t="shared" si="259"/>
        <v>1.0383180342093081</v>
      </c>
      <c r="AB437" s="18">
        <f t="shared" si="260"/>
        <v>0.32292865767459117</v>
      </c>
      <c r="AC437" s="68" t="str">
        <f t="shared" si="261"/>
        <v>-0.0914044339289612-0.061234589138447i</v>
      </c>
      <c r="AD437" s="66">
        <f t="shared" si="262"/>
        <v>-19.170551024659996</v>
      </c>
      <c r="AE437" s="63">
        <f t="shared" si="263"/>
        <v>-146.18067574270083</v>
      </c>
      <c r="AF437" s="32" t="str">
        <f t="shared" si="249"/>
        <v>-0.434440565864413</v>
      </c>
      <c r="AG437" s="32" t="str">
        <f t="shared" si="250"/>
        <v>25.3992197592476i</v>
      </c>
      <c r="AH437" s="32">
        <f t="shared" si="264"/>
        <v>25.3992197592476</v>
      </c>
      <c r="AI437" s="32">
        <f t="shared" si="265"/>
        <v>1.5707963267948966</v>
      </c>
      <c r="AJ437" s="32" t="str">
        <f t="shared" si="251"/>
        <v>1+0.251477423358887i</v>
      </c>
      <c r="AK437" s="32">
        <f t="shared" si="266"/>
        <v>1.0311357303765711</v>
      </c>
      <c r="AL437" s="32">
        <f t="shared" si="267"/>
        <v>0.24636869511829923</v>
      </c>
      <c r="AM437" s="32" t="str">
        <f t="shared" si="252"/>
        <v>1+25.3992197592476i</v>
      </c>
      <c r="AN437" s="32">
        <f t="shared" si="268"/>
        <v>25.418897780559909</v>
      </c>
      <c r="AO437" s="32">
        <f t="shared" si="269"/>
        <v>1.5314453628653051</v>
      </c>
      <c r="AP437" s="60" t="str">
        <f t="shared" si="270"/>
        <v>-0.404554768693274+0.118840875542489i</v>
      </c>
      <c r="AQ437" s="51">
        <f t="shared" si="271"/>
        <v>-7.5009825280255562</v>
      </c>
      <c r="AR437" s="63">
        <f t="shared" si="272"/>
        <v>163.629469412639</v>
      </c>
      <c r="AS437" s="60" t="str">
        <f t="shared" si="273"/>
        <v>0.0442552718123682+0.0139101620883488i</v>
      </c>
      <c r="AT437" s="66">
        <f t="shared" si="274"/>
        <v>-26.671533552685545</v>
      </c>
      <c r="AU437" s="63">
        <f t="shared" si="275"/>
        <v>17.448793669938201</v>
      </c>
      <c r="AX437" s="32">
        <f t="shared" si="276"/>
        <v>0</v>
      </c>
      <c r="AY437" s="32">
        <f t="shared" si="277"/>
        <v>0</v>
      </c>
    </row>
    <row r="438" spans="14:51" x14ac:dyDescent="0.3">
      <c r="N438" s="11">
        <v>20</v>
      </c>
      <c r="O438" s="52">
        <f t="shared" si="278"/>
        <v>158489.31924611164</v>
      </c>
      <c r="P438" s="50" t="str">
        <f t="shared" si="244"/>
        <v>131.578947368421</v>
      </c>
      <c r="Q438" s="18" t="str">
        <f t="shared" si="245"/>
        <v>1+1493.72664304809i</v>
      </c>
      <c r="R438" s="18">
        <f t="shared" si="253"/>
        <v>1493.7269777813196</v>
      </c>
      <c r="S438" s="18">
        <f t="shared" si="254"/>
        <v>1.5701268603598839</v>
      </c>
      <c r="T438" s="18" t="str">
        <f t="shared" si="246"/>
        <v>1+0.00328619861470581i</v>
      </c>
      <c r="U438" s="18">
        <f t="shared" si="255"/>
        <v>1.0000053995360902</v>
      </c>
      <c r="V438" s="18">
        <f t="shared" si="256"/>
        <v>3.2861867854518407E-3</v>
      </c>
      <c r="W438" s="32" t="str">
        <f t="shared" si="247"/>
        <v>1-0.79665420962565i</v>
      </c>
      <c r="X438" s="18">
        <f t="shared" si="257"/>
        <v>1.2785374181909066</v>
      </c>
      <c r="Y438" s="18">
        <f t="shared" si="258"/>
        <v>-0.67269749388380107</v>
      </c>
      <c r="Z438" s="32" t="str">
        <f t="shared" si="248"/>
        <v>0.983923926838339+0.337180400126646i</v>
      </c>
      <c r="AA438" s="18">
        <f t="shared" si="259"/>
        <v>1.0400946668618882</v>
      </c>
      <c r="AB438" s="18">
        <f t="shared" si="260"/>
        <v>0.33014733943959351</v>
      </c>
      <c r="AC438" s="68" t="str">
        <f t="shared" si="261"/>
        <v>-0.0910515006350417-0.0586064391038008i</v>
      </c>
      <c r="AD438" s="66">
        <f t="shared" si="262"/>
        <v>-19.308837975273377</v>
      </c>
      <c r="AE438" s="63">
        <f t="shared" si="263"/>
        <v>-147.23213422118101</v>
      </c>
      <c r="AF438" s="32" t="str">
        <f t="shared" si="249"/>
        <v>-0.434440565864413</v>
      </c>
      <c r="AG438" s="32" t="str">
        <f t="shared" si="250"/>
        <v>25.9908435890369i</v>
      </c>
      <c r="AH438" s="32">
        <f t="shared" si="264"/>
        <v>25.990843589036899</v>
      </c>
      <c r="AI438" s="32">
        <f t="shared" si="265"/>
        <v>1.5707963267948966</v>
      </c>
      <c r="AJ438" s="32" t="str">
        <f t="shared" si="251"/>
        <v>1+0.257335085039969i</v>
      </c>
      <c r="AK438" s="32">
        <f t="shared" si="266"/>
        <v>1.0325799465380527</v>
      </c>
      <c r="AL438" s="32">
        <f t="shared" si="267"/>
        <v>0.25187026904309301</v>
      </c>
      <c r="AM438" s="32" t="str">
        <f t="shared" si="252"/>
        <v>1+25.9908435890369i</v>
      </c>
      <c r="AN438" s="32">
        <f t="shared" si="268"/>
        <v>26.010074018921596</v>
      </c>
      <c r="AO438" s="32">
        <f t="shared" si="269"/>
        <v>1.5323402070367187</v>
      </c>
      <c r="AP438" s="60" t="str">
        <f t="shared" si="270"/>
        <v>-0.40342390043108+0.120530262822561i</v>
      </c>
      <c r="AQ438" s="51">
        <f t="shared" si="271"/>
        <v>-7.5134420673903266</v>
      </c>
      <c r="AR438" s="63">
        <f t="shared" si="272"/>
        <v>163.36552324041298</v>
      </c>
      <c r="AS438" s="60" t="str">
        <f t="shared" si="273"/>
        <v>0.043796201034567+0.0126687769517017i</v>
      </c>
      <c r="AT438" s="66">
        <f t="shared" si="274"/>
        <v>-26.822280042663706</v>
      </c>
      <c r="AU438" s="63">
        <f t="shared" si="275"/>
        <v>16.133389019231927</v>
      </c>
      <c r="AX438" s="32">
        <f t="shared" si="276"/>
        <v>0</v>
      </c>
      <c r="AY438" s="32">
        <f t="shared" si="277"/>
        <v>0</v>
      </c>
    </row>
    <row r="439" spans="14:51" x14ac:dyDescent="0.3">
      <c r="N439" s="11">
        <v>21</v>
      </c>
      <c r="O439" s="52">
        <f t="shared" si="278"/>
        <v>162181.00973589328</v>
      </c>
      <c r="P439" s="50" t="str">
        <f t="shared" si="244"/>
        <v>131.578947368421</v>
      </c>
      <c r="Q439" s="18" t="str">
        <f t="shared" si="245"/>
        <v>1+1528.52000621416i</v>
      </c>
      <c r="R439" s="18">
        <f t="shared" si="253"/>
        <v>1528.5203333279333</v>
      </c>
      <c r="S439" s="18">
        <f t="shared" si="254"/>
        <v>1.5701420992720228</v>
      </c>
      <c r="T439" s="18" t="str">
        <f t="shared" si="246"/>
        <v>1+0.00336274401367116i</v>
      </c>
      <c r="U439" s="18">
        <f t="shared" si="255"/>
        <v>1.0000056540076667</v>
      </c>
      <c r="V439" s="18">
        <f t="shared" si="256"/>
        <v>3.3627313384010362E-3</v>
      </c>
      <c r="W439" s="32" t="str">
        <f t="shared" si="247"/>
        <v>1-0.815210669980888i</v>
      </c>
      <c r="X439" s="18">
        <f t="shared" si="257"/>
        <v>1.290181551740176</v>
      </c>
      <c r="Y439" s="18">
        <f t="shared" si="258"/>
        <v>-0.68394717023374241</v>
      </c>
      <c r="Z439" s="32" t="str">
        <f t="shared" si="248"/>
        <v>0.98316628485187+0.345034340584016i</v>
      </c>
      <c r="AA439" s="18">
        <f t="shared" si="259"/>
        <v>1.0419523212948254</v>
      </c>
      <c r="AB439" s="18">
        <f t="shared" si="260"/>
        <v>0.33751376940293237</v>
      </c>
      <c r="AC439" s="68" t="str">
        <f t="shared" si="261"/>
        <v>-0.0906841775187002-0.0560180845670803i</v>
      </c>
      <c r="AD439" s="66">
        <f t="shared" si="262"/>
        <v>-19.445587520625502</v>
      </c>
      <c r="AE439" s="63">
        <f t="shared" si="263"/>
        <v>-148.29524598942004</v>
      </c>
      <c r="AF439" s="32" t="str">
        <f t="shared" si="249"/>
        <v>-0.434440565864413</v>
      </c>
      <c r="AG439" s="32" t="str">
        <f t="shared" si="250"/>
        <v>26.5962481081265i</v>
      </c>
      <c r="AH439" s="32">
        <f t="shared" si="264"/>
        <v>26.596248108126499</v>
      </c>
      <c r="AI439" s="32">
        <f t="shared" si="265"/>
        <v>1.5707963267948966</v>
      </c>
      <c r="AJ439" s="32" t="str">
        <f t="shared" si="251"/>
        <v>1+0.263329189189371i</v>
      </c>
      <c r="AK439" s="32">
        <f t="shared" si="266"/>
        <v>1.0340900646844702</v>
      </c>
      <c r="AL439" s="32">
        <f t="shared" si="267"/>
        <v>0.25748390846852259</v>
      </c>
      <c r="AM439" s="32" t="str">
        <f t="shared" si="252"/>
        <v>1+26.5962481081265i</v>
      </c>
      <c r="AN439" s="32">
        <f t="shared" si="268"/>
        <v>26.615041112668273</v>
      </c>
      <c r="AO439" s="32">
        <f t="shared" si="269"/>
        <v>1.5332147416121598</v>
      </c>
      <c r="AP439" s="60" t="str">
        <f t="shared" si="270"/>
        <v>-0.402246492500266+0.122257898804356i</v>
      </c>
      <c r="AQ439" s="51">
        <f t="shared" si="271"/>
        <v>-7.5264245833413126</v>
      </c>
      <c r="AR439" s="63">
        <f t="shared" si="272"/>
        <v>163.09399253383873</v>
      </c>
      <c r="AS439" s="60" t="str">
        <f t="shared" si="273"/>
        <v>0.0433260456463846+0.0114462210354538i</v>
      </c>
      <c r="AT439" s="66">
        <f t="shared" si="274"/>
        <v>-26.972012103966815</v>
      </c>
      <c r="AU439" s="63">
        <f t="shared" si="275"/>
        <v>14.798746544418638</v>
      </c>
      <c r="AX439" s="32">
        <f t="shared" si="276"/>
        <v>0</v>
      </c>
      <c r="AY439" s="32">
        <f t="shared" si="277"/>
        <v>0</v>
      </c>
    </row>
    <row r="440" spans="14:51" x14ac:dyDescent="0.3">
      <c r="N440" s="11">
        <v>22</v>
      </c>
      <c r="O440" s="52">
        <f t="shared" si="278"/>
        <v>165958.69074375604</v>
      </c>
      <c r="P440" s="50" t="str">
        <f t="shared" si="244"/>
        <v>131.578947368421</v>
      </c>
      <c r="Q440" s="18" t="str">
        <f t="shared" si="245"/>
        <v>1+1564.12381091989i</v>
      </c>
      <c r="R440" s="18">
        <f t="shared" si="253"/>
        <v>1564.1241305876461</v>
      </c>
      <c r="S440" s="18">
        <f t="shared" si="254"/>
        <v>1.5701569913044651</v>
      </c>
      <c r="T440" s="18" t="str">
        <f t="shared" si="246"/>
        <v>1+0.00344107238402377i</v>
      </c>
      <c r="U440" s="18">
        <f t="shared" si="255"/>
        <v>1.0000059204720499</v>
      </c>
      <c r="V440" s="18">
        <f t="shared" si="256"/>
        <v>3.4410588022314764E-3</v>
      </c>
      <c r="W440" s="32" t="str">
        <f t="shared" si="247"/>
        <v>1-0.834199365823944i</v>
      </c>
      <c r="X440" s="18">
        <f t="shared" si="257"/>
        <v>1.3022628697544403</v>
      </c>
      <c r="Y440" s="18">
        <f t="shared" si="258"/>
        <v>-0.69524915969995194</v>
      </c>
      <c r="Z440" s="32" t="str">
        <f t="shared" si="248"/>
        <v>0.982372936298636+0.353071222815836i</v>
      </c>
      <c r="AA440" s="18">
        <f t="shared" si="259"/>
        <v>1.043894570515947</v>
      </c>
      <c r="AB440" s="18">
        <f t="shared" si="260"/>
        <v>0.34503007769202432</v>
      </c>
      <c r="AC440" s="68" t="str">
        <f t="shared" si="261"/>
        <v>-0.0903020111552783-0.0534686815069051i</v>
      </c>
      <c r="AD440" s="66">
        <f t="shared" si="262"/>
        <v>-19.580804357835802</v>
      </c>
      <c r="AE440" s="63">
        <f t="shared" si="263"/>
        <v>-149.36982044592941</v>
      </c>
      <c r="AF440" s="32" t="str">
        <f t="shared" si="249"/>
        <v>-0.434440565864413</v>
      </c>
      <c r="AG440" s="32" t="str">
        <f t="shared" si="250"/>
        <v>27.2157543100062i</v>
      </c>
      <c r="AH440" s="32">
        <f t="shared" si="264"/>
        <v>27.215754310006201</v>
      </c>
      <c r="AI440" s="32">
        <f t="shared" si="265"/>
        <v>1.5707963267948966</v>
      </c>
      <c r="AJ440" s="32" t="str">
        <f t="shared" si="251"/>
        <v>1+0.269462913960457i</v>
      </c>
      <c r="AK440" s="32">
        <f t="shared" si="266"/>
        <v>1.0356689924874938</v>
      </c>
      <c r="AL440" s="32">
        <f t="shared" si="267"/>
        <v>0.26321117401203137</v>
      </c>
      <c r="AM440" s="32" t="str">
        <f t="shared" si="252"/>
        <v>1+27.2157543100062i</v>
      </c>
      <c r="AN440" s="32">
        <f t="shared" si="268"/>
        <v>27.234119825370176</v>
      </c>
      <c r="AO440" s="32">
        <f t="shared" si="269"/>
        <v>1.5340694249275555</v>
      </c>
      <c r="AP440" s="60" t="str">
        <f t="shared" si="270"/>
        <v>-0.40102093869689+0.124023104613303i</v>
      </c>
      <c r="AQ440" s="51">
        <f t="shared" si="271"/>
        <v>-7.5399526977459868</v>
      </c>
      <c r="AR440" s="63">
        <f t="shared" si="272"/>
        <v>162.81481413683733</v>
      </c>
      <c r="AS440" s="60" t="str">
        <f t="shared" si="273"/>
        <v>0.042844349159773+0.0102425250724814i</v>
      </c>
      <c r="AT440" s="66">
        <f t="shared" si="274"/>
        <v>-27.120757055581791</v>
      </c>
      <c r="AU440" s="63">
        <f t="shared" si="275"/>
        <v>13.444993690907916</v>
      </c>
      <c r="AX440" s="32">
        <f t="shared" si="276"/>
        <v>0</v>
      </c>
      <c r="AY440" s="32">
        <f t="shared" si="277"/>
        <v>0</v>
      </c>
    </row>
    <row r="441" spans="14:51" x14ac:dyDescent="0.3">
      <c r="N441" s="11">
        <v>23</v>
      </c>
      <c r="O441" s="52">
        <f t="shared" si="278"/>
        <v>169824.36524617471</v>
      </c>
      <c r="P441" s="50" t="str">
        <f t="shared" si="244"/>
        <v>131.578947368421</v>
      </c>
      <c r="Q441" s="18" t="str">
        <f t="shared" si="245"/>
        <v>1+1600.55693477379i</v>
      </c>
      <c r="R441" s="18">
        <f t="shared" si="253"/>
        <v>1600.5572471650212</v>
      </c>
      <c r="S441" s="18">
        <f t="shared" si="254"/>
        <v>1.5701715443531377</v>
      </c>
      <c r="T441" s="18" t="str">
        <f t="shared" si="246"/>
        <v>1+0.00352122525650234i</v>
      </c>
      <c r="U441" s="18">
        <f t="shared" si="255"/>
        <v>1.0000061994944367</v>
      </c>
      <c r="V441" s="18">
        <f t="shared" si="256"/>
        <v>3.5212107033545702E-3</v>
      </c>
      <c r="W441" s="32" t="str">
        <f t="shared" si="247"/>
        <v>1-0.853630365212688i</v>
      </c>
      <c r="X441" s="18">
        <f t="shared" si="257"/>
        <v>1.314794584873678</v>
      </c>
      <c r="Y441" s="18">
        <f t="shared" si="258"/>
        <v>-0.70659790621551166</v>
      </c>
      <c r="Z441" s="32" t="str">
        <f t="shared" si="248"/>
        <v>0.98154219837999+0.36129530808344i</v>
      </c>
      <c r="AA441" s="18">
        <f t="shared" si="259"/>
        <v>1.0459251344354106</v>
      </c>
      <c r="AB441" s="18">
        <f t="shared" si="260"/>
        <v>0.35269836652345515</v>
      </c>
      <c r="AC441" s="68" t="str">
        <f t="shared" si="261"/>
        <v>-0.089904543106148-0.0509574341817458i</v>
      </c>
      <c r="AD441" s="66">
        <f t="shared" si="262"/>
        <v>-19.714496098225844</v>
      </c>
      <c r="AE441" s="63">
        <f t="shared" si="263"/>
        <v>-150.4556577727767</v>
      </c>
      <c r="AF441" s="32" t="str">
        <f t="shared" si="249"/>
        <v>-0.434440565864413</v>
      </c>
      <c r="AG441" s="32" t="str">
        <f t="shared" si="250"/>
        <v>27.849690665064i</v>
      </c>
      <c r="AH441" s="32">
        <f t="shared" si="264"/>
        <v>27.849690665063999</v>
      </c>
      <c r="AI441" s="32">
        <f t="shared" si="265"/>
        <v>1.5707963267948966</v>
      </c>
      <c r="AJ441" s="32" t="str">
        <f t="shared" si="251"/>
        <v>1+0.275739511535287i</v>
      </c>
      <c r="AK441" s="32">
        <f t="shared" si="266"/>
        <v>1.0373197569803241</v>
      </c>
      <c r="AL441" s="32">
        <f t="shared" si="267"/>
        <v>0.26905359882242763</v>
      </c>
      <c r="AM441" s="32" t="str">
        <f t="shared" si="252"/>
        <v>1+27.849690665064i</v>
      </c>
      <c r="AN441" s="32">
        <f t="shared" si="268"/>
        <v>27.867638402630259</v>
      </c>
      <c r="AO441" s="32">
        <f t="shared" si="269"/>
        <v>1.5349047051498039</v>
      </c>
      <c r="AP441" s="60" t="str">
        <f t="shared" si="270"/>
        <v>-0.399745605061255+0.125825133329572i</v>
      </c>
      <c r="AQ441" s="51">
        <f t="shared" si="271"/>
        <v>-7.5540497585213506</v>
      </c>
      <c r="AR441" s="63">
        <f t="shared" si="272"/>
        <v>162.52792588452462</v>
      </c>
      <c r="AS441" s="60" t="str">
        <f t="shared" si="273"/>
        <v>0.0423506719317739+0.00905775923608573i</v>
      </c>
      <c r="AT441" s="66">
        <f t="shared" si="274"/>
        <v>-27.268545856747188</v>
      </c>
      <c r="AU441" s="63">
        <f t="shared" si="275"/>
        <v>12.072268111747917</v>
      </c>
      <c r="AX441" s="32">
        <f t="shared" si="276"/>
        <v>0</v>
      </c>
      <c r="AY441" s="32">
        <f t="shared" si="277"/>
        <v>0</v>
      </c>
    </row>
    <row r="442" spans="14:51" x14ac:dyDescent="0.3">
      <c r="N442" s="11">
        <v>24</v>
      </c>
      <c r="O442" s="52">
        <f t="shared" si="278"/>
        <v>173780.0828749378</v>
      </c>
      <c r="P442" s="50" t="str">
        <f t="shared" si="244"/>
        <v>131.578947368421</v>
      </c>
      <c r="Q442" s="18" t="str">
        <f t="shared" si="245"/>
        <v>1+1637.83869510039i</v>
      </c>
      <c r="R442" s="18">
        <f t="shared" si="253"/>
        <v>1637.8390003807297</v>
      </c>
      <c r="S442" s="18">
        <f t="shared" si="254"/>
        <v>1.5701857661342344</v>
      </c>
      <c r="T442" s="18" t="str">
        <f t="shared" si="246"/>
        <v>1+0.00360324512922086i</v>
      </c>
      <c r="U442" s="18">
        <f t="shared" si="255"/>
        <v>1.0000064916666598</v>
      </c>
      <c r="V442" s="18">
        <f t="shared" si="256"/>
        <v>3.6032295352475398E-3</v>
      </c>
      <c r="W442" s="32" t="str">
        <f t="shared" si="247"/>
        <v>1-0.873513970720208i</v>
      </c>
      <c r="X442" s="18">
        <f t="shared" si="257"/>
        <v>1.3277901404376311</v>
      </c>
      <c r="Y442" s="18">
        <f t="shared" si="258"/>
        <v>-0.71798773464179633</v>
      </c>
      <c r="Z442" s="32" t="str">
        <f t="shared" si="248"/>
        <v>0.980672308989427+0.369710956905702i</v>
      </c>
      <c r="AA442" s="18">
        <f t="shared" si="259"/>
        <v>1.0480478850104054</v>
      </c>
      <c r="AB442" s="18">
        <f t="shared" si="260"/>
        <v>0.36052070571972883</v>
      </c>
      <c r="AC442" s="68" t="str">
        <f t="shared" si="261"/>
        <v>-0.089491310866761-0.0484835956732457i</v>
      </c>
      <c r="AD442" s="66">
        <f t="shared" si="262"/>
        <v>-19.846673355996124</v>
      </c>
      <c r="AE442" s="63">
        <f t="shared" si="263"/>
        <v>-151.55254940797278</v>
      </c>
      <c r="AF442" s="32" t="str">
        <f t="shared" si="249"/>
        <v>-0.434440565864413</v>
      </c>
      <c r="AG442" s="32" t="str">
        <f t="shared" si="250"/>
        <v>28.4983932947468i</v>
      </c>
      <c r="AH442" s="32">
        <f t="shared" si="264"/>
        <v>28.498393294746801</v>
      </c>
      <c r="AI442" s="32">
        <f t="shared" si="265"/>
        <v>1.5707963267948966</v>
      </c>
      <c r="AJ442" s="32" t="str">
        <f t="shared" si="251"/>
        <v>1+0.282162309848978i</v>
      </c>
      <c r="AK442" s="32">
        <f t="shared" si="266"/>
        <v>1.0390455086757802</v>
      </c>
      <c r="AL442" s="32">
        <f t="shared" si="267"/>
        <v>0.27501268458736428</v>
      </c>
      <c r="AM442" s="32" t="str">
        <f t="shared" si="252"/>
        <v>1+28.4983932947468i</v>
      </c>
      <c r="AN442" s="32">
        <f t="shared" si="268"/>
        <v>28.515932746134563</v>
      </c>
      <c r="AO442" s="32">
        <f t="shared" si="269"/>
        <v>1.5357210204907201</v>
      </c>
      <c r="AP442" s="60" t="str">
        <f t="shared" si="270"/>
        <v>-0.398418832068189+0.127663165982386i</v>
      </c>
      <c r="AQ442" s="51">
        <f t="shared" si="271"/>
        <v>-7.5687398532575845</v>
      </c>
      <c r="AR442" s="63">
        <f t="shared" si="272"/>
        <v>162.23326684422352</v>
      </c>
      <c r="AS442" s="60" t="str">
        <f t="shared" si="273"/>
        <v>0.0418445928776426+0.00789203348943624i</v>
      </c>
      <c r="AT442" s="66">
        <f t="shared" si="274"/>
        <v>-27.41541320925371</v>
      </c>
      <c r="AU442" s="63">
        <f t="shared" si="275"/>
        <v>10.680717436250772</v>
      </c>
      <c r="AX442" s="32">
        <f t="shared" si="276"/>
        <v>0</v>
      </c>
      <c r="AY442" s="32">
        <f t="shared" si="277"/>
        <v>0</v>
      </c>
    </row>
    <row r="443" spans="14:51" x14ac:dyDescent="0.3">
      <c r="N443" s="11">
        <v>25</v>
      </c>
      <c r="O443" s="52">
        <f t="shared" si="278"/>
        <v>177827.94100389251</v>
      </c>
      <c r="P443" s="50" t="str">
        <f t="shared" si="244"/>
        <v>131.578947368421</v>
      </c>
      <c r="Q443" s="18" t="str">
        <f t="shared" si="245"/>
        <v>1+1675.98885918249i</v>
      </c>
      <c r="R443" s="18">
        <f t="shared" si="253"/>
        <v>1675.9891575138022</v>
      </c>
      <c r="S443" s="18">
        <f t="shared" si="254"/>
        <v>1.5701996641883091</v>
      </c>
      <c r="T443" s="18" t="str">
        <f t="shared" si="246"/>
        <v>1+0.00368717549020148i</v>
      </c>
      <c r="U443" s="18">
        <f t="shared" si="255"/>
        <v>1.0000067976084441</v>
      </c>
      <c r="V443" s="18">
        <f t="shared" si="256"/>
        <v>3.6871587809641569E-3</v>
      </c>
      <c r="W443" s="32" t="str">
        <f t="shared" si="247"/>
        <v>1-0.893860724897328i</v>
      </c>
      <c r="X443" s="18">
        <f t="shared" si="257"/>
        <v>1.3412632088870464</v>
      </c>
      <c r="Y443" s="18">
        <f t="shared" si="258"/>
        <v>-0.72941286423961627</v>
      </c>
      <c r="Z443" s="32" t="str">
        <f t="shared" si="248"/>
        <v>0.979761422974922+0.378322631371018i</v>
      </c>
      <c r="AA443" s="18">
        <f t="shared" si="259"/>
        <v>1.0502668514988631</v>
      </c>
      <c r="AB443" s="18">
        <f t="shared" si="260"/>
        <v>0.36849912801455448</v>
      </c>
      <c r="AC443" s="68" t="str">
        <f t="shared" si="261"/>
        <v>-0.0890618489152323-0.0460464684348741i</v>
      </c>
      <c r="AD443" s="66">
        <f t="shared" si="262"/>
        <v>-19.977349827713532</v>
      </c>
      <c r="AE443" s="63">
        <f t="shared" si="263"/>
        <v>-152.66027854726943</v>
      </c>
      <c r="AF443" s="32" t="str">
        <f t="shared" si="249"/>
        <v>-0.434440565864413</v>
      </c>
      <c r="AG443" s="32" t="str">
        <f t="shared" si="250"/>
        <v>29.1622061497753i</v>
      </c>
      <c r="AH443" s="32">
        <f t="shared" si="264"/>
        <v>29.162206149775301</v>
      </c>
      <c r="AI443" s="32">
        <f t="shared" si="265"/>
        <v>1.5707963267948966</v>
      </c>
      <c r="AJ443" s="32" t="str">
        <f t="shared" si="251"/>
        <v>1+0.288734714354211i</v>
      </c>
      <c r="AK443" s="32">
        <f t="shared" si="266"/>
        <v>1.040849525759227</v>
      </c>
      <c r="AL443" s="32">
        <f t="shared" si="267"/>
        <v>0.28108989733061734</v>
      </c>
      <c r="AM443" s="32" t="str">
        <f t="shared" si="252"/>
        <v>1+29.1622061497753i</v>
      </c>
      <c r="AN443" s="32">
        <f t="shared" si="268"/>
        <v>29.179346591758911</v>
      </c>
      <c r="AO443" s="32">
        <f t="shared" si="269"/>
        <v>1.536518799417268</v>
      </c>
      <c r="AP443" s="60" t="str">
        <f t="shared" si="270"/>
        <v>-0.397038937120189+0.129536307499002i</v>
      </c>
      <c r="AQ443" s="51">
        <f t="shared" si="271"/>
        <v>-7.5840478216998211</v>
      </c>
      <c r="AR443" s="63">
        <f t="shared" si="272"/>
        <v>161.93077756830772</v>
      </c>
      <c r="AS443" s="60" t="str">
        <f t="shared" si="273"/>
        <v>0.0413257113256856+0.00674549783800756i</v>
      </c>
      <c r="AT443" s="66">
        <f t="shared" si="274"/>
        <v>-27.561397649413358</v>
      </c>
      <c r="AU443" s="63">
        <f t="shared" si="275"/>
        <v>9.2704990210383222</v>
      </c>
      <c r="AX443" s="32">
        <f t="shared" si="276"/>
        <v>0</v>
      </c>
      <c r="AY443" s="32">
        <f t="shared" si="277"/>
        <v>0</v>
      </c>
    </row>
    <row r="444" spans="14:51" x14ac:dyDescent="0.3">
      <c r="N444" s="11">
        <v>26</v>
      </c>
      <c r="O444" s="52">
        <f t="shared" si="278"/>
        <v>181970.08586099857</v>
      </c>
      <c r="P444" s="50" t="str">
        <f t="shared" si="244"/>
        <v>131.578947368421</v>
      </c>
      <c r="Q444" s="18" t="str">
        <f t="shared" si="245"/>
        <v>1+1715.02765474204i</v>
      </c>
      <c r="R444" s="18">
        <f t="shared" si="253"/>
        <v>1715.0279462825038</v>
      </c>
      <c r="S444" s="18">
        <f t="shared" si="254"/>
        <v>1.5702132458842726</v>
      </c>
      <c r="T444" s="18" t="str">
        <f t="shared" si="246"/>
        <v>1+0.0037730608404325i</v>
      </c>
      <c r="U444" s="18">
        <f t="shared" si="255"/>
        <v>1.00000711796872</v>
      </c>
      <c r="V444" s="18">
        <f t="shared" si="256"/>
        <v>3.7730429361690155E-3</v>
      </c>
      <c r="W444" s="32" t="str">
        <f t="shared" si="247"/>
        <v>1-0.914681415862424i</v>
      </c>
      <c r="X444" s="18">
        <f t="shared" si="257"/>
        <v>1.3552276902882736</v>
      </c>
      <c r="Y444" s="18">
        <f t="shared" si="258"/>
        <v>-0.74086742279276108</v>
      </c>
      <c r="Z444" s="32" t="str">
        <f t="shared" si="248"/>
        <v>0.978807608225114+0.387134897503175i</v>
      </c>
      <c r="AA444" s="18">
        <f t="shared" si="259"/>
        <v>1.0525862258191307</v>
      </c>
      <c r="AB444" s="18">
        <f t="shared" si="260"/>
        <v>0.37663562414848073</v>
      </c>
      <c r="AC444" s="68" t="str">
        <f t="shared" si="261"/>
        <v>-0.0886156898659415-0.0436454048384573i</v>
      </c>
      <c r="AD444" s="66">
        <f t="shared" si="262"/>
        <v>-20.106542361845055</v>
      </c>
      <c r="AE444" s="63">
        <f t="shared" si="263"/>
        <v>-153.77862067128561</v>
      </c>
      <c r="AF444" s="32" t="str">
        <f t="shared" si="249"/>
        <v>-0.434440565864413</v>
      </c>
      <c r="AG444" s="32" t="str">
        <f t="shared" si="250"/>
        <v>29.8414811925116i</v>
      </c>
      <c r="AH444" s="32">
        <f t="shared" si="264"/>
        <v>29.841481192511601</v>
      </c>
      <c r="AI444" s="32">
        <f t="shared" si="265"/>
        <v>1.5707963267948966</v>
      </c>
      <c r="AJ444" s="32" t="str">
        <f t="shared" si="251"/>
        <v>1+0.295460209826848i</v>
      </c>
      <c r="AK444" s="32">
        <f t="shared" si="266"/>
        <v>1.0427352183516796</v>
      </c>
      <c r="AL444" s="32">
        <f t="shared" si="267"/>
        <v>0.28728666299708594</v>
      </c>
      <c r="AM444" s="32" t="str">
        <f t="shared" si="252"/>
        <v>1+29.8414811925116i</v>
      </c>
      <c r="AN444" s="32">
        <f t="shared" si="268"/>
        <v>29.858231691830373</v>
      </c>
      <c r="AO444" s="32">
        <f t="shared" si="269"/>
        <v>1.5372984608580942</v>
      </c>
      <c r="AP444" s="60" t="str">
        <f t="shared" si="270"/>
        <v>-0.395604217361518+0.131443582625406i</v>
      </c>
      <c r="AQ444" s="51">
        <f t="shared" si="271"/>
        <v>-7.5999992669458241</v>
      </c>
      <c r="AR444" s="63">
        <f t="shared" si="272"/>
        <v>161.62040035899594</v>
      </c>
      <c r="AS444" s="60" t="str">
        <f t="shared" si="273"/>
        <v>0.0407936490124698+0.00561834246974328i</v>
      </c>
      <c r="AT444" s="66">
        <f t="shared" si="274"/>
        <v>-27.706541628790887</v>
      </c>
      <c r="AU444" s="63">
        <f t="shared" si="275"/>
        <v>7.841779687710372</v>
      </c>
      <c r="AX444" s="32">
        <f t="shared" si="276"/>
        <v>0</v>
      </c>
      <c r="AY444" s="32">
        <f t="shared" si="277"/>
        <v>0</v>
      </c>
    </row>
    <row r="445" spans="14:51" x14ac:dyDescent="0.3">
      <c r="N445" s="11">
        <v>27</v>
      </c>
      <c r="O445" s="52">
        <f t="shared" si="278"/>
        <v>186208.71366628664</v>
      </c>
      <c r="P445" s="50" t="str">
        <f t="shared" si="244"/>
        <v>131.578947368421</v>
      </c>
      <c r="Q445" s="18" t="str">
        <f t="shared" si="245"/>
        <v>1+1754.97578066523i</v>
      </c>
      <c r="R445" s="18">
        <f t="shared" si="253"/>
        <v>1754.9760655694236</v>
      </c>
      <c r="S445" s="18">
        <f t="shared" si="254"/>
        <v>1.5702265184232997</v>
      </c>
      <c r="T445" s="18" t="str">
        <f t="shared" si="246"/>
        <v>1+0.00386094671746351i</v>
      </c>
      <c r="U445" s="18">
        <f t="shared" si="255"/>
        <v>1.0000074534270007</v>
      </c>
      <c r="V445" s="18">
        <f t="shared" si="256"/>
        <v>3.860927532707263E-3</v>
      </c>
      <c r="W445" s="32" t="str">
        <f t="shared" si="247"/>
        <v>1-0.935987083021456i</v>
      </c>
      <c r="X445" s="18">
        <f t="shared" si="257"/>
        <v>1.3696977110234996</v>
      </c>
      <c r="Y445" s="18">
        <f t="shared" si="258"/>
        <v>-0.75234546130345481</v>
      </c>
      <c r="Z445" s="32" t="str">
        <f t="shared" si="248"/>
        <v>0.977808841571038+0.396152427682327i</v>
      </c>
      <c r="AA445" s="18">
        <f t="shared" si="259"/>
        <v>1.055010368012133</v>
      </c>
      <c r="AB445" s="18">
        <f t="shared" si="260"/>
        <v>0.38493213775801538</v>
      </c>
      <c r="AC445" s="68" t="str">
        <f t="shared" si="261"/>
        <v>-0.088152365732323-0.0412798077103983i</v>
      </c>
      <c r="AD445" s="66">
        <f t="shared" si="262"/>
        <v>-20.23427101762794</v>
      </c>
      <c r="AE445" s="63">
        <f t="shared" si="263"/>
        <v>-154.9073440935401</v>
      </c>
      <c r="AF445" s="32" t="str">
        <f t="shared" si="249"/>
        <v>-0.434440565864413</v>
      </c>
      <c r="AG445" s="32" t="str">
        <f t="shared" si="250"/>
        <v>30.536578583575i</v>
      </c>
      <c r="AH445" s="32">
        <f t="shared" si="264"/>
        <v>30.536578583575</v>
      </c>
      <c r="AI445" s="32">
        <f t="shared" si="265"/>
        <v>1.5707963267948966</v>
      </c>
      <c r="AJ445" s="32" t="str">
        <f t="shared" si="251"/>
        <v>1+0.302342362213614i</v>
      </c>
      <c r="AK445" s="32">
        <f t="shared" si="266"/>
        <v>1.0447061328377987</v>
      </c>
      <c r="AL445" s="32">
        <f t="shared" si="267"/>
        <v>0.29360436282437963</v>
      </c>
      <c r="AM445" s="32" t="str">
        <f t="shared" si="252"/>
        <v>1+30.536578583575i</v>
      </c>
      <c r="AN445" s="32">
        <f t="shared" si="268"/>
        <v>30.55294800163891</v>
      </c>
      <c r="AO445" s="32">
        <f t="shared" si="269"/>
        <v>1.5380604144063739</v>
      </c>
      <c r="AP445" s="60" t="str">
        <f t="shared" si="270"/>
        <v>-0.394112952831148+0.133383931838081i</v>
      </c>
      <c r="AQ445" s="51">
        <f t="shared" si="271"/>
        <v>-7.6166205652078993</v>
      </c>
      <c r="AR445" s="63">
        <f t="shared" si="272"/>
        <v>161.30207954516288</v>
      </c>
      <c r="AS445" s="60" t="str">
        <f t="shared" si="273"/>
        <v>0.04024805221575+0.0045107977668413i</v>
      </c>
      <c r="AT445" s="66">
        <f t="shared" si="274"/>
        <v>-27.850891582835835</v>
      </c>
      <c r="AU445" s="63">
        <f t="shared" si="275"/>
        <v>6.3947354516227728</v>
      </c>
      <c r="AX445" s="32">
        <f t="shared" si="276"/>
        <v>0</v>
      </c>
      <c r="AY445" s="32">
        <f t="shared" si="277"/>
        <v>0</v>
      </c>
    </row>
    <row r="446" spans="14:51" x14ac:dyDescent="0.3">
      <c r="N446" s="11">
        <v>28</v>
      </c>
      <c r="O446" s="52">
        <f t="shared" si="278"/>
        <v>190546.07179632492</v>
      </c>
      <c r="P446" s="50" t="str">
        <f t="shared" si="244"/>
        <v>131.578947368421</v>
      </c>
      <c r="Q446" s="18" t="str">
        <f t="shared" si="245"/>
        <v>1+1795.85441797719i</v>
      </c>
      <c r="R446" s="18">
        <f t="shared" si="253"/>
        <v>1795.8546963961733</v>
      </c>
      <c r="S446" s="18">
        <f t="shared" si="254"/>
        <v>1.5702394888426476</v>
      </c>
      <c r="T446" s="18" t="str">
        <f t="shared" si="246"/>
        <v>1+0.00395087971954982i</v>
      </c>
      <c r="U446" s="18">
        <f t="shared" si="255"/>
        <v>1.0000078046948226</v>
      </c>
      <c r="V446" s="18">
        <f t="shared" si="256"/>
        <v>3.9508591627217997E-3</v>
      </c>
      <c r="W446" s="32" t="str">
        <f t="shared" si="247"/>
        <v>1-0.957789022921168i</v>
      </c>
      <c r="X446" s="18">
        <f t="shared" si="257"/>
        <v>1.3846876226890619</v>
      </c>
      <c r="Y446" s="18">
        <f t="shared" si="258"/>
        <v>-0.76384096917264843</v>
      </c>
      <c r="Z446" s="32" t="str">
        <f t="shared" si="248"/>
        <v>0.976763004494713+0.405380003122336i</v>
      </c>
      <c r="AA446" s="18">
        <f t="shared" si="259"/>
        <v>1.0575438118021419</v>
      </c>
      <c r="AB446" s="18">
        <f t="shared" si="260"/>
        <v>0.39339056006295603</v>
      </c>
      <c r="AC446" s="68" t="str">
        <f t="shared" si="261"/>
        <v>-0.0876714093025901-0.0389491308486708i</v>
      </c>
      <c r="AD446" s="66">
        <f t="shared" si="262"/>
        <v>-20.360559112631023</v>
      </c>
      <c r="AE446" s="63">
        <f t="shared" si="263"/>
        <v>-156.04621052465913</v>
      </c>
      <c r="AF446" s="32" t="str">
        <f t="shared" si="249"/>
        <v>-0.434440565864413</v>
      </c>
      <c r="AG446" s="32" t="str">
        <f t="shared" si="250"/>
        <v>31.2478668728031i</v>
      </c>
      <c r="AH446" s="32">
        <f t="shared" si="264"/>
        <v>31.247866872803101</v>
      </c>
      <c r="AI446" s="32">
        <f t="shared" si="265"/>
        <v>1.5707963267948966</v>
      </c>
      <c r="AJ446" s="32" t="str">
        <f t="shared" si="251"/>
        <v>1+0.309384820522803i</v>
      </c>
      <c r="AK446" s="32">
        <f t="shared" si="266"/>
        <v>1.0467659562528422</v>
      </c>
      <c r="AL446" s="32">
        <f t="shared" si="267"/>
        <v>0.30004432850094981</v>
      </c>
      <c r="AM446" s="32" t="str">
        <f t="shared" si="252"/>
        <v>1+31.2478668728031i</v>
      </c>
      <c r="AN446" s="32">
        <f t="shared" si="268"/>
        <v>31.263863870296408</v>
      </c>
      <c r="AO446" s="32">
        <f t="shared" si="269"/>
        <v>1.5388050605189825</v>
      </c>
      <c r="AP446" s="60" t="str">
        <f t="shared" si="270"/>
        <v>-0.39256340997196+0.13535620726863i</v>
      </c>
      <c r="AQ446" s="51">
        <f t="shared" si="271"/>
        <v>-7.6339388739797078</v>
      </c>
      <c r="AR446" s="63">
        <f t="shared" si="272"/>
        <v>160.97576177116969</v>
      </c>
      <c r="AS446" s="60" t="str">
        <f t="shared" si="273"/>
        <v>0.0396885940209579+0.00342313417230398i</v>
      </c>
      <c r="AT446" s="66">
        <f t="shared" si="274"/>
        <v>-27.994497986610725</v>
      </c>
      <c r="AU446" s="63">
        <f t="shared" si="275"/>
        <v>4.9295512465105276</v>
      </c>
      <c r="AX446" s="32">
        <f t="shared" si="276"/>
        <v>0</v>
      </c>
      <c r="AY446" s="32">
        <f t="shared" si="277"/>
        <v>0</v>
      </c>
    </row>
    <row r="447" spans="14:51" x14ac:dyDescent="0.3">
      <c r="N447" s="11">
        <v>29</v>
      </c>
      <c r="O447" s="52">
        <f t="shared" si="278"/>
        <v>194984.45997580473</v>
      </c>
      <c r="P447" s="50" t="str">
        <f t="shared" si="244"/>
        <v>131.578947368421</v>
      </c>
      <c r="Q447" s="18" t="str">
        <f t="shared" si="245"/>
        <v>1+1837.68524107248i</v>
      </c>
      <c r="R447" s="18">
        <f t="shared" si="253"/>
        <v>1837.6855131538746</v>
      </c>
      <c r="S447" s="18">
        <f t="shared" si="254"/>
        <v>1.5702521640193867</v>
      </c>
      <c r="T447" s="18" t="str">
        <f t="shared" si="246"/>
        <v>1+0.00404290753035946i</v>
      </c>
      <c r="U447" s="18">
        <f t="shared" si="255"/>
        <v>1.0000081725172545</v>
      </c>
      <c r="V447" s="18">
        <f t="shared" si="256"/>
        <v>4.0428855033311038E-3</v>
      </c>
      <c r="W447" s="32" t="str">
        <f t="shared" si="247"/>
        <v>1-0.980098795238656i</v>
      </c>
      <c r="X447" s="18">
        <f t="shared" si="257"/>
        <v>1.4002120012441919</v>
      </c>
      <c r="Y447" s="18">
        <f t="shared" si="258"/>
        <v>-0.775347889772522</v>
      </c>
      <c r="Z447" s="32" t="str">
        <f t="shared" si="248"/>
        <v>0.975667878635484+0.414822516405834i</v>
      </c>
      <c r="AA447" s="18">
        <f t="shared" si="259"/>
        <v>1.0601912702518983</v>
      </c>
      <c r="AB447" s="18">
        <f t="shared" si="260"/>
        <v>0.40201272435844654</v>
      </c>
      <c r="AC447" s="68" t="str">
        <f t="shared" si="261"/>
        <v>-0.0871723556316797-0.0366528795108616i</v>
      </c>
      <c r="AD447" s="66">
        <f t="shared" si="262"/>
        <v>-20.485433258432138</v>
      </c>
      <c r="AE447" s="63">
        <f t="shared" si="263"/>
        <v>-157.19497564783464</v>
      </c>
      <c r="AF447" s="32" t="str">
        <f t="shared" si="249"/>
        <v>-0.434440565864413</v>
      </c>
      <c r="AG447" s="32" t="str">
        <f t="shared" si="250"/>
        <v>31.9757231946612i</v>
      </c>
      <c r="AH447" s="32">
        <f t="shared" si="264"/>
        <v>31.975723194661199</v>
      </c>
      <c r="AI447" s="32">
        <f t="shared" si="265"/>
        <v>1.5707963267948966</v>
      </c>
      <c r="AJ447" s="32" t="str">
        <f t="shared" si="251"/>
        <v>1+0.316591318759022i</v>
      </c>
      <c r="AK447" s="32">
        <f t="shared" si="266"/>
        <v>1.0489185207219751</v>
      </c>
      <c r="AL447" s="32">
        <f t="shared" si="267"/>
        <v>0.3066078371119848</v>
      </c>
      <c r="AM447" s="32" t="str">
        <f t="shared" si="252"/>
        <v>1+31.9757231946612i</v>
      </c>
      <c r="AN447" s="32">
        <f t="shared" si="268"/>
        <v>31.99135623604592</v>
      </c>
      <c r="AO447" s="32">
        <f t="shared" si="269"/>
        <v>1.5395327907120195</v>
      </c>
      <c r="AP447" s="60" t="str">
        <f t="shared" si="270"/>
        <v>-0.390953845512926+0.137359168665608i</v>
      </c>
      <c r="AQ447" s="51">
        <f t="shared" si="271"/>
        <v>-7.6519821384404443</v>
      </c>
      <c r="AR447" s="63">
        <f t="shared" si="272"/>
        <v>160.64139629764489</v>
      </c>
      <c r="AS447" s="60" t="str">
        <f t="shared" si="273"/>
        <v>0.0391149767154382+0.00235566189370302i</v>
      </c>
      <c r="AT447" s="66">
        <f t="shared" si="274"/>
        <v>-28.137415396872576</v>
      </c>
      <c r="AU447" s="63">
        <f t="shared" si="275"/>
        <v>3.4464206498102503</v>
      </c>
      <c r="AX447" s="32">
        <f t="shared" si="276"/>
        <v>0</v>
      </c>
      <c r="AY447" s="32">
        <f t="shared" si="277"/>
        <v>0</v>
      </c>
    </row>
    <row r="448" spans="14:51" x14ac:dyDescent="0.3">
      <c r="N448" s="11">
        <v>30</v>
      </c>
      <c r="O448" s="52">
        <f t="shared" si="278"/>
        <v>199526.23149688813</v>
      </c>
      <c r="P448" s="50" t="str">
        <f t="shared" si="244"/>
        <v>131.578947368421</v>
      </c>
      <c r="Q448" s="18" t="str">
        <f t="shared" si="245"/>
        <v>1+1880.49042920724i</v>
      </c>
      <c r="R448" s="18">
        <f t="shared" si="253"/>
        <v>1880.4906950953066</v>
      </c>
      <c r="S448" s="18">
        <f t="shared" si="254"/>
        <v>1.5702645506740474</v>
      </c>
      <c r="T448" s="18" t="str">
        <f t="shared" si="246"/>
        <v>1+0.00413707894425593i</v>
      </c>
      <c r="U448" s="18">
        <f t="shared" si="255"/>
        <v>1.0000085576744786</v>
      </c>
      <c r="V448" s="18">
        <f t="shared" si="256"/>
        <v>4.1370553418807188E-3</v>
      </c>
      <c r="W448" s="32" t="str">
        <f t="shared" si="247"/>
        <v>1-1.00292822891053i</v>
      </c>
      <c r="X448" s="18">
        <f t="shared" si="257"/>
        <v>1.4162856464518774</v>
      </c>
      <c r="Y448" s="18">
        <f t="shared" si="258"/>
        <v>-0.78686013631391738</v>
      </c>
      <c r="Z448" s="32" t="str">
        <f t="shared" si="248"/>
        <v>0.974521141084576+0.424484974078359i</v>
      </c>
      <c r="AA448" s="18">
        <f t="shared" si="259"/>
        <v>1.0629576415074542</v>
      </c>
      <c r="AB448" s="18">
        <f t="shared" si="260"/>
        <v>0.4108004003201195</v>
      </c>
      <c r="AC448" s="68" t="str">
        <f t="shared" si="261"/>
        <v>-0.0866547436520908-0.0343906108627973i</v>
      </c>
      <c r="AD448" s="66">
        <f t="shared" si="262"/>
        <v>-20.608923383914714</v>
      </c>
      <c r="AE448" s="63">
        <f t="shared" si="263"/>
        <v>-158.35338970043128</v>
      </c>
      <c r="AF448" s="32" t="str">
        <f t="shared" si="249"/>
        <v>-0.434440565864413</v>
      </c>
      <c r="AG448" s="32" t="str">
        <f t="shared" si="250"/>
        <v>32.720533468206i</v>
      </c>
      <c r="AH448" s="32">
        <f t="shared" si="264"/>
        <v>32.720533468206</v>
      </c>
      <c r="AI448" s="32">
        <f t="shared" si="265"/>
        <v>1.5707963267948966</v>
      </c>
      <c r="AJ448" s="32" t="str">
        <f t="shared" si="251"/>
        <v>1+0.32396567790303i</v>
      </c>
      <c r="AK448" s="32">
        <f t="shared" si="266"/>
        <v>1.0511678079446543</v>
      </c>
      <c r="AL448" s="32">
        <f t="shared" si="267"/>
        <v>0.3132961058756859</v>
      </c>
      <c r="AM448" s="32" t="str">
        <f t="shared" si="252"/>
        <v>1+32.720533468206i</v>
      </c>
      <c r="AN448" s="32">
        <f t="shared" si="268"/>
        <v>32.735810826127235</v>
      </c>
      <c r="AO448" s="32">
        <f t="shared" si="269"/>
        <v>1.5402439877527065</v>
      </c>
      <c r="AP448" s="60" t="str">
        <f t="shared" si="270"/>
        <v>-0.389282510740029+0.13939147942055i</v>
      </c>
      <c r="AQ448" s="51">
        <f t="shared" si="271"/>
        <v>-7.6707790959215005</v>
      </c>
      <c r="AR448" s="63">
        <f t="shared" si="272"/>
        <v>160.29893531406927</v>
      </c>
      <c r="AS448" s="60" t="str">
        <f t="shared" si="273"/>
        <v>0.0385269343027613+0.0013087304260796i</v>
      </c>
      <c r="AT448" s="66">
        <f t="shared" si="274"/>
        <v>-28.2797024798362</v>
      </c>
      <c r="AU448" s="63">
        <f t="shared" si="275"/>
        <v>1.945545613637981</v>
      </c>
      <c r="AX448" s="32">
        <f t="shared" si="276"/>
        <v>0</v>
      </c>
      <c r="AY448" s="32">
        <f t="shared" si="277"/>
        <v>0</v>
      </c>
    </row>
    <row r="449" spans="14:51" x14ac:dyDescent="0.3">
      <c r="N449" s="11">
        <v>31</v>
      </c>
      <c r="O449" s="52">
        <f t="shared" si="278"/>
        <v>204173.79446695308</v>
      </c>
      <c r="P449" s="50" t="str">
        <f t="shared" si="244"/>
        <v>131.578947368421</v>
      </c>
      <c r="Q449" s="18" t="str">
        <f t="shared" si="245"/>
        <v>1+1924.29267825879i</v>
      </c>
      <c r="R449" s="18">
        <f t="shared" si="253"/>
        <v>1924.2929380945059</v>
      </c>
      <c r="S449" s="18">
        <f t="shared" si="254"/>
        <v>1.5702766553741825</v>
      </c>
      <c r="T449" s="18" t="str">
        <f t="shared" si="246"/>
        <v>1+0.00423344389216934i</v>
      </c>
      <c r="U449" s="18">
        <f t="shared" si="255"/>
        <v>1.0000089609834444</v>
      </c>
      <c r="V449" s="18">
        <f t="shared" si="256"/>
        <v>4.2334186017808917E-3</v>
      </c>
      <c r="W449" s="32" t="str">
        <f t="shared" si="247"/>
        <v>1-1.02628942840469i</v>
      </c>
      <c r="X449" s="18">
        <f t="shared" si="257"/>
        <v>1.4329235816522894</v>
      </c>
      <c r="Y449" s="18">
        <f t="shared" si="258"/>
        <v>-0.79837160790777761</v>
      </c>
      <c r="Z449" s="32" t="str">
        <f t="shared" si="248"/>
        <v>0.973320359457899+0.434372499302861i</v>
      </c>
      <c r="AA449" s="18">
        <f t="shared" si="259"/>
        <v>1.0658480146277272</v>
      </c>
      <c r="AB449" s="18">
        <f t="shared" si="260"/>
        <v>0.41975528813262114</v>
      </c>
      <c r="AC449" s="68" t="str">
        <f t="shared" si="261"/>
        <v>-0.0861181179056131-0.0321619343765455i</v>
      </c>
      <c r="AD449" s="66">
        <f t="shared" si="262"/>
        <v>-20.731062745767996</v>
      </c>
      <c r="AE449" s="63">
        <f t="shared" si="263"/>
        <v>-159.5211980565515</v>
      </c>
      <c r="AF449" s="32" t="str">
        <f t="shared" si="249"/>
        <v>-0.434440565864413</v>
      </c>
      <c r="AG449" s="32" t="str">
        <f t="shared" si="250"/>
        <v>33.482692601703i</v>
      </c>
      <c r="AH449" s="32">
        <f t="shared" si="264"/>
        <v>33.482692601703</v>
      </c>
      <c r="AI449" s="32">
        <f t="shared" si="265"/>
        <v>1.5707963267948966</v>
      </c>
      <c r="AJ449" s="32" t="str">
        <f t="shared" si="251"/>
        <v>1+0.331511807937653i</v>
      </c>
      <c r="AK449" s="32">
        <f t="shared" si="266"/>
        <v>1.0535179537160682</v>
      </c>
      <c r="AL449" s="32">
        <f t="shared" si="267"/>
        <v>0.32011028667396868</v>
      </c>
      <c r="AM449" s="32" t="str">
        <f t="shared" si="252"/>
        <v>1+33.482692601703i</v>
      </c>
      <c r="AN449" s="32">
        <f t="shared" si="268"/>
        <v>33.497622361298077</v>
      </c>
      <c r="AO449" s="32">
        <f t="shared" si="269"/>
        <v>1.5409390258476878</v>
      </c>
      <c r="AP449" s="60" t="str">
        <f t="shared" si="270"/>
        <v>-0.38754765617048+0.141451702687924i</v>
      </c>
      <c r="AQ449" s="51">
        <f t="shared" si="271"/>
        <v>-7.6903592782525196</v>
      </c>
      <c r="AR449" s="63">
        <f t="shared" si="272"/>
        <v>159.94833426293184</v>
      </c>
      <c r="AS449" s="60" t="str">
        <f t="shared" si="273"/>
        <v>0.037924235127433+0.000282727875510626i</v>
      </c>
      <c r="AT449" s="66">
        <f t="shared" si="274"/>
        <v>-28.421422024020522</v>
      </c>
      <c r="AU449" s="63">
        <f t="shared" si="275"/>
        <v>0.42713620638032351</v>
      </c>
      <c r="AX449" s="32">
        <f t="shared" si="276"/>
        <v>0</v>
      </c>
      <c r="AY449" s="32">
        <f t="shared" si="277"/>
        <v>0</v>
      </c>
    </row>
    <row r="450" spans="14:51" x14ac:dyDescent="0.3">
      <c r="N450" s="11">
        <v>32</v>
      </c>
      <c r="O450" s="52">
        <f t="shared" si="278"/>
        <v>208929.61308540447</v>
      </c>
      <c r="P450" s="50" t="str">
        <f t="shared" si="244"/>
        <v>131.578947368421</v>
      </c>
      <c r="Q450" s="18" t="str">
        <f t="shared" si="245"/>
        <v>1+1969.11521275939i</v>
      </c>
      <c r="R450" s="18">
        <f t="shared" si="253"/>
        <v>1969.1154666805242</v>
      </c>
      <c r="S450" s="18">
        <f t="shared" si="254"/>
        <v>1.5702884845378502</v>
      </c>
      <c r="T450" s="18" t="str">
        <f t="shared" si="246"/>
        <v>1+0.00433205346807067i</v>
      </c>
      <c r="U450" s="18">
        <f t="shared" si="255"/>
        <v>1.000009383299602</v>
      </c>
      <c r="V450" s="18">
        <f t="shared" si="256"/>
        <v>4.3320263689449433E-3</v>
      </c>
      <c r="W450" s="32" t="str">
        <f t="shared" si="247"/>
        <v>1-1.05019478013834i</v>
      </c>
      <c r="X450" s="18">
        <f t="shared" si="257"/>
        <v>1.4501410539081419</v>
      </c>
      <c r="Y450" s="18">
        <f t="shared" si="258"/>
        <v>-0.80987620571762498</v>
      </c>
      <c r="Z450" s="32" t="str">
        <f t="shared" si="248"/>
        <v>0.972062986736629+0.444490334576097i</v>
      </c>
      <c r="AA450" s="18">
        <f t="shared" si="259"/>
        <v>1.0688676754935134</v>
      </c>
      <c r="AB450" s="18">
        <f t="shared" si="260"/>
        <v>0.4288790124541646</v>
      </c>
      <c r="AC450" s="68" t="str">
        <f t="shared" si="261"/>
        <v>-0.0855620303971107-0.0299665121657876i</v>
      </c>
      <c r="AD450" s="66">
        <f t="shared" si="262"/>
        <v>-20.851887925866592</v>
      </c>
      <c r="AE450" s="63">
        <f t="shared" si="263"/>
        <v>-160.6981418053841</v>
      </c>
      <c r="AF450" s="32" t="str">
        <f t="shared" si="249"/>
        <v>-0.434440565864413</v>
      </c>
      <c r="AG450" s="32" t="str">
        <f t="shared" si="250"/>
        <v>34.2626047020135i</v>
      </c>
      <c r="AH450" s="32">
        <f t="shared" si="264"/>
        <v>34.262604702013498</v>
      </c>
      <c r="AI450" s="32">
        <f t="shared" si="265"/>
        <v>1.5707963267948966</v>
      </c>
      <c r="AJ450" s="32" t="str">
        <f t="shared" si="251"/>
        <v>1+0.339233709920926i</v>
      </c>
      <c r="AK450" s="32">
        <f t="shared" si="266"/>
        <v>1.0559732524769343</v>
      </c>
      <c r="AL450" s="32">
        <f t="shared" si="267"/>
        <v>0.32705146038343502</v>
      </c>
      <c r="AM450" s="32" t="str">
        <f t="shared" si="252"/>
        <v>1+34.2626047020135i</v>
      </c>
      <c r="AN450" s="32">
        <f t="shared" si="268"/>
        <v>34.277194765126822</v>
      </c>
      <c r="AO450" s="32">
        <f t="shared" si="269"/>
        <v>1.5416182708277641</v>
      </c>
      <c r="AP450" s="60" t="str">
        <f t="shared" si="270"/>
        <v>-0.385747536643137+0.143538297631525i</v>
      </c>
      <c r="AQ450" s="51">
        <f t="shared" si="271"/>
        <v>-7.7107530117989187</v>
      </c>
      <c r="AR450" s="63">
        <f t="shared" si="272"/>
        <v>159.58955217512602</v>
      </c>
      <c r="AS450" s="60" t="str">
        <f t="shared" si="273"/>
        <v>0.0373066845981022-0.000721919935358903i</v>
      </c>
      <c r="AT450" s="66">
        <f t="shared" si="274"/>
        <v>-28.56264093766551</v>
      </c>
      <c r="AU450" s="63">
        <f t="shared" si="275"/>
        <v>-1.1085896302581049</v>
      </c>
      <c r="AX450" s="32">
        <f t="shared" si="276"/>
        <v>0</v>
      </c>
      <c r="AY450" s="32">
        <f t="shared" si="277"/>
        <v>0</v>
      </c>
    </row>
    <row r="451" spans="14:51" x14ac:dyDescent="0.3">
      <c r="N451" s="11">
        <v>33</v>
      </c>
      <c r="O451" s="52">
        <f t="shared" si="278"/>
        <v>213796.20895022334</v>
      </c>
      <c r="P451" s="50" t="str">
        <f t="shared" si="244"/>
        <v>131.578947368421</v>
      </c>
      <c r="Q451" s="18" t="str">
        <f t="shared" si="245"/>
        <v>1+2014.98179821011i</v>
      </c>
      <c r="R451" s="18">
        <f t="shared" si="253"/>
        <v>2014.9820463512938</v>
      </c>
      <c r="S451" s="18">
        <f t="shared" si="254"/>
        <v>1.5703000444370165</v>
      </c>
      <c r="T451" s="18" t="str">
        <f t="shared" si="246"/>
        <v>1+0.00443295995606224i</v>
      </c>
      <c r="U451" s="18">
        <f t="shared" si="255"/>
        <v>1.0000098255187155</v>
      </c>
      <c r="V451" s="18">
        <f t="shared" si="256"/>
        <v>4.4329309188412781E-3</v>
      </c>
      <c r="W451" s="32" t="str">
        <f t="shared" si="247"/>
        <v>1-1.07465695904539i</v>
      </c>
      <c r="X451" s="18">
        <f t="shared" si="257"/>
        <v>1.4679535345591443</v>
      </c>
      <c r="Y451" s="18">
        <f t="shared" si="258"/>
        <v>-0.82136784909873495</v>
      </c>
      <c r="Z451" s="32" t="str">
        <f t="shared" si="248"/>
        <v>0.970746355864648+0.454843844508247i</v>
      </c>
      <c r="AA451" s="18">
        <f t="shared" si="259"/>
        <v>1.0720221127903733</v>
      </c>
      <c r="AB451" s="18">
        <f t="shared" si="260"/>
        <v>0.43817311623185223</v>
      </c>
      <c r="AC451" s="68" t="str">
        <f t="shared" si="261"/>
        <v>-0.0849860425706098-0.0278040592459161i</v>
      </c>
      <c r="AD451" s="66">
        <f t="shared" si="262"/>
        <v>-20.971438815293201</v>
      </c>
      <c r="AE451" s="63">
        <f t="shared" si="263"/>
        <v>-161.88395832020009</v>
      </c>
      <c r="AF451" s="32" t="str">
        <f t="shared" si="249"/>
        <v>-0.434440565864413</v>
      </c>
      <c r="AG451" s="32" t="str">
        <f t="shared" si="250"/>
        <v>35.0606832888559i</v>
      </c>
      <c r="AH451" s="32">
        <f t="shared" si="264"/>
        <v>35.060683288855898</v>
      </c>
      <c r="AI451" s="32">
        <f t="shared" si="265"/>
        <v>1.5707963267948966</v>
      </c>
      <c r="AJ451" s="32" t="str">
        <f t="shared" si="251"/>
        <v>1+0.347135478107485i</v>
      </c>
      <c r="AK451" s="32">
        <f t="shared" si="266"/>
        <v>1.0585381618821836</v>
      </c>
      <c r="AL451" s="32">
        <f t="shared" si="267"/>
        <v>0.3341206310141418</v>
      </c>
      <c r="AM451" s="32" t="str">
        <f t="shared" si="252"/>
        <v>1+35.0606832888559i</v>
      </c>
      <c r="AN451" s="32">
        <f t="shared" si="268"/>
        <v>35.074941378161412</v>
      </c>
      <c r="AO451" s="32">
        <f t="shared" si="269"/>
        <v>1.5422820803290933</v>
      </c>
      <c r="AP451" s="60" t="str">
        <f t="shared" si="270"/>
        <v>-0.383880416836183+0.145649615832626i</v>
      </c>
      <c r="AQ451" s="51">
        <f t="shared" si="271"/>
        <v>-7.731991414995905</v>
      </c>
      <c r="AR451" s="63">
        <f t="shared" si="272"/>
        <v>159.22255201615542</v>
      </c>
      <c r="AS451" s="60" t="str">
        <f t="shared" si="273"/>
        <v>0.0366741279950185-0.00170475059848432i</v>
      </c>
      <c r="AT451" s="66">
        <f t="shared" si="274"/>
        <v>-28.703430230289115</v>
      </c>
      <c r="AU451" s="63">
        <f t="shared" si="275"/>
        <v>-2.6614063040446787</v>
      </c>
      <c r="AX451" s="32">
        <f t="shared" si="276"/>
        <v>0</v>
      </c>
      <c r="AY451" s="32">
        <f t="shared" si="277"/>
        <v>0</v>
      </c>
    </row>
    <row r="452" spans="14:51" x14ac:dyDescent="0.3">
      <c r="N452" s="11">
        <v>34</v>
      </c>
      <c r="O452" s="52">
        <f t="shared" si="278"/>
        <v>218776.16239495538</v>
      </c>
      <c r="P452" s="50" t="str">
        <f t="shared" si="244"/>
        <v>131.578947368421</v>
      </c>
      <c r="Q452" s="18" t="str">
        <f t="shared" si="245"/>
        <v>1+2061.91675368168i</v>
      </c>
      <c r="R452" s="18">
        <f t="shared" si="253"/>
        <v>2061.9169961744815</v>
      </c>
      <c r="S452" s="18">
        <f t="shared" si="254"/>
        <v>1.5703113412008805</v>
      </c>
      <c r="T452" s="18" t="str">
        <f t="shared" si="246"/>
        <v>1+0.0045362168580997i</v>
      </c>
      <c r="U452" s="18">
        <f t="shared" si="255"/>
        <v>1.0000102885787645</v>
      </c>
      <c r="V452" s="18">
        <f t="shared" si="256"/>
        <v>4.5361857441741579E-3</v>
      </c>
      <c r="W452" s="32" t="str">
        <f t="shared" si="247"/>
        <v>1-1.0996889352969i</v>
      </c>
      <c r="X452" s="18">
        <f t="shared" si="257"/>
        <v>1.4863767202208291</v>
      </c>
      <c r="Y452" s="18">
        <f t="shared" si="258"/>
        <v>-0.8328404916200377</v>
      </c>
      <c r="Z452" s="32" t="str">
        <f t="shared" si="248"/>
        <v>0.969367674091351+0.465438518667326i</v>
      </c>
      <c r="AA452" s="18">
        <f t="shared" si="259"/>
        <v>1.0753170240596539</v>
      </c>
      <c r="AB452" s="18">
        <f t="shared" si="260"/>
        <v>0.44763905438514862</v>
      </c>
      <c r="AC452" s="68" t="str">
        <f t="shared" si="261"/>
        <v>-0.0843897274068797-0.0256743437054992i</v>
      </c>
      <c r="AD452" s="66">
        <f t="shared" si="262"/>
        <v>-21.089758584864228</v>
      </c>
      <c r="AE452" s="63">
        <f t="shared" si="263"/>
        <v>-163.07838181303441</v>
      </c>
      <c r="AF452" s="32" t="str">
        <f t="shared" si="249"/>
        <v>-0.434440565864413</v>
      </c>
      <c r="AG452" s="32" t="str">
        <f t="shared" si="250"/>
        <v>35.8773515140613i</v>
      </c>
      <c r="AH452" s="32">
        <f t="shared" si="264"/>
        <v>35.877351514061303</v>
      </c>
      <c r="AI452" s="32">
        <f t="shared" si="265"/>
        <v>1.5707963267948966</v>
      </c>
      <c r="AJ452" s="32" t="str">
        <f t="shared" si="251"/>
        <v>1+0.355221302119418i</v>
      </c>
      <c r="AK452" s="32">
        <f t="shared" si="266"/>
        <v>1.0612173073783779</v>
      </c>
      <c r="AL452" s="32">
        <f t="shared" si="267"/>
        <v>0.34131871966580535</v>
      </c>
      <c r="AM452" s="32" t="str">
        <f t="shared" si="252"/>
        <v>1+35.8773515140613i</v>
      </c>
      <c r="AN452" s="32">
        <f t="shared" si="268"/>
        <v>35.89128517709441</v>
      </c>
      <c r="AO452" s="32">
        <f t="shared" si="269"/>
        <v>1.5429308039708964</v>
      </c>
      <c r="AP452" s="60" t="str">
        <f t="shared" si="270"/>
        <v>-0.381944577220787+0.147783897898045i</v>
      </c>
      <c r="AQ452" s="51">
        <f t="shared" si="271"/>
        <v>-7.7541063931799403</v>
      </c>
      <c r="AR452" s="63">
        <f t="shared" si="272"/>
        <v>158.84730104259987</v>
      </c>
      <c r="AS452" s="60" t="str">
        <f t="shared" si="273"/>
        <v>0.0360264533449709-0.00266526650672409i</v>
      </c>
      <c r="AT452" s="66">
        <f t="shared" si="274"/>
        <v>-28.843864978044177</v>
      </c>
      <c r="AU452" s="63">
        <f t="shared" si="275"/>
        <v>-4.231080770434553</v>
      </c>
      <c r="AX452" s="32">
        <f t="shared" si="276"/>
        <v>0</v>
      </c>
      <c r="AY452" s="32">
        <f t="shared" si="277"/>
        <v>0</v>
      </c>
    </row>
    <row r="453" spans="14:51" x14ac:dyDescent="0.3">
      <c r="N453" s="11">
        <v>35</v>
      </c>
      <c r="O453" s="52">
        <f t="shared" si="278"/>
        <v>223872.11385683404</v>
      </c>
      <c r="P453" s="50" t="str">
        <f t="shared" si="244"/>
        <v>131.578947368421</v>
      </c>
      <c r="Q453" s="18" t="str">
        <f t="shared" si="245"/>
        <v>1+2109.94496470875i</v>
      </c>
      <c r="R453" s="18">
        <f t="shared" si="253"/>
        <v>2109.9452016817422</v>
      </c>
      <c r="S453" s="18">
        <f t="shared" si="254"/>
        <v>1.5703223808191242</v>
      </c>
      <c r="T453" s="18" t="str">
        <f t="shared" si="246"/>
        <v>1+0.00464187892235925i</v>
      </c>
      <c r="U453" s="18">
        <f t="shared" si="255"/>
        <v>1.0000107734619312</v>
      </c>
      <c r="V453" s="18">
        <f t="shared" si="256"/>
        <v>4.6418455832067688E-3</v>
      </c>
      <c r="W453" s="32" t="str">
        <f t="shared" si="247"/>
        <v>1-1.125303981178i</v>
      </c>
      <c r="X453" s="18">
        <f t="shared" si="257"/>
        <v>1.5054265342603259</v>
      </c>
      <c r="Y453" s="18">
        <f t="shared" si="258"/>
        <v>-0.84428813686603588</v>
      </c>
      <c r="Z453" s="32" t="str">
        <f t="shared" si="248"/>
        <v>0.967924017047854+0.476279974489811i</v>
      </c>
      <c r="AA453" s="18">
        <f t="shared" si="259"/>
        <v>1.0787583218117345</v>
      </c>
      <c r="AB453" s="18">
        <f t="shared" si="260"/>
        <v>0.45727818737725662</v>
      </c>
      <c r="AC453" s="68" t="str">
        <f t="shared" si="261"/>
        <v>-0.0837726716405245-0.0235771867752013i</v>
      </c>
      <c r="AD453" s="66">
        <f t="shared" si="262"/>
        <v>-21.206893642110572</v>
      </c>
      <c r="AE453" s="63">
        <f t="shared" si="263"/>
        <v>-164.28114387029839</v>
      </c>
      <c r="AF453" s="32" t="str">
        <f t="shared" si="249"/>
        <v>-0.434440565864413</v>
      </c>
      <c r="AG453" s="32" t="str">
        <f t="shared" si="250"/>
        <v>36.7130423859323i</v>
      </c>
      <c r="AH453" s="32">
        <f t="shared" si="264"/>
        <v>36.713042385932297</v>
      </c>
      <c r="AI453" s="32">
        <f t="shared" si="265"/>
        <v>1.5707963267948966</v>
      </c>
      <c r="AJ453" s="32" t="str">
        <f t="shared" si="251"/>
        <v>1+0.363495469167646i</v>
      </c>
      <c r="AK453" s="32">
        <f t="shared" si="266"/>
        <v>1.0640154867789318</v>
      </c>
      <c r="AL453" s="32">
        <f t="shared" si="267"/>
        <v>0.34864655831304975</v>
      </c>
      <c r="AM453" s="32" t="str">
        <f t="shared" si="252"/>
        <v>1+36.7130423859323i</v>
      </c>
      <c r="AN453" s="32">
        <f t="shared" si="268"/>
        <v>36.726658999033134</v>
      </c>
      <c r="AO453" s="32">
        <f t="shared" si="269"/>
        <v>1.5435647835297017</v>
      </c>
      <c r="AP453" s="60" t="str">
        <f t="shared" si="270"/>
        <v>-0.379938320456785+0.14993927030901i</v>
      </c>
      <c r="AQ453" s="51">
        <f t="shared" si="271"/>
        <v>-7.7771306305151331</v>
      </c>
      <c r="AR453" s="63">
        <f t="shared" si="272"/>
        <v>158.46377116817706</v>
      </c>
      <c r="AS453" s="60" t="str">
        <f t="shared" si="273"/>
        <v>0.0353635943442915-0.00360293651315064i</v>
      </c>
      <c r="AT453" s="66">
        <f t="shared" si="274"/>
        <v>-28.984024272625717</v>
      </c>
      <c r="AU453" s="63">
        <f t="shared" si="275"/>
        <v>-5.8173727021213386</v>
      </c>
      <c r="AX453" s="32">
        <f t="shared" si="276"/>
        <v>0</v>
      </c>
      <c r="AY453" s="32">
        <f t="shared" si="277"/>
        <v>0</v>
      </c>
    </row>
    <row r="454" spans="14:51" x14ac:dyDescent="0.3">
      <c r="N454" s="11">
        <v>36</v>
      </c>
      <c r="O454" s="52">
        <f t="shared" si="278"/>
        <v>229086.76527677779</v>
      </c>
      <c r="P454" s="50" t="str">
        <f t="shared" si="244"/>
        <v>131.578947368421</v>
      </c>
      <c r="Q454" s="18" t="str">
        <f t="shared" si="245"/>
        <v>1+2159.09189648452i</v>
      </c>
      <c r="R454" s="18">
        <f t="shared" si="253"/>
        <v>2159.0921280633493</v>
      </c>
      <c r="S454" s="18">
        <f t="shared" si="254"/>
        <v>1.5703331691450888</v>
      </c>
      <c r="T454" s="18" t="str">
        <f t="shared" si="246"/>
        <v>1+0.00475000217226595i</v>
      </c>
      <c r="U454" s="18">
        <f t="shared" si="255"/>
        <v>1.0000112811966855</v>
      </c>
      <c r="V454" s="18">
        <f t="shared" si="256"/>
        <v>4.7499664487422114E-3</v>
      </c>
      <c r="W454" s="32" t="str">
        <f t="shared" si="247"/>
        <v>1-1.15151567812508i</v>
      </c>
      <c r="X454" s="18">
        <f t="shared" si="257"/>
        <v>1.5251191287790808</v>
      </c>
      <c r="Y454" s="18">
        <f t="shared" si="258"/>
        <v>-0.85570485391878204</v>
      </c>
      <c r="Z454" s="32" t="str">
        <f t="shared" si="248"/>
        <v>0.966412322544014+0.48737396025908i</v>
      </c>
      <c r="AA454" s="18">
        <f t="shared" si="259"/>
        <v>1.0823521396955496</v>
      </c>
      <c r="AB454" s="18">
        <f t="shared" si="260"/>
        <v>0.46709177469695129</v>
      </c>
      <c r="AC454" s="68" t="str">
        <f t="shared" si="261"/>
        <v>-0.0831344780932931-0.0215124627796967i</v>
      </c>
      <c r="AD454" s="66">
        <f t="shared" si="262"/>
        <v>-21.32289357476191</v>
      </c>
      <c r="AE454" s="63">
        <f t="shared" si="263"/>
        <v>-165.49197396489069</v>
      </c>
      <c r="AF454" s="32" t="str">
        <f t="shared" si="249"/>
        <v>-0.434440565864413</v>
      </c>
      <c r="AG454" s="32" t="str">
        <f t="shared" si="250"/>
        <v>37.5681989988308i</v>
      </c>
      <c r="AH454" s="32">
        <f t="shared" si="264"/>
        <v>37.568198998830802</v>
      </c>
      <c r="AI454" s="32">
        <f t="shared" si="265"/>
        <v>1.5707963267948966</v>
      </c>
      <c r="AJ454" s="32" t="str">
        <f t="shared" si="251"/>
        <v>1+0.371962366325057i</v>
      </c>
      <c r="AK454" s="32">
        <f t="shared" si="266"/>
        <v>1.0669376748255428</v>
      </c>
      <c r="AL454" s="32">
        <f t="shared" si="267"/>
        <v>0.35610488343368635</v>
      </c>
      <c r="AM454" s="32" t="str">
        <f t="shared" si="252"/>
        <v>1+37.5681989988308i</v>
      </c>
      <c r="AN454" s="32">
        <f t="shared" si="268"/>
        <v>37.581505771000607</v>
      </c>
      <c r="AO454" s="32">
        <f t="shared" si="269"/>
        <v>1.5441843531101722</v>
      </c>
      <c r="AP454" s="60" t="str">
        <f t="shared" si="270"/>
        <v>-0.37785997823332+0.152113742554395i</v>
      </c>
      <c r="AQ454" s="51">
        <f t="shared" si="271"/>
        <v>-7.8010975788093884</v>
      </c>
      <c r="AR454" s="63">
        <f t="shared" si="272"/>
        <v>158.07193933860384</v>
      </c>
      <c r="AS454" s="60" t="str">
        <f t="shared" si="273"/>
        <v>0.0346855333077519-0.00451719788039587i</v>
      </c>
      <c r="AT454" s="66">
        <f t="shared" si="274"/>
        <v>-29.123991153571307</v>
      </c>
      <c r="AU454" s="63">
        <f t="shared" si="275"/>
        <v>-7.4200346262868653</v>
      </c>
      <c r="AX454" s="32">
        <f t="shared" si="276"/>
        <v>0</v>
      </c>
      <c r="AY454" s="32">
        <f t="shared" si="277"/>
        <v>0</v>
      </c>
    </row>
    <row r="455" spans="14:51" x14ac:dyDescent="0.3">
      <c r="N455" s="11">
        <v>37</v>
      </c>
      <c r="O455" s="52">
        <f t="shared" si="278"/>
        <v>234422.88153199267</v>
      </c>
      <c r="P455" s="50" t="str">
        <f t="shared" si="244"/>
        <v>131.578947368421</v>
      </c>
      <c r="Q455" s="18" t="str">
        <f t="shared" si="245"/>
        <v>1+2209.38360736278i</v>
      </c>
      <c r="R455" s="18">
        <f t="shared" si="253"/>
        <v>2209.383833670232</v>
      </c>
      <c r="S455" s="18">
        <f t="shared" si="254"/>
        <v>1.5703437118988772</v>
      </c>
      <c r="T455" s="18" t="str">
        <f t="shared" si="246"/>
        <v>1+0.00486064393619812i</v>
      </c>
      <c r="U455" s="18">
        <f t="shared" si="255"/>
        <v>1.0000118128599655</v>
      </c>
      <c r="V455" s="18">
        <f t="shared" si="256"/>
        <v>4.8606056577772047E-3</v>
      </c>
      <c r="W455" s="32" t="str">
        <f t="shared" si="247"/>
        <v>1-1.17833792392682i</v>
      </c>
      <c r="X455" s="18">
        <f t="shared" si="257"/>
        <v>1.5454708871292815</v>
      </c>
      <c r="Y455" s="18">
        <f t="shared" si="258"/>
        <v>-0.86708479242360947</v>
      </c>
      <c r="Z455" s="32" t="str">
        <f t="shared" si="248"/>
        <v>0.964829384073112+0.498726358153235i</v>
      </c>
      <c r="AA455" s="18">
        <f t="shared" si="259"/>
        <v>1.0861048387184773</v>
      </c>
      <c r="AB455" s="18">
        <f t="shared" si="260"/>
        <v>0.47708096827611873</v>
      </c>
      <c r="AC455" s="68" t="str">
        <f t="shared" si="261"/>
        <v>-0.0824747681188817-0.0194800989577351i</v>
      </c>
      <c r="AD455" s="66">
        <f t="shared" si="262"/>
        <v>-21.437811080875125</v>
      </c>
      <c r="AE455" s="63">
        <f t="shared" si="263"/>
        <v>-166.7105999407315</v>
      </c>
      <c r="AF455" s="32" t="str">
        <f t="shared" si="249"/>
        <v>-0.434440565864413</v>
      </c>
      <c r="AG455" s="32" t="str">
        <f t="shared" si="250"/>
        <v>38.4432747681124i</v>
      </c>
      <c r="AH455" s="32">
        <f t="shared" si="264"/>
        <v>38.443274768112403</v>
      </c>
      <c r="AI455" s="32">
        <f t="shared" si="265"/>
        <v>1.5707963267948966</v>
      </c>
      <c r="AJ455" s="32" t="str">
        <f t="shared" si="251"/>
        <v>1+0.380626482852598i</v>
      </c>
      <c r="AK455" s="32">
        <f t="shared" si="266"/>
        <v>1.0699890277235273</v>
      </c>
      <c r="AL455" s="32">
        <f t="shared" si="267"/>
        <v>0.36369432949637104</v>
      </c>
      <c r="AM455" s="32" t="str">
        <f t="shared" si="252"/>
        <v>1+38.4432747681124i</v>
      </c>
      <c r="AN455" s="32">
        <f t="shared" si="268"/>
        <v>38.456278744784804</v>
      </c>
      <c r="AO455" s="32">
        <f t="shared" si="269"/>
        <v>1.5447898393125552</v>
      </c>
      <c r="AP455" s="60" t="str">
        <f t="shared" si="270"/>
        <v>-0.375707918553779+0.154305204594444i</v>
      </c>
      <c r="AQ455" s="51">
        <f t="shared" si="271"/>
        <v>-7.826041443015427</v>
      </c>
      <c r="AR455" s="63">
        <f t="shared" si="272"/>
        <v>157.67178791431959</v>
      </c>
      <c r="AS455" s="60" t="str">
        <f t="shared" si="273"/>
        <v>0.0339923041183439-0.00540745853583107i</v>
      </c>
      <c r="AT455" s="66">
        <f t="shared" si="274"/>
        <v>-29.263852523890566</v>
      </c>
      <c r="AU455" s="63">
        <f t="shared" si="275"/>
        <v>-9.0388120264118985</v>
      </c>
      <c r="AX455" s="32">
        <f t="shared" si="276"/>
        <v>0</v>
      </c>
      <c r="AY455" s="32">
        <f t="shared" si="277"/>
        <v>0</v>
      </c>
    </row>
    <row r="456" spans="14:51" x14ac:dyDescent="0.3">
      <c r="N456" s="11">
        <v>38</v>
      </c>
      <c r="O456" s="52">
        <f t="shared" si="278"/>
        <v>239883.29190194907</v>
      </c>
      <c r="P456" s="50" t="str">
        <f t="shared" si="244"/>
        <v>131.578947368421</v>
      </c>
      <c r="Q456" s="18" t="str">
        <f t="shared" si="245"/>
        <v>1+2260.8467626743i</v>
      </c>
      <c r="R456" s="18">
        <f t="shared" si="253"/>
        <v>2260.8469838303658</v>
      </c>
      <c r="S456" s="18">
        <f t="shared" si="254"/>
        <v>1.570354014670388</v>
      </c>
      <c r="T456" s="18" t="str">
        <f t="shared" si="246"/>
        <v>1+0.00497386287788346i</v>
      </c>
      <c r="U456" s="18">
        <f t="shared" si="255"/>
        <v>1.0000123695794607</v>
      </c>
      <c r="V456" s="18">
        <f t="shared" si="256"/>
        <v>4.9738218618438764E-3</v>
      </c>
      <c r="W456" s="32" t="str">
        <f t="shared" si="247"/>
        <v>1-1.20578494009296i</v>
      </c>
      <c r="X456" s="18">
        <f t="shared" si="257"/>
        <v>1.5664984269877142</v>
      </c>
      <c r="Y456" s="18">
        <f t="shared" si="258"/>
        <v>-0.87842219714731595</v>
      </c>
      <c r="Z456" s="32" t="str">
        <f t="shared" si="248"/>
        <v>0.963171844010422+0.510343187363906i</v>
      </c>
      <c r="AA456" s="18">
        <f t="shared" si="259"/>
        <v>1.09002301351081</v>
      </c>
      <c r="AB456" s="18">
        <f t="shared" si="260"/>
        <v>0.48724680587104979</v>
      </c>
      <c r="AC456" s="68" t="str">
        <f t="shared" si="261"/>
        <v>-0.0817931841529682-0.017480075135213i</v>
      </c>
      <c r="AD456" s="66">
        <f t="shared" si="262"/>
        <v>-21.551701885836984</v>
      </c>
      <c r="AE456" s="63">
        <f t="shared" si="263"/>
        <v>-167.93674846609571</v>
      </c>
      <c r="AF456" s="32" t="str">
        <f t="shared" si="249"/>
        <v>-0.434440565864413</v>
      </c>
      <c r="AG456" s="32" t="str">
        <f t="shared" si="250"/>
        <v>39.3387336705328i</v>
      </c>
      <c r="AH456" s="32">
        <f t="shared" si="264"/>
        <v>39.338733670532797</v>
      </c>
      <c r="AI456" s="32">
        <f t="shared" si="265"/>
        <v>1.5707963267948966</v>
      </c>
      <c r="AJ456" s="32" t="str">
        <f t="shared" si="251"/>
        <v>1+0.389492412579533i</v>
      </c>
      <c r="AK456" s="32">
        <f t="shared" si="266"/>
        <v>1.0731748876380891</v>
      </c>
      <c r="AL456" s="32">
        <f t="shared" si="267"/>
        <v>0.3714154223265001</v>
      </c>
      <c r="AM456" s="32" t="str">
        <f t="shared" si="252"/>
        <v>1+39.3387336705328i</v>
      </c>
      <c r="AN456" s="32">
        <f t="shared" si="268"/>
        <v>39.351441737261808</v>
      </c>
      <c r="AO456" s="32">
        <f t="shared" si="269"/>
        <v>1.5453815613967972</v>
      </c>
      <c r="AP456" s="60" t="str">
        <f t="shared" si="270"/>
        <v>-0.373480553460424+0.156511424703406i</v>
      </c>
      <c r="AQ456" s="51">
        <f t="shared" si="271"/>
        <v>-7.8519971632117214</v>
      </c>
      <c r="AR456" s="63">
        <f t="shared" si="272"/>
        <v>157.2633050599963</v>
      </c>
      <c r="AS456" s="60" t="str">
        <f t="shared" si="273"/>
        <v>0.0332839951500757-0.00627309964677996i</v>
      </c>
      <c r="AT456" s="66">
        <f t="shared" si="274"/>
        <v>-29.403699049048711</v>
      </c>
      <c r="AU456" s="63">
        <f t="shared" si="275"/>
        <v>-10.673443406099409</v>
      </c>
      <c r="AX456" s="32">
        <f t="shared" si="276"/>
        <v>0</v>
      </c>
      <c r="AY456" s="32">
        <f t="shared" si="277"/>
        <v>0</v>
      </c>
    </row>
    <row r="457" spans="14:51" x14ac:dyDescent="0.3">
      <c r="N457" s="11">
        <v>39</v>
      </c>
      <c r="O457" s="52">
        <f t="shared" si="278"/>
        <v>245470.89156850305</v>
      </c>
      <c r="P457" s="50" t="str">
        <f t="shared" si="244"/>
        <v>131.578947368421</v>
      </c>
      <c r="Q457" s="18" t="str">
        <f t="shared" si="245"/>
        <v>1+2313.50864886523i</v>
      </c>
      <c r="R457" s="18">
        <f t="shared" si="253"/>
        <v>2313.50886498717</v>
      </c>
      <c r="S457" s="18">
        <f t="shared" si="254"/>
        <v>1.5703640829222782</v>
      </c>
      <c r="T457" s="18" t="str">
        <f t="shared" si="246"/>
        <v>1+0.00508971902750352i</v>
      </c>
      <c r="U457" s="18">
        <f t="shared" si="255"/>
        <v>1.0000129525360053</v>
      </c>
      <c r="V457" s="18">
        <f t="shared" si="256"/>
        <v>5.0896750780560253E-3</v>
      </c>
      <c r="W457" s="32" t="str">
        <f t="shared" si="247"/>
        <v>1-1.23387127939479i</v>
      </c>
      <c r="X457" s="18">
        <f t="shared" si="257"/>
        <v>1.588218604007438</v>
      </c>
      <c r="Y457" s="18">
        <f t="shared" si="258"/>
        <v>-0.88971142194338115</v>
      </c>
      <c r="Z457" s="32" t="str">
        <f t="shared" si="248"/>
        <v>0.961436186491241+0.522230607287708i</v>
      </c>
      <c r="AA457" s="18">
        <f t="shared" si="259"/>
        <v>1.0941134986293279</v>
      </c>
      <c r="AB457" s="18">
        <f t="shared" si="260"/>
        <v>0.49759020443842944</v>
      </c>
      <c r="AC457" s="68" t="str">
        <f t="shared" si="261"/>
        <v>-0.0810893923605278-0.0155124232359511i</v>
      </c>
      <c r="AD457" s="66">
        <f t="shared" si="262"/>
        <v>-21.66462464656075</v>
      </c>
      <c r="AE457" s="63">
        <f t="shared" si="263"/>
        <v>-169.17014545262575</v>
      </c>
      <c r="AF457" s="32" t="str">
        <f t="shared" si="249"/>
        <v>-0.434440565864413</v>
      </c>
      <c r="AG457" s="32" t="str">
        <f t="shared" si="250"/>
        <v>40.2550504902551i</v>
      </c>
      <c r="AH457" s="32">
        <f t="shared" si="264"/>
        <v>40.255050490255101</v>
      </c>
      <c r="AI457" s="32">
        <f t="shared" si="265"/>
        <v>1.5707963267948966</v>
      </c>
      <c r="AJ457" s="32" t="str">
        <f t="shared" si="251"/>
        <v>1+0.39856485633916i</v>
      </c>
      <c r="AK457" s="32">
        <f t="shared" si="266"/>
        <v>1.0765007871379635</v>
      </c>
      <c r="AL457" s="32">
        <f t="shared" si="267"/>
        <v>0.37926857237190476</v>
      </c>
      <c r="AM457" s="32" t="str">
        <f t="shared" si="252"/>
        <v>1+40.2550504902551i</v>
      </c>
      <c r="AN457" s="32">
        <f t="shared" si="268"/>
        <v>40.267469376321472</v>
      </c>
      <c r="AO457" s="32">
        <f t="shared" si="269"/>
        <v>1.5459598314433696</v>
      </c>
      <c r="AP457" s="60" t="str">
        <f t="shared" si="270"/>
        <v>-0.371176347189568+0.158730047741614i</v>
      </c>
      <c r="AQ457" s="51">
        <f t="shared" si="271"/>
        <v>-7.8790003928628352</v>
      </c>
      <c r="AR457" s="63">
        <f t="shared" si="272"/>
        <v>156.84648513959897</v>
      </c>
      <c r="AS457" s="60" t="str">
        <f t="shared" si="273"/>
        <v>0.032560752133033-0.00711347852794614i</v>
      </c>
      <c r="AT457" s="66">
        <f t="shared" si="274"/>
        <v>-29.543625039423588</v>
      </c>
      <c r="AU457" s="63">
        <f t="shared" si="275"/>
        <v>-12.323660313026805</v>
      </c>
      <c r="AX457" s="32">
        <f t="shared" si="276"/>
        <v>0</v>
      </c>
      <c r="AY457" s="32">
        <f t="shared" si="277"/>
        <v>0</v>
      </c>
    </row>
    <row r="458" spans="14:51" x14ac:dyDescent="0.3">
      <c r="N458" s="11">
        <v>40</v>
      </c>
      <c r="O458" s="52">
        <f t="shared" si="278"/>
        <v>251188.64315095844</v>
      </c>
      <c r="P458" s="50" t="str">
        <f t="shared" si="244"/>
        <v>131.578947368421</v>
      </c>
      <c r="Q458" s="18" t="str">
        <f t="shared" si="245"/>
        <v>1+2367.39718796472i</v>
      </c>
      <c r="R458" s="18">
        <f t="shared" si="253"/>
        <v>2367.3973991671246</v>
      </c>
      <c r="S458" s="18">
        <f t="shared" si="254"/>
        <v>1.5703739219928599</v>
      </c>
      <c r="T458" s="18" t="str">
        <f t="shared" si="246"/>
        <v>1+0.00520827381352238i</v>
      </c>
      <c r="U458" s="18">
        <f t="shared" si="255"/>
        <v>1.0000135629660813</v>
      </c>
      <c r="V458" s="18">
        <f t="shared" si="256"/>
        <v>5.2082267208754312E-3</v>
      </c>
      <c r="W458" s="32" t="str">
        <f t="shared" si="247"/>
        <v>1-1.26261183358118i</v>
      </c>
      <c r="X458" s="18">
        <f t="shared" si="257"/>
        <v>1.6106485160640198</v>
      </c>
      <c r="Y458" s="18">
        <f t="shared" si="258"/>
        <v>-0.9009469430454925</v>
      </c>
      <c r="Z458" s="32" t="str">
        <f t="shared" si="248"/>
        <v>0.959618729953267+0.534394920792036i</v>
      </c>
      <c r="AA458" s="18">
        <f t="shared" si="259"/>
        <v>1.0983833748948713</v>
      </c>
      <c r="AB458" s="18">
        <f t="shared" si="260"/>
        <v>0.50811195353980487</v>
      </c>
      <c r="AC458" s="68" t="str">
        <f t="shared" si="261"/>
        <v>-0.080363085370725-0.0135772266149224i</v>
      </c>
      <c r="AD458" s="66">
        <f t="shared" si="262"/>
        <v>-21.776640843277171</v>
      </c>
      <c r="AE458" s="63">
        <f t="shared" si="263"/>
        <v>-170.41051643744214</v>
      </c>
      <c r="AF458" s="32" t="str">
        <f t="shared" si="249"/>
        <v>-0.434440565864413</v>
      </c>
      <c r="AG458" s="32" t="str">
        <f t="shared" si="250"/>
        <v>41.1927110705862i</v>
      </c>
      <c r="AH458" s="32">
        <f t="shared" si="264"/>
        <v>41.192711070586199</v>
      </c>
      <c r="AI458" s="32">
        <f t="shared" si="265"/>
        <v>1.5707963267948966</v>
      </c>
      <c r="AJ458" s="32" t="str">
        <f t="shared" si="251"/>
        <v>1+0.407848624461249i</v>
      </c>
      <c r="AK458" s="32">
        <f t="shared" si="266"/>
        <v>1.0799724535722812</v>
      </c>
      <c r="AL458" s="32">
        <f t="shared" si="267"/>
        <v>0.38725406789260836</v>
      </c>
      <c r="AM458" s="32" t="str">
        <f t="shared" si="252"/>
        <v>1+41.1927110705862i</v>
      </c>
      <c r="AN458" s="32">
        <f t="shared" si="268"/>
        <v>41.204847352523892</v>
      </c>
      <c r="AO458" s="32">
        <f t="shared" si="269"/>
        <v>1.5465249545108486</v>
      </c>
      <c r="AP458" s="60" t="str">
        <f t="shared" si="270"/>
        <v>-0.368793824743314+0.160958593909237i</v>
      </c>
      <c r="AQ458" s="51">
        <f t="shared" si="271"/>
        <v>-7.9070874731625373</v>
      </c>
      <c r="AR458" s="63">
        <f t="shared" si="272"/>
        <v>156.42132911561424</v>
      </c>
      <c r="AS458" s="60" t="str">
        <f t="shared" si="273"/>
        <v>0.0318227809271681-0.00792793189075592i</v>
      </c>
      <c r="AT458" s="66">
        <f t="shared" si="274"/>
        <v>-29.683728316439716</v>
      </c>
      <c r="AU458" s="63">
        <f t="shared" si="275"/>
        <v>-13.989187321827909</v>
      </c>
      <c r="AX458" s="32">
        <f t="shared" si="276"/>
        <v>0</v>
      </c>
      <c r="AY458" s="32">
        <f t="shared" si="277"/>
        <v>0</v>
      </c>
    </row>
    <row r="459" spans="14:51" x14ac:dyDescent="0.3">
      <c r="N459" s="11">
        <v>41</v>
      </c>
      <c r="O459" s="52">
        <f t="shared" si="278"/>
        <v>257039.57827688678</v>
      </c>
      <c r="P459" s="50" t="str">
        <f t="shared" si="244"/>
        <v>131.578947368421</v>
      </c>
      <c r="Q459" s="18" t="str">
        <f t="shared" si="245"/>
        <v>1+2422.54095238945i</v>
      </c>
      <c r="R459" s="18">
        <f t="shared" si="253"/>
        <v>2422.5411587843014</v>
      </c>
      <c r="S459" s="18">
        <f t="shared" si="254"/>
        <v>1.5703835370989307</v>
      </c>
      <c r="T459" s="18" t="str">
        <f t="shared" si="246"/>
        <v>1+0.0053295900952568i</v>
      </c>
      <c r="U459" s="18">
        <f t="shared" si="255"/>
        <v>1.0000142021644409</v>
      </c>
      <c r="V459" s="18">
        <f t="shared" si="256"/>
        <v>5.3295396346151646E-3</v>
      </c>
      <c r="W459" s="32" t="str">
        <f t="shared" si="247"/>
        <v>1-1.29202184127438i</v>
      </c>
      <c r="X459" s="18">
        <f t="shared" si="257"/>
        <v>1.6338055081098359</v>
      </c>
      <c r="Y459" s="18">
        <f t="shared" si="258"/>
        <v>-0.91212337161834989</v>
      </c>
      <c r="Z459" s="32" t="str">
        <f t="shared" si="248"/>
        <v>0.957715619327514+0.546842577556918i</v>
      </c>
      <c r="AA459" s="18">
        <f t="shared" si="259"/>
        <v>1.1028399757593925</v>
      </c>
      <c r="AB459" s="18">
        <f t="shared" si="260"/>
        <v>0.51881270881114916</v>
      </c>
      <c r="AC459" s="68" t="str">
        <f t="shared" si="261"/>
        <v>-0.0796139850878111-0.0116746191988512i</v>
      </c>
      <c r="AD459" s="66">
        <f t="shared" si="262"/>
        <v>-21.887814659399368</v>
      </c>
      <c r="AE459" s="63">
        <f t="shared" si="263"/>
        <v>-171.65758692638641</v>
      </c>
      <c r="AF459" s="32" t="str">
        <f t="shared" si="249"/>
        <v>-0.434440565864413</v>
      </c>
      <c r="AG459" s="32" t="str">
        <f t="shared" si="250"/>
        <v>42.1522125715765i</v>
      </c>
      <c r="AH459" s="32">
        <f t="shared" si="264"/>
        <v>42.152212571576499</v>
      </c>
      <c r="AI459" s="32">
        <f t="shared" si="265"/>
        <v>1.5707963267948966</v>
      </c>
      <c r="AJ459" s="32" t="str">
        <f t="shared" si="251"/>
        <v>1+0.41734863932254i</v>
      </c>
      <c r="AK459" s="32">
        <f t="shared" si="266"/>
        <v>1.0835958133660242</v>
      </c>
      <c r="AL459" s="32">
        <f t="shared" si="267"/>
        <v>0.39537206810178693</v>
      </c>
      <c r="AM459" s="32" t="str">
        <f t="shared" si="252"/>
        <v>1+42.1522125715765i</v>
      </c>
      <c r="AN459" s="32">
        <f t="shared" si="268"/>
        <v>42.164072676620933</v>
      </c>
      <c r="AO459" s="32">
        <f t="shared" si="269"/>
        <v>1.5470772287902972</v>
      </c>
      <c r="AP459" s="60" t="str">
        <f t="shared" si="270"/>
        <v>-0.366331580858381+0.16319445803535i</v>
      </c>
      <c r="AQ459" s="51">
        <f t="shared" si="271"/>
        <v>-7.9362954032724078</v>
      </c>
      <c r="AR459" s="63">
        <f t="shared" si="272"/>
        <v>155.98784495088793</v>
      </c>
      <c r="AS459" s="60" t="str">
        <f t="shared" si="273"/>
        <v>0.031070350168579-0.008715779441405i</v>
      </c>
      <c r="AT459" s="66">
        <f t="shared" si="274"/>
        <v>-29.824110062671785</v>
      </c>
      <c r="AU459" s="63">
        <f t="shared" si="275"/>
        <v>-15.669741975498498</v>
      </c>
      <c r="AX459" s="32">
        <f t="shared" si="276"/>
        <v>0</v>
      </c>
      <c r="AY459" s="32">
        <f t="shared" si="277"/>
        <v>0</v>
      </c>
    </row>
    <row r="460" spans="14:51" x14ac:dyDescent="0.3">
      <c r="N460" s="11">
        <v>42</v>
      </c>
      <c r="O460" s="52">
        <f t="shared" si="278"/>
        <v>263026.79918953858</v>
      </c>
      <c r="P460" s="50" t="str">
        <f t="shared" si="244"/>
        <v>131.578947368421</v>
      </c>
      <c r="Q460" s="18" t="str">
        <f t="shared" si="245"/>
        <v>1+2478.96918009327i</v>
      </c>
      <c r="R460" s="18">
        <f t="shared" si="253"/>
        <v>2478.9693817900011</v>
      </c>
      <c r="S460" s="18">
        <f t="shared" si="254"/>
        <v>1.5703929333385407</v>
      </c>
      <c r="T460" s="18" t="str">
        <f t="shared" si="246"/>
        <v>1+0.00545373219620519i</v>
      </c>
      <c r="U460" s="18">
        <f t="shared" si="255"/>
        <v>1.0000148714868533</v>
      </c>
      <c r="V460" s="18">
        <f t="shared" si="256"/>
        <v>5.4536781266969507E-3</v>
      </c>
      <c r="W460" s="32" t="str">
        <f t="shared" si="247"/>
        <v>1-1.32211689604974i</v>
      </c>
      <c r="X460" s="18">
        <f t="shared" si="257"/>
        <v>1.6577071776463415</v>
      </c>
      <c r="Y460" s="18">
        <f t="shared" si="258"/>
        <v>-0.92323546550285107</v>
      </c>
      <c r="Z460" s="32" t="str">
        <f t="shared" si="248"/>
        <v>0.955722817861188+0.559580177494738i</v>
      </c>
      <c r="AA460" s="18">
        <f t="shared" si="259"/>
        <v>1.107490893698712</v>
      </c>
      <c r="AB460" s="18">
        <f t="shared" si="260"/>
        <v>0.52969298553695654</v>
      </c>
      <c r="AC460" s="68" t="str">
        <f t="shared" si="261"/>
        <v>-0.0788418455645065-0.00980478441953602i</v>
      </c>
      <c r="AD460" s="66">
        <f t="shared" si="262"/>
        <v>-21.998212850014237</v>
      </c>
      <c r="AE460" s="63">
        <f t="shared" si="263"/>
        <v>-172.91108269704617</v>
      </c>
      <c r="AF460" s="32" t="str">
        <f t="shared" si="249"/>
        <v>-0.434440565864413</v>
      </c>
      <c r="AG460" s="32" t="str">
        <f t="shared" si="250"/>
        <v>43.1340637336229i</v>
      </c>
      <c r="AH460" s="32">
        <f t="shared" si="264"/>
        <v>43.134063733622902</v>
      </c>
      <c r="AI460" s="32">
        <f t="shared" si="265"/>
        <v>1.5707963267948966</v>
      </c>
      <c r="AJ460" s="32" t="str">
        <f t="shared" si="251"/>
        <v>1+0.427069937956663i</v>
      </c>
      <c r="AK460" s="32">
        <f t="shared" si="266"/>
        <v>1.0873769962190243</v>
      </c>
      <c r="AL460" s="32">
        <f t="shared" si="267"/>
        <v>0.40362259628796476</v>
      </c>
      <c r="AM460" s="32" t="str">
        <f t="shared" si="252"/>
        <v>1+43.1340637336229i</v>
      </c>
      <c r="AN460" s="32">
        <f t="shared" si="268"/>
        <v>43.145653943082642</v>
      </c>
      <c r="AO460" s="32">
        <f t="shared" si="269"/>
        <v>1.547616945756497</v>
      </c>
      <c r="AP460" s="60" t="str">
        <f t="shared" si="270"/>
        <v>-0.363788289346845+0.165434909456768i</v>
      </c>
      <c r="AQ460" s="51">
        <f t="shared" si="271"/>
        <v>-7.9666618062773109</v>
      </c>
      <c r="AR460" s="63">
        <f t="shared" si="272"/>
        <v>155.54604801136102</v>
      </c>
      <c r="AS460" s="60" t="str">
        <f t="shared" si="273"/>
        <v>0.030303793749549-0.00947632783097101i</v>
      </c>
      <c r="AT460" s="66">
        <f t="shared" si="274"/>
        <v>-29.964874656291556</v>
      </c>
      <c r="AU460" s="63">
        <f t="shared" si="275"/>
        <v>-17.365034685685156</v>
      </c>
      <c r="AX460" s="32">
        <f t="shared" si="276"/>
        <v>0</v>
      </c>
      <c r="AY460" s="32">
        <f t="shared" si="277"/>
        <v>0</v>
      </c>
    </row>
    <row r="461" spans="14:51" x14ac:dyDescent="0.3">
      <c r="N461" s="11">
        <v>43</v>
      </c>
      <c r="O461" s="52">
        <f t="shared" si="278"/>
        <v>269153.48039269145</v>
      </c>
      <c r="P461" s="50" t="str">
        <f t="shared" si="244"/>
        <v>131.578947368421</v>
      </c>
      <c r="Q461" s="18" t="str">
        <f t="shared" si="245"/>
        <v>1+2536.71179006941i</v>
      </c>
      <c r="R461" s="18">
        <f t="shared" si="253"/>
        <v>2536.7119871749637</v>
      </c>
      <c r="S461" s="18">
        <f t="shared" si="254"/>
        <v>1.5704021156936931</v>
      </c>
      <c r="T461" s="18" t="str">
        <f t="shared" si="246"/>
        <v>1+0.00558076593815271i</v>
      </c>
      <c r="U461" s="18">
        <f t="shared" si="255"/>
        <v>1.0000155723529791</v>
      </c>
      <c r="V461" s="18">
        <f t="shared" si="256"/>
        <v>5.5807080016795326E-3</v>
      </c>
      <c r="W461" s="32" t="str">
        <f t="shared" si="247"/>
        <v>1-1.35291295470369i</v>
      </c>
      <c r="X461" s="18">
        <f t="shared" si="257"/>
        <v>1.6823713808208547</v>
      </c>
      <c r="Y461" s="18">
        <f t="shared" si="258"/>
        <v>-0.93427814010149401</v>
      </c>
      <c r="Z461" s="32" t="str">
        <f t="shared" si="248"/>
        <v>0.953636098555201+0.572614474249587i</v>
      </c>
      <c r="AA461" s="18">
        <f t="shared" si="259"/>
        <v>1.1123439866281095</v>
      </c>
      <c r="AB461" s="18">
        <f t="shared" si="260"/>
        <v>0.54075315237088672</v>
      </c>
      <c r="AC461" s="68" t="str">
        <f t="shared" si="261"/>
        <v>-0.0780464559223745-0.00796795392589091i</v>
      </c>
      <c r="AD461" s="66">
        <f t="shared" si="262"/>
        <v>-22.107904599617964</v>
      </c>
      <c r="AE461" s="63">
        <f t="shared" si="263"/>
        <v>-174.17073006086719</v>
      </c>
      <c r="AF461" s="32" t="str">
        <f t="shared" si="249"/>
        <v>-0.434440565864413</v>
      </c>
      <c r="AG461" s="32" t="str">
        <f t="shared" si="250"/>
        <v>44.1387851472079i</v>
      </c>
      <c r="AH461" s="32">
        <f t="shared" si="264"/>
        <v>44.138785147207898</v>
      </c>
      <c r="AI461" s="32">
        <f t="shared" si="265"/>
        <v>1.5707963267948966</v>
      </c>
      <c r="AJ461" s="32" t="str">
        <f t="shared" si="251"/>
        <v>1+0.43701767472483i</v>
      </c>
      <c r="AK461" s="32">
        <f t="shared" si="266"/>
        <v>1.0913223391930991</v>
      </c>
      <c r="AL461" s="32">
        <f t="shared" si="267"/>
        <v>0.41200553295137071</v>
      </c>
      <c r="AM461" s="32" t="str">
        <f t="shared" si="252"/>
        <v>1+44.1387851472079i</v>
      </c>
      <c r="AN461" s="32">
        <f t="shared" si="268"/>
        <v>44.150111599761331</v>
      </c>
      <c r="AO461" s="32">
        <f t="shared" si="269"/>
        <v>1.5481443903160748</v>
      </c>
      <c r="AP461" s="60" t="str">
        <f t="shared" si="270"/>
        <v>-0.361162712777314+0.167677092541482i</v>
      </c>
      <c r="AQ461" s="51">
        <f t="shared" si="271"/>
        <v>-7.9982248906932796</v>
      </c>
      <c r="AR461" s="63">
        <f t="shared" si="272"/>
        <v>155.09596146781323</v>
      </c>
      <c r="AS461" s="60" t="str">
        <f t="shared" si="273"/>
        <v>0.0295235130913777-0.0102088749570713i</v>
      </c>
      <c r="AT461" s="66">
        <f t="shared" si="274"/>
        <v>-30.106129490311243</v>
      </c>
      <c r="AU461" s="63">
        <f t="shared" si="275"/>
        <v>-19.074768593053999</v>
      </c>
      <c r="AX461" s="32">
        <f t="shared" si="276"/>
        <v>0</v>
      </c>
      <c r="AY461" s="32">
        <f t="shared" si="277"/>
        <v>0</v>
      </c>
    </row>
    <row r="462" spans="14:51" x14ac:dyDescent="0.3">
      <c r="N462" s="11">
        <v>44</v>
      </c>
      <c r="O462" s="52">
        <f t="shared" si="278"/>
        <v>275422.87033381703</v>
      </c>
      <c r="P462" s="50" t="str">
        <f t="shared" si="244"/>
        <v>131.578947368421</v>
      </c>
      <c r="Q462" s="18" t="str">
        <f t="shared" si="245"/>
        <v>1+2595.799398214i</v>
      </c>
      <c r="R462" s="18">
        <f t="shared" si="253"/>
        <v>2595.799590832884</v>
      </c>
      <c r="S462" s="18">
        <f t="shared" si="254"/>
        <v>1.5704110890329883</v>
      </c>
      <c r="T462" s="18" t="str">
        <f t="shared" si="246"/>
        <v>1+0.00571075867607081i</v>
      </c>
      <c r="U462" s="18">
        <f t="shared" si="255"/>
        <v>1.0000163062493812</v>
      </c>
      <c r="V462" s="18">
        <f t="shared" si="256"/>
        <v>5.7106965960759953E-3</v>
      </c>
      <c r="W462" s="32" t="str">
        <f t="shared" si="247"/>
        <v>1-1.38442634571414i</v>
      </c>
      <c r="X462" s="18">
        <f t="shared" si="257"/>
        <v>1.7078162391508658</v>
      </c>
      <c r="Y462" s="18">
        <f t="shared" si="258"/>
        <v>-0.9452464783587855</v>
      </c>
      <c r="Z462" s="32" t="str">
        <f t="shared" si="248"/>
        <v>0.951451035198132+0.585952378778132i</v>
      </c>
      <c r="AA462" s="18">
        <f t="shared" si="259"/>
        <v>1.1174073843390102</v>
      </c>
      <c r="AB462" s="18">
        <f t="shared" si="260"/>
        <v>0.55199342524757655</v>
      </c>
      <c r="AC462" s="68" t="str">
        <f t="shared" si="261"/>
        <v>-0.0772276433016393-0.00616440606159211i</v>
      </c>
      <c r="AD462" s="66">
        <f t="shared" si="262"/>
        <v>-22.216961369777035</v>
      </c>
      <c r="AE462" s="63">
        <f t="shared" si="263"/>
        <v>-175.43625608431753</v>
      </c>
      <c r="AF462" s="32" t="str">
        <f t="shared" si="249"/>
        <v>-0.434440565864413</v>
      </c>
      <c r="AG462" s="32" t="str">
        <f t="shared" si="250"/>
        <v>45.1669095289237i</v>
      </c>
      <c r="AH462" s="32">
        <f t="shared" si="264"/>
        <v>45.166909528923703</v>
      </c>
      <c r="AI462" s="32">
        <f t="shared" si="265"/>
        <v>1.5707963267948966</v>
      </c>
      <c r="AJ462" s="32" t="str">
        <f t="shared" si="251"/>
        <v>1+0.44719712404875i</v>
      </c>
      <c r="AK462" s="32">
        <f t="shared" si="266"/>
        <v>1.0954383906717315</v>
      </c>
      <c r="AL462" s="32">
        <f t="shared" si="267"/>
        <v>0.42052060899036653</v>
      </c>
      <c r="AM462" s="32" t="str">
        <f t="shared" si="252"/>
        <v>1+45.1669095289237i</v>
      </c>
      <c r="AN462" s="32">
        <f t="shared" si="268"/>
        <v>45.177978223842402</v>
      </c>
      <c r="AO462" s="32">
        <f t="shared" si="269"/>
        <v>1.5486598409525731</v>
      </c>
      <c r="AP462" s="60" t="str">
        <f t="shared" si="270"/>
        <v>-0.358453712458506+0.169918027911161i</v>
      </c>
      <c r="AQ462" s="51">
        <f t="shared" si="271"/>
        <v>-8.0310234073793563</v>
      </c>
      <c r="AR462" s="63">
        <f t="shared" si="272"/>
        <v>154.6376166945646</v>
      </c>
      <c r="AS462" s="60" t="str">
        <f t="shared" si="273"/>
        <v>0.0287299791671232-0.0109127146121617i</v>
      </c>
      <c r="AT462" s="66">
        <f t="shared" si="274"/>
        <v>-30.247984777156397</v>
      </c>
      <c r="AU462" s="63">
        <f t="shared" si="275"/>
        <v>-20.798639389752886</v>
      </c>
      <c r="AX462" s="32">
        <f t="shared" si="276"/>
        <v>0</v>
      </c>
      <c r="AY462" s="32">
        <f t="shared" si="277"/>
        <v>0</v>
      </c>
    </row>
    <row r="463" spans="14:51" x14ac:dyDescent="0.3">
      <c r="N463" s="11">
        <v>45</v>
      </c>
      <c r="O463" s="52">
        <f t="shared" si="278"/>
        <v>281838.29312644573</v>
      </c>
      <c r="P463" s="50" t="str">
        <f t="shared" si="244"/>
        <v>131.578947368421</v>
      </c>
      <c r="Q463" s="18" t="str">
        <f t="shared" si="245"/>
        <v>1+2656.26333355899i</v>
      </c>
      <c r="R463" s="18">
        <f t="shared" si="253"/>
        <v>2656.2635217933325</v>
      </c>
      <c r="S463" s="18">
        <f t="shared" si="254"/>
        <v>1.5704198581142039</v>
      </c>
      <c r="T463" s="18" t="str">
        <f t="shared" si="246"/>
        <v>1+0.00584377933382978i</v>
      </c>
      <c r="U463" s="18">
        <f t="shared" si="255"/>
        <v>1.000017074732678</v>
      </c>
      <c r="V463" s="18">
        <f t="shared" si="256"/>
        <v>5.8437128139782095E-3</v>
      </c>
      <c r="W463" s="32" t="str">
        <f t="shared" si="247"/>
        <v>1-1.41667377789813i</v>
      </c>
      <c r="X463" s="18">
        <f t="shared" si="257"/>
        <v>1.7340601468761572</v>
      </c>
      <c r="Y463" s="18">
        <f t="shared" si="258"/>
        <v>-0.95613573980090649</v>
      </c>
      <c r="Z463" s="32" t="str">
        <f t="shared" si="248"/>
        <v>0.949162992977646+0.5996009630139i</v>
      </c>
      <c r="AA463" s="18">
        <f t="shared" si="259"/>
        <v>1.1226894949564099</v>
      </c>
      <c r="AB463" s="18">
        <f t="shared" si="260"/>
        <v>0.56341386153249517</v>
      </c>
      <c r="AC463" s="68" t="str">
        <f t="shared" si="261"/>
        <v>-0.076385275820911-0.00439446409636618i</v>
      </c>
      <c r="AD463" s="66">
        <f t="shared" si="262"/>
        <v>-22.325456737447201</v>
      </c>
      <c r="AE463" s="63">
        <f t="shared" si="263"/>
        <v>-176.7073887697409</v>
      </c>
      <c r="AF463" s="32" t="str">
        <f t="shared" si="249"/>
        <v>-0.434440565864413</v>
      </c>
      <c r="AG463" s="32" t="str">
        <f t="shared" si="250"/>
        <v>46.2189820039265i</v>
      </c>
      <c r="AH463" s="32">
        <f t="shared" si="264"/>
        <v>46.218982003926499</v>
      </c>
      <c r="AI463" s="32">
        <f t="shared" si="265"/>
        <v>1.5707963267948966</v>
      </c>
      <c r="AJ463" s="32" t="str">
        <f t="shared" si="251"/>
        <v>1+0.457613683207193i</v>
      </c>
      <c r="AK463" s="32">
        <f t="shared" si="266"/>
        <v>1.0997319141765656</v>
      </c>
      <c r="AL463" s="32">
        <f t="shared" si="267"/>
        <v>0.42916739897670858</v>
      </c>
      <c r="AM463" s="32" t="str">
        <f t="shared" si="252"/>
        <v>1+46.2189820039265i</v>
      </c>
      <c r="AN463" s="32">
        <f t="shared" si="268"/>
        <v>46.229798804226711</v>
      </c>
      <c r="AO463" s="32">
        <f t="shared" si="269"/>
        <v>1.5491635698685167</v>
      </c>
      <c r="AP463" s="60" t="str">
        <f t="shared" si="270"/>
        <v>-0.355660258680297+0.172154614416209i</v>
      </c>
      <c r="AQ463" s="51">
        <f t="shared" si="271"/>
        <v>-8.0650966017236474</v>
      </c>
      <c r="AR463" s="63">
        <f t="shared" si="272"/>
        <v>154.17105366291349</v>
      </c>
      <c r="AS463" s="60" t="str">
        <f t="shared" si="273"/>
        <v>0.0279237342299068-0.0115871414687498i</v>
      </c>
      <c r="AT463" s="66">
        <f t="shared" si="274"/>
        <v>-30.390553339170857</v>
      </c>
      <c r="AU463" s="63">
        <f t="shared" si="275"/>
        <v>-22.536335106827384</v>
      </c>
      <c r="AX463" s="32">
        <f t="shared" si="276"/>
        <v>0</v>
      </c>
      <c r="AY463" s="32">
        <f t="shared" si="277"/>
        <v>0</v>
      </c>
    </row>
    <row r="464" spans="14:51" x14ac:dyDescent="0.3">
      <c r="N464" s="11">
        <v>46</v>
      </c>
      <c r="O464" s="52">
        <f t="shared" si="278"/>
        <v>288403.1503126609</v>
      </c>
      <c r="P464" s="50" t="str">
        <f t="shared" si="244"/>
        <v>131.578947368421</v>
      </c>
      <c r="Q464" s="18" t="str">
        <f t="shared" si="245"/>
        <v>1+2718.13565488323i</v>
      </c>
      <c r="R464" s="18">
        <f t="shared" si="253"/>
        <v>2718.1358388328363</v>
      </c>
      <c r="S464" s="18">
        <f t="shared" si="254"/>
        <v>1.5704284275868174</v>
      </c>
      <c r="T464" s="18" t="str">
        <f t="shared" si="246"/>
        <v>1+0.00597989844074311i</v>
      </c>
      <c r="U464" s="18">
        <f t="shared" si="255"/>
        <v>1.0000178794328438</v>
      </c>
      <c r="V464" s="18">
        <f t="shared" si="256"/>
        <v>5.9798271635067984E-3</v>
      </c>
      <c r="W464" s="32" t="str">
        <f t="shared" si="247"/>
        <v>1-1.44967234927106i</v>
      </c>
      <c r="X464" s="18">
        <f t="shared" si="257"/>
        <v>1.7611217789355382</v>
      </c>
      <c r="Y464" s="18">
        <f t="shared" si="258"/>
        <v>-0.96694136860797486</v>
      </c>
      <c r="Z464" s="32" t="str">
        <f t="shared" si="248"/>
        <v>0.946767118649429+0.613567463616916i</v>
      </c>
      <c r="AA464" s="18">
        <f t="shared" si="259"/>
        <v>1.128199011418215</v>
      </c>
      <c r="AB464" s="18">
        <f t="shared" si="260"/>
        <v>0.57501435445878768</v>
      </c>
      <c r="AC464" s="68" t="str">
        <f t="shared" si="261"/>
        <v>-0.07551926552526-0.00265849420041244i</v>
      </c>
      <c r="AD464" s="66">
        <f t="shared" si="262"/>
        <v>-22.433466224733909</v>
      </c>
      <c r="AE464" s="63">
        <f t="shared" si="263"/>
        <v>-177.98385719717299</v>
      </c>
      <c r="AF464" s="32" t="str">
        <f t="shared" si="249"/>
        <v>-0.434440565864413</v>
      </c>
      <c r="AG464" s="32" t="str">
        <f t="shared" si="250"/>
        <v>47.2955603949682i</v>
      </c>
      <c r="AH464" s="32">
        <f t="shared" si="264"/>
        <v>47.295560394968199</v>
      </c>
      <c r="AI464" s="32">
        <f t="shared" si="265"/>
        <v>1.5707963267948966</v>
      </c>
      <c r="AJ464" s="32" t="str">
        <f t="shared" si="251"/>
        <v>1+0.468272875197705i</v>
      </c>
      <c r="AK464" s="32">
        <f t="shared" si="266"/>
        <v>1.1042098920250287</v>
      </c>
      <c r="AL464" s="32">
        <f t="shared" si="267"/>
        <v>0.43794531456125518</v>
      </c>
      <c r="AM464" s="32" t="str">
        <f t="shared" si="252"/>
        <v>1+47.2955603949682i</v>
      </c>
      <c r="AN464" s="32">
        <f t="shared" si="268"/>
        <v>47.306131030492068</v>
      </c>
      <c r="AO464" s="32">
        <f t="shared" si="269"/>
        <v>1.5496558431245173</v>
      </c>
      <c r="AP464" s="60" t="str">
        <f t="shared" si="270"/>
        <v>-0.352781441160154+0.174383631915007i</v>
      </c>
      <c r="AQ464" s="51">
        <f t="shared" si="271"/>
        <v>-8.1004841609968476</v>
      </c>
      <c r="AR464" s="63">
        <f t="shared" si="272"/>
        <v>153.69632132693289</v>
      </c>
      <c r="AS464" s="60" t="str">
        <f t="shared" si="273"/>
        <v>0.0271053932014505-0.0122314563865112i</v>
      </c>
      <c r="AT464" s="66">
        <f t="shared" si="274"/>
        <v>-30.533950385730741</v>
      </c>
      <c r="AU464" s="63">
        <f t="shared" si="275"/>
        <v>-24.28753587024006</v>
      </c>
      <c r="AX464" s="32">
        <f t="shared" si="276"/>
        <v>0</v>
      </c>
      <c r="AY464" s="32">
        <f t="shared" si="277"/>
        <v>0</v>
      </c>
    </row>
    <row r="465" spans="14:51" x14ac:dyDescent="0.3">
      <c r="N465" s="11">
        <v>47</v>
      </c>
      <c r="O465" s="52">
        <f t="shared" si="278"/>
        <v>295120.92266663886</v>
      </c>
      <c r="P465" s="50" t="str">
        <f t="shared" si="244"/>
        <v>131.578947368421</v>
      </c>
      <c r="Q465" s="18" t="str">
        <f t="shared" si="245"/>
        <v>1+2781.44916771046i</v>
      </c>
      <c r="R465" s="18">
        <f t="shared" si="253"/>
        <v>2781.4493474728624</v>
      </c>
      <c r="S465" s="18">
        <f t="shared" si="254"/>
        <v>1.5704368019944714</v>
      </c>
      <c r="T465" s="18" t="str">
        <f t="shared" si="246"/>
        <v>1+0.00611918816896302i</v>
      </c>
      <c r="U465" s="18">
        <f t="shared" si="255"/>
        <v>1.0000187220566659</v>
      </c>
      <c r="V465" s="18">
        <f t="shared" si="256"/>
        <v>6.1191117941055131E-3</v>
      </c>
      <c r="W465" s="32" t="str">
        <f t="shared" si="247"/>
        <v>1-1.48343955611225i</v>
      </c>
      <c r="X465" s="18">
        <f t="shared" si="257"/>
        <v>1.7890200995624699</v>
      </c>
      <c r="Y465" s="18">
        <f t="shared" si="258"/>
        <v>-0.97765900070160094</v>
      </c>
      <c r="Z465" s="32" t="str">
        <f t="shared" si="248"/>
        <v>0.944258330242811+0.627859285810666i</v>
      </c>
      <c r="AA465" s="18">
        <f t="shared" si="259"/>
        <v>1.133944917979538</v>
      </c>
      <c r="AB465" s="18">
        <f t="shared" si="260"/>
        <v>0.58679462790175463</v>
      </c>
      <c r="AC465" s="68" t="str">
        <f t="shared" si="261"/>
        <v>-0.0746295712991771-0.000956903153169383i</v>
      </c>
      <c r="AD465" s="66">
        <f t="shared" si="262"/>
        <v>-22.541067120918377</v>
      </c>
      <c r="AE465" s="63">
        <f t="shared" si="263"/>
        <v>-179.2653916290337</v>
      </c>
      <c r="AF465" s="32" t="str">
        <f t="shared" si="249"/>
        <v>-0.434440565864413</v>
      </c>
      <c r="AG465" s="32" t="str">
        <f t="shared" si="250"/>
        <v>48.3972155181621i</v>
      </c>
      <c r="AH465" s="32">
        <f t="shared" si="264"/>
        <v>48.397215518162099</v>
      </c>
      <c r="AI465" s="32">
        <f t="shared" si="265"/>
        <v>1.5707963267948966</v>
      </c>
      <c r="AJ465" s="32" t="str">
        <f t="shared" si="251"/>
        <v>1+0.479180351664972i</v>
      </c>
      <c r="AK465" s="32">
        <f t="shared" si="266"/>
        <v>1.1088795288135525</v>
      </c>
      <c r="AL465" s="32">
        <f t="shared" si="267"/>
        <v>0.44685359805440023</v>
      </c>
      <c r="AM465" s="32" t="str">
        <f t="shared" si="252"/>
        <v>1+48.3972155181621i</v>
      </c>
      <c r="AN465" s="32">
        <f t="shared" si="268"/>
        <v>48.407545588590118</v>
      </c>
      <c r="AO465" s="32">
        <f t="shared" si="269"/>
        <v>1.550136920775472</v>
      </c>
      <c r="AP465" s="60" t="str">
        <f t="shared" si="270"/>
        <v>-0.34981647963555+0.176601744906329i</v>
      </c>
      <c r="AQ465" s="51">
        <f t="shared" si="271"/>
        <v>-8.1372261567921385</v>
      </c>
      <c r="AR465" s="63">
        <f t="shared" si="272"/>
        <v>153.2134779990873</v>
      </c>
      <c r="AS465" s="60" t="str">
        <f t="shared" si="273"/>
        <v>0.0262756446751445-0.0128449720206521i</v>
      </c>
      <c r="AT465" s="66">
        <f t="shared" si="274"/>
        <v>-30.678293277710512</v>
      </c>
      <c r="AU465" s="63">
        <f t="shared" si="275"/>
        <v>-26.051913629946391</v>
      </c>
      <c r="AX465" s="32">
        <f t="shared" si="276"/>
        <v>0</v>
      </c>
      <c r="AY465" s="32">
        <f t="shared" si="277"/>
        <v>0</v>
      </c>
    </row>
    <row r="466" spans="14:51" x14ac:dyDescent="0.3">
      <c r="N466" s="11">
        <v>48</v>
      </c>
      <c r="O466" s="52">
        <f t="shared" si="278"/>
        <v>301995.17204020242</v>
      </c>
      <c r="P466" s="50" t="str">
        <f t="shared" si="244"/>
        <v>131.578947368421</v>
      </c>
      <c r="Q466" s="18" t="str">
        <f t="shared" si="245"/>
        <v>1+2846.23744170325i</v>
      </c>
      <c r="R466" s="18">
        <f t="shared" si="253"/>
        <v>2846.2376173737607</v>
      </c>
      <c r="S466" s="18">
        <f t="shared" si="254"/>
        <v>1.570444985777383</v>
      </c>
      <c r="T466" s="18" t="str">
        <f t="shared" si="246"/>
        <v>1+0.00626172237174716i</v>
      </c>
      <c r="U466" s="18">
        <f t="shared" si="255"/>
        <v>1.0000196043913643</v>
      </c>
      <c r="V466" s="18">
        <f t="shared" si="256"/>
        <v>6.2616405346995543E-3</v>
      </c>
      <c r="W466" s="32" t="str">
        <f t="shared" si="247"/>
        <v>1-1.51799330224174i</v>
      </c>
      <c r="X466" s="18">
        <f t="shared" si="257"/>
        <v>1.8177743714913526</v>
      </c>
      <c r="Y466" s="18">
        <f t="shared" si="258"/>
        <v>-0.98828446983946716</v>
      </c>
      <c r="Z466" s="32" t="str">
        <f t="shared" si="248"/>
        <v>0.941631306281221+0.642484007308454i</v>
      </c>
      <c r="AA466" s="18">
        <f t="shared" si="259"/>
        <v>1.1399364967470813</v>
      </c>
      <c r="AB466" s="18">
        <f t="shared" si="260"/>
        <v>0.59875423154303842</v>
      </c>
      <c r="AC466" s="68" t="str">
        <f t="shared" si="261"/>
        <v>-0.0737162017191285+0.000709864220335475i</v>
      </c>
      <c r="AD466" s="66">
        <f t="shared" si="262"/>
        <v>-22.648338297611275</v>
      </c>
      <c r="AE466" s="63">
        <f t="shared" si="263"/>
        <v>179.44827641979904</v>
      </c>
      <c r="AF466" s="32" t="str">
        <f t="shared" si="249"/>
        <v>-0.434440565864413</v>
      </c>
      <c r="AG466" s="32" t="str">
        <f t="shared" si="250"/>
        <v>49.5245314856367i</v>
      </c>
      <c r="AH466" s="32">
        <f t="shared" si="264"/>
        <v>49.5245314856367</v>
      </c>
      <c r="AI466" s="32">
        <f t="shared" si="265"/>
        <v>1.5707963267948966</v>
      </c>
      <c r="AJ466" s="32" t="str">
        <f t="shared" si="251"/>
        <v>1+0.490341895897393i</v>
      </c>
      <c r="AK466" s="32">
        <f t="shared" si="266"/>
        <v>1.1137482547112025</v>
      </c>
      <c r="AL466" s="32">
        <f t="shared" si="267"/>
        <v>0.45589131622806672</v>
      </c>
      <c r="AM466" s="32" t="str">
        <f t="shared" si="252"/>
        <v>1+49.5245314856367i</v>
      </c>
      <c r="AN466" s="32">
        <f t="shared" si="268"/>
        <v>49.534626463432843</v>
      </c>
      <c r="AO466" s="32">
        <f t="shared" si="269"/>
        <v>1.5506070570039001</v>
      </c>
      <c r="AP466" s="60" t="str">
        <f t="shared" si="270"/>
        <v>-0.346764734535588+0.178805507060265i</v>
      </c>
      <c r="AQ466" s="51">
        <f t="shared" si="271"/>
        <v>-8.1753629824996903</v>
      </c>
      <c r="AR466" s="63">
        <f t="shared" si="272"/>
        <v>152.72259171299277</v>
      </c>
      <c r="AS466" s="60" t="str">
        <f t="shared" si="273"/>
        <v>0.0254352514882444-0.0134270187048665i</v>
      </c>
      <c r="AT466" s="66">
        <f t="shared" si="274"/>
        <v>-30.823701280110974</v>
      </c>
      <c r="AU466" s="63">
        <f t="shared" si="275"/>
        <v>-27.829131867208229</v>
      </c>
      <c r="AX466" s="32">
        <f t="shared" si="276"/>
        <v>0</v>
      </c>
      <c r="AY466" s="32">
        <f t="shared" si="277"/>
        <v>0</v>
      </c>
    </row>
    <row r="467" spans="14:51" x14ac:dyDescent="0.3">
      <c r="N467" s="11">
        <v>49</v>
      </c>
      <c r="O467" s="52">
        <f t="shared" si="278"/>
        <v>309029.54325135931</v>
      </c>
      <c r="P467" s="50" t="str">
        <f t="shared" ref="P467:P530" si="279">COMPLEX(Adc,0)</f>
        <v>131.578947368421</v>
      </c>
      <c r="Q467" s="18" t="str">
        <f t="shared" ref="Q467:Q530" si="280">IMSUM(COMPLEX(1,0),IMDIV(COMPLEX(0,2*PI()*O467),COMPLEX(wp_lf,0)))</f>
        <v>1+2912.53482846204i</v>
      </c>
      <c r="R467" s="18">
        <f t="shared" si="253"/>
        <v>2912.535000133802</v>
      </c>
      <c r="S467" s="18">
        <f t="shared" si="254"/>
        <v>1.5704529832746981</v>
      </c>
      <c r="T467" s="18" t="str">
        <f t="shared" ref="T467:T530" si="281">IMSUM(COMPLEX(1,0),IMDIV(COMPLEX(0,2*PI()*O467),COMPLEX(wz_esr,0)))</f>
        <v>1+0.00640757662261649i</v>
      </c>
      <c r="U467" s="18">
        <f t="shared" si="255"/>
        <v>1.0000205283083816</v>
      </c>
      <c r="V467" s="18">
        <f t="shared" si="256"/>
        <v>6.4074889327373182E-3</v>
      </c>
      <c r="W467" s="32" t="str">
        <f t="shared" ref="W467:W530" si="282">IMSUB(COMPLEX(1,0),IMDIV(COMPLEX(0,2*PI()*O467),COMPLEX(wz_rhp,0)))</f>
        <v>1-1.55335190851309i</v>
      </c>
      <c r="X467" s="18">
        <f t="shared" si="257"/>
        <v>1.8474041657637505</v>
      </c>
      <c r="Y467" s="18">
        <f t="shared" si="258"/>
        <v>-0.99881381271727143</v>
      </c>
      <c r="Z467" s="32" t="str">
        <f t="shared" ref="Z467:Z530" si="283">IMSUM(COMPLEX(1,0),IMDIV(COMPLEX(0,2*PI()*O467),COMPLEX(Q*(wsl/2),0)),IMDIV(IMPOWER(COMPLEX(0,2*PI()*O467),2),IMPOWER(COMPLEX(wsl/2,0),2)))</f>
        <v>0.938880474494628+0.657449382331197i</v>
      </c>
      <c r="AA467" s="18">
        <f t="shared" si="259"/>
        <v>1.1461833342510832</v>
      </c>
      <c r="AB467" s="18">
        <f t="shared" si="260"/>
        <v>0.61089253647744057</v>
      </c>
      <c r="AC467" s="68" t="str">
        <f t="shared" si="261"/>
        <v>-0.0727792178187635+0.00234132788997731i</v>
      </c>
      <c r="AD467" s="66">
        <f t="shared" si="262"/>
        <v>-22.755360017925661</v>
      </c>
      <c r="AE467" s="63">
        <f t="shared" si="263"/>
        <v>178.15741414348435</v>
      </c>
      <c r="AF467" s="32" t="str">
        <f t="shared" ref="AF467:AF530" si="284">COMPLEX(Adc_ea,0)</f>
        <v>-0.434440565864413</v>
      </c>
      <c r="AG467" s="32" t="str">
        <f t="shared" ref="AG467:AG530" si="285">IMDIV(COMPLEX(0,2*PI()*O467),COMPLEX(wp0_ea,0))</f>
        <v>50.6781060152395i</v>
      </c>
      <c r="AH467" s="32">
        <f t="shared" si="264"/>
        <v>50.6781060152395</v>
      </c>
      <c r="AI467" s="32">
        <f t="shared" si="265"/>
        <v>1.5707963267948966</v>
      </c>
      <c r="AJ467" s="32" t="str">
        <f t="shared" ref="AJ467:AJ530" si="286">IMSUM(COMPLEX(1,0),IMDIV(COMPLEX(0,2*PI()*O467),COMPLEX(wp1_ea,0)))</f>
        <v>1+0.501763425893461i</v>
      </c>
      <c r="AK467" s="32">
        <f t="shared" si="266"/>
        <v>1.1188237285490252</v>
      </c>
      <c r="AL467" s="32">
        <f t="shared" si="267"/>
        <v>0.46505735438840667</v>
      </c>
      <c r="AM467" s="32" t="str">
        <f t="shared" ref="AM467:AM530" si="287">IMSUM(COMPLEX(1,0),IMDIV(COMPLEX(0,2*PI()*O467),COMPLEX(wz_ea,0)))</f>
        <v>1+50.6781060152395i</v>
      </c>
      <c r="AN467" s="32">
        <f t="shared" si="268"/>
        <v>50.687971248530488</v>
      </c>
      <c r="AO467" s="32">
        <f t="shared" si="269"/>
        <v>1.5510665002504695</v>
      </c>
      <c r="AP467" s="60" t="str">
        <f t="shared" si="270"/>
        <v>-0.343625717657693+0.180991366688418i</v>
      </c>
      <c r="AQ467" s="51">
        <f t="shared" si="271"/>
        <v>-8.2149352857968641</v>
      </c>
      <c r="AR467" s="63">
        <f t="shared" si="272"/>
        <v>152.22374057050359</v>
      </c>
      <c r="AS467" s="60" t="str">
        <f t="shared" si="273"/>
        <v>0.0245850508188655-0.0139769505759975i</v>
      </c>
      <c r="AT467" s="66">
        <f t="shared" si="274"/>
        <v>-30.970295303722516</v>
      </c>
      <c r="AU467" s="63">
        <f t="shared" si="275"/>
        <v>-29.618845286012018</v>
      </c>
      <c r="AX467" s="32">
        <f t="shared" si="276"/>
        <v>0</v>
      </c>
      <c r="AY467" s="32">
        <f t="shared" si="277"/>
        <v>0</v>
      </c>
    </row>
    <row r="468" spans="14:51" x14ac:dyDescent="0.3">
      <c r="N468" s="11">
        <v>50</v>
      </c>
      <c r="O468" s="52">
        <f t="shared" si="278"/>
        <v>316227.7660168382</v>
      </c>
      <c r="P468" s="50" t="str">
        <f t="shared" si="279"/>
        <v>131.578947368421</v>
      </c>
      <c r="Q468" s="18" t="str">
        <f t="shared" si="280"/>
        <v>1+2980.37647973883i</v>
      </c>
      <c r="R468" s="18">
        <f t="shared" ref="R468:R531" si="288">IMABS(Q468)</f>
        <v>2980.3766475028651</v>
      </c>
      <c r="S468" s="18">
        <f t="shared" ref="S468:S531" si="289">IMARGUMENT(Q468)</f>
        <v>1.5704607987267911</v>
      </c>
      <c r="T468" s="18" t="str">
        <f t="shared" si="281"/>
        <v>1+0.00655682825542543i</v>
      </c>
      <c r="U468" s="18">
        <f t="shared" ref="U468:U531" si="290">IMABS(T468)</f>
        <v>1.0000214957673514</v>
      </c>
      <c r="V468" s="18">
        <f t="shared" ref="V468:V531" si="291">IMARGUMENT(T468)</f>
        <v>6.5567342941361059E-3</v>
      </c>
      <c r="W468" s="32" t="str">
        <f t="shared" si="282"/>
        <v>1-1.58953412252738i</v>
      </c>
      <c r="X468" s="18">
        <f t="shared" ref="X468:X531" si="292">IMABS(W468)</f>
        <v>1.8779293721220953</v>
      </c>
      <c r="Y468" s="18">
        <f t="shared" ref="Y468:Y531" si="293">IMARGUMENT(W468)</f>
        <v>-1.0092432730867451</v>
      </c>
      <c r="Z468" s="32" t="str">
        <f t="shared" si="283"/>
        <v>0.936+0.672763345718823i</v>
      </c>
      <c r="AA468" s="18">
        <f t="shared" ref="AA468:AA531" si="294">IMABS(Z468)</f>
        <v>1.1526953280649594</v>
      </c>
      <c r="AB468" s="18">
        <f t="shared" ref="AB468:AB531" si="295">IMARGUMENT(Z468)</f>
        <v>0.62320873131582066</v>
      </c>
      <c r="AC468" s="68" t="str">
        <f t="shared" ref="AC468:AC531" si="296">(IMDIV(IMPRODUCT(P468,T468,W468),IMPRODUCT(Q468,Z468)))</f>
        <v>-0.0718187357383585+0.00393697573970183i</v>
      </c>
      <c r="AD468" s="66">
        <f t="shared" ref="AD468:AD531" si="297">20*LOG(IMABS(AC468))</f>
        <v>-22.862213740587819</v>
      </c>
      <c r="AE468" s="63">
        <f t="shared" ref="AE468:AE531" si="298">(180/PI())*IMARGUMENT(AC468)</f>
        <v>176.86228743471457</v>
      </c>
      <c r="AF468" s="32" t="str">
        <f t="shared" si="284"/>
        <v>-0.434440565864413</v>
      </c>
      <c r="AG468" s="32" t="str">
        <f t="shared" si="285"/>
        <v>51.8585507474557i</v>
      </c>
      <c r="AH468" s="32">
        <f t="shared" ref="AH468:AH531" si="299">IMABS(AG468)</f>
        <v>51.858550747455702</v>
      </c>
      <c r="AI468" s="32">
        <f t="shared" ref="AI468:AI531" si="300">IMARGUMENT(AG468)</f>
        <v>1.5707963267948966</v>
      </c>
      <c r="AJ468" s="32" t="str">
        <f t="shared" si="286"/>
        <v>1+0.513450997499561i</v>
      </c>
      <c r="AK468" s="32">
        <f t="shared" ref="AK468:AK531" si="301">IMABS(AJ468)</f>
        <v>1.1241138406910993</v>
      </c>
      <c r="AL468" s="32">
        <f t="shared" ref="AL468:AL531" si="302">IMARGUMENT(AJ468)</f>
        <v>0.47435041077036688</v>
      </c>
      <c r="AM468" s="32" t="str">
        <f t="shared" si="287"/>
        <v>1+51.8585507474557i</v>
      </c>
      <c r="AN468" s="32">
        <f t="shared" ref="AN468:AN531" si="303">IMABS(AM468)</f>
        <v>51.868191462845878</v>
      </c>
      <c r="AO468" s="32">
        <f t="shared" ref="AO468:AO531" si="304">IMARGUMENT(AM468)</f>
        <v>1.5515154933417625</v>
      </c>
      <c r="AP468" s="60" t="str">
        <f t="shared" ref="AP468:AP531" si="305">IMPRODUCT(AF468,IMDIV(AM468,IMPRODUCT(AG468,AJ468)))</f>
        <v>-0.340399102768102+0.183155673188445i</v>
      </c>
      <c r="AQ468" s="51">
        <f t="shared" ref="AQ468:AQ531" si="306">20*LOG(IMABS(AP468))</f>
        <v>-8.2559838961709922</v>
      </c>
      <c r="AR468" s="63">
        <f t="shared" ref="AR468:AR531" si="307">(180/PI())*IMARGUMENT(AP468)</f>
        <v>151.71701307020189</v>
      </c>
      <c r="AS468" s="60" t="str">
        <f t="shared" ref="AS468:AS531" si="308">IMPRODUCT(AC468,AP468)</f>
        <v>0.023725953765345-0.0144941519011164i</v>
      </c>
      <c r="AT468" s="66">
        <f t="shared" ref="AT468:AT531" si="309">20*LOG(IMABS(AS468))</f>
        <v>-31.118197636758801</v>
      </c>
      <c r="AU468" s="63">
        <f t="shared" ref="AU468:AU531" si="310">(180/PI())*IMARGUMENT(AS468)</f>
        <v>-31.420699495083579</v>
      </c>
      <c r="AX468" s="32">
        <f t="shared" ref="AX468:AX531" si="311">SUM((AT469&lt;0)*(AT468&gt;0))*O468</f>
        <v>0</v>
      </c>
      <c r="AY468" s="32">
        <f t="shared" ref="AY468:AY531" si="312">IF(AX468&gt;0,AU468,0)</f>
        <v>0</v>
      </c>
    </row>
    <row r="469" spans="14:51" x14ac:dyDescent="0.3">
      <c r="N469" s="11">
        <v>51</v>
      </c>
      <c r="O469" s="52">
        <f t="shared" si="278"/>
        <v>323593.65692962846</v>
      </c>
      <c r="P469" s="50" t="str">
        <f t="shared" si="279"/>
        <v>131.578947368421</v>
      </c>
      <c r="Q469" s="18" t="str">
        <f t="shared" si="280"/>
        <v>1+3049.79836607512i</v>
      </c>
      <c r="R469" s="18">
        <f t="shared" si="288"/>
        <v>3049.79853002038</v>
      </c>
      <c r="S469" s="18">
        <f t="shared" si="289"/>
        <v>1.5704684362775148</v>
      </c>
      <c r="T469" s="18" t="str">
        <f t="shared" si="281"/>
        <v>1+0.00670955640536528i</v>
      </c>
      <c r="U469" s="18">
        <f t="shared" si="290"/>
        <v>1.0000225088202548</v>
      </c>
      <c r="V469" s="18">
        <f t="shared" si="291"/>
        <v>6.7094557241522169E-3</v>
      </c>
      <c r="W469" s="32" t="str">
        <f t="shared" si="282"/>
        <v>1-1.6265591285734i</v>
      </c>
      <c r="X469" s="18">
        <f t="shared" si="292"/>
        <v>1.9093702099764356</v>
      </c>
      <c r="Y469" s="18">
        <f t="shared" si="293"/>
        <v>-1.0195693049060792</v>
      </c>
      <c r="Z469" s="32" t="str">
        <f t="shared" si="283"/>
        <v>0.932983772924743+0.688434017137425i</v>
      </c>
      <c r="AA469" s="18">
        <f t="shared" si="294"/>
        <v>1.159482693485703</v>
      </c>
      <c r="AB469" s="18">
        <f t="shared" si="295"/>
        <v>0.63570181883734367</v>
      </c>
      <c r="AC469" s="68" t="str">
        <f t="shared" si="296"/>
        <v>-0.0708349292288653+0.0054962669642673i</v>
      </c>
      <c r="AD469" s="66">
        <f t="shared" si="297"/>
        <v>-22.968981919925163</v>
      </c>
      <c r="AE469" s="63">
        <f t="shared" si="298"/>
        <v>175.56316089823693</v>
      </c>
      <c r="AF469" s="32" t="str">
        <f t="shared" si="284"/>
        <v>-0.434440565864413</v>
      </c>
      <c r="AG469" s="32" t="str">
        <f t="shared" si="285"/>
        <v>53.0664915697072i</v>
      </c>
      <c r="AH469" s="32">
        <f t="shared" si="299"/>
        <v>53.066491569707203</v>
      </c>
      <c r="AI469" s="32">
        <f t="shared" si="300"/>
        <v>1.5707963267948966</v>
      </c>
      <c r="AJ469" s="32" t="str">
        <f t="shared" si="286"/>
        <v>1+0.525410807620864i</v>
      </c>
      <c r="AK469" s="32">
        <f t="shared" si="301"/>
        <v>1.1296267156741684</v>
      </c>
      <c r="AL469" s="32">
        <f t="shared" si="302"/>
        <v>0.4837689913070139</v>
      </c>
      <c r="AM469" s="32" t="str">
        <f t="shared" si="287"/>
        <v>1+53.0664915697072i</v>
      </c>
      <c r="AN469" s="32">
        <f t="shared" si="303"/>
        <v>53.075912875030291</v>
      </c>
      <c r="AO469" s="32">
        <f t="shared" si="304"/>
        <v>1.5519542736153262</v>
      </c>
      <c r="AP469" s="60" t="str">
        <f t="shared" si="305"/>
        <v>-0.337084736037958+0.185294684491354i</v>
      </c>
      <c r="AQ469" s="51">
        <f t="shared" si="306"/>
        <v>-8.2985497475312684</v>
      </c>
      <c r="AR469" s="63">
        <f t="shared" si="307"/>
        <v>151.20250841425664</v>
      </c>
      <c r="AS469" s="60" t="str">
        <f t="shared" si="308"/>
        <v>0.0228589443683553-0.0149780435612742i</v>
      </c>
      <c r="AT469" s="66">
        <f t="shared" si="309"/>
        <v>-31.267531667456439</v>
      </c>
      <c r="AU469" s="63">
        <f t="shared" si="310"/>
        <v>-33.234330687506507</v>
      </c>
      <c r="AX469" s="32">
        <f t="shared" si="311"/>
        <v>0</v>
      </c>
      <c r="AY469" s="32">
        <f t="shared" si="312"/>
        <v>0</v>
      </c>
    </row>
    <row r="470" spans="14:51" x14ac:dyDescent="0.3">
      <c r="N470" s="11">
        <v>52</v>
      </c>
      <c r="O470" s="52">
        <f t="shared" si="278"/>
        <v>331131.12148259126</v>
      </c>
      <c r="P470" s="50" t="str">
        <f t="shared" si="279"/>
        <v>131.578947368421</v>
      </c>
      <c r="Q470" s="18" t="str">
        <f t="shared" si="280"/>
        <v>1+3120.83729587398i</v>
      </c>
      <c r="R470" s="18">
        <f t="shared" si="288"/>
        <v>3120.8374560873913</v>
      </c>
      <c r="S470" s="18">
        <f t="shared" si="289"/>
        <v>1.5704758999763959</v>
      </c>
      <c r="T470" s="18" t="str">
        <f t="shared" si="281"/>
        <v>1+0.00686584205092276i</v>
      </c>
      <c r="U470" s="18">
        <f t="shared" si="290"/>
        <v>1.0000235696157707</v>
      </c>
      <c r="V470" s="18">
        <f t="shared" si="291"/>
        <v>6.8657341691966151E-3</v>
      </c>
      <c r="W470" s="32" t="str">
        <f t="shared" si="282"/>
        <v>1-1.66444655779946i</v>
      </c>
      <c r="X470" s="18">
        <f t="shared" si="292"/>
        <v>1.9417472399286346</v>
      </c>
      <c r="Y470" s="18">
        <f t="shared" si="293"/>
        <v>-1.029788574546324</v>
      </c>
      <c r="Z470" s="32" t="str">
        <f t="shared" si="283"/>
        <v>0.929825395446836+0.704469705384419i</v>
      </c>
      <c r="AA470" s="18">
        <f t="shared" si="294"/>
        <v>1.1665559702912993</v>
      </c>
      <c r="AB470" s="18">
        <f t="shared" si="295"/>
        <v>0.64837061324371359</v>
      </c>
      <c r="AC470" s="68" t="str">
        <f t="shared" si="296"/>
        <v>-0.069828031980004+0.00701863573934298i</v>
      </c>
      <c r="AD470" s="66">
        <f t="shared" si="297"/>
        <v>-23.075747802686891</v>
      </c>
      <c r="AE470" s="63">
        <f t="shared" si="298"/>
        <v>174.26029788402542</v>
      </c>
      <c r="AF470" s="32" t="str">
        <f t="shared" si="284"/>
        <v>-0.434440565864413</v>
      </c>
      <c r="AG470" s="32" t="str">
        <f t="shared" si="285"/>
        <v>54.3025689482073i</v>
      </c>
      <c r="AH470" s="32">
        <f t="shared" si="299"/>
        <v>54.302568948207302</v>
      </c>
      <c r="AI470" s="32">
        <f t="shared" si="300"/>
        <v>1.5707963267948966</v>
      </c>
      <c r="AJ470" s="32" t="str">
        <f t="shared" si="286"/>
        <v>1+0.537649197507003i</v>
      </c>
      <c r="AK470" s="32">
        <f t="shared" si="301"/>
        <v>1.1353707146037915</v>
      </c>
      <c r="AL470" s="32">
        <f t="shared" si="302"/>
        <v>0.49331140482780073</v>
      </c>
      <c r="AM470" s="32" t="str">
        <f t="shared" si="287"/>
        <v>1+54.3025689482073i</v>
      </c>
      <c r="AN470" s="32">
        <f t="shared" si="303"/>
        <v>54.311775835216515</v>
      </c>
      <c r="AO470" s="32">
        <f t="shared" si="304"/>
        <v>1.552383073042062</v>
      </c>
      <c r="AP470" s="60" t="str">
        <f t="shared" si="305"/>
        <v>-0.333682646220447+0.187404575532085i</v>
      </c>
      <c r="AQ470" s="51">
        <f t="shared" si="306"/>
        <v>-8.3426737960089206</v>
      </c>
      <c r="AR470" s="63">
        <f t="shared" si="307"/>
        <v>150.68033679055659</v>
      </c>
      <c r="AS470" s="60" t="str">
        <f t="shared" si="308"/>
        <v>0.0219850780399078-0.0154280896398149i</v>
      </c>
      <c r="AT470" s="66">
        <f t="shared" si="309"/>
        <v>-31.418421598695822</v>
      </c>
      <c r="AU470" s="63">
        <f t="shared" si="310"/>
        <v>-35.059365325418064</v>
      </c>
      <c r="AX470" s="32">
        <f t="shared" si="311"/>
        <v>0</v>
      </c>
      <c r="AY470" s="32">
        <f t="shared" si="312"/>
        <v>0</v>
      </c>
    </row>
    <row r="471" spans="14:51" x14ac:dyDescent="0.3">
      <c r="N471" s="11">
        <v>53</v>
      </c>
      <c r="O471" s="52">
        <f t="shared" si="278"/>
        <v>338844.15613920329</v>
      </c>
      <c r="P471" s="50" t="str">
        <f t="shared" si="279"/>
        <v>131.578947368421</v>
      </c>
      <c r="Q471" s="18" t="str">
        <f t="shared" si="280"/>
        <v>1+3193.53093491626i</v>
      </c>
      <c r="R471" s="18">
        <f t="shared" si="288"/>
        <v>3193.5310914827683</v>
      </c>
      <c r="S471" s="18">
        <f t="shared" si="289"/>
        <v>1.5704831937807828</v>
      </c>
      <c r="T471" s="18" t="str">
        <f t="shared" si="281"/>
        <v>1+0.00702576805681578i</v>
      </c>
      <c r="U471" s="18">
        <f t="shared" si="290"/>
        <v>1.0000246804038329</v>
      </c>
      <c r="V471" s="18">
        <f t="shared" si="291"/>
        <v>7.025652459617616E-3</v>
      </c>
      <c r="W471" s="32" t="str">
        <f t="shared" si="282"/>
        <v>1-1.70321649862201i</v>
      </c>
      <c r="X471" s="18">
        <f t="shared" si="292"/>
        <v>1.9750813758370107</v>
      </c>
      <c r="Y471" s="18">
        <f t="shared" si="293"/>
        <v>-1.0398979620836855</v>
      </c>
      <c r="Z471" s="32" t="str">
        <f t="shared" si="283"/>
        <v>0.926518168224199+0.720878912793964i</v>
      </c>
      <c r="AA471" s="18">
        <f t="shared" si="294"/>
        <v>1.173926029594937</v>
      </c>
      <c r="AB471" s="18">
        <f t="shared" si="295"/>
        <v>0.66121373806662442</v>
      </c>
      <c r="AC471" s="68" t="str">
        <f t="shared" si="296"/>
        <v>-0.0687983397412511+0.00850349515732208i</v>
      </c>
      <c r="AD471" s="66">
        <f t="shared" si="297"/>
        <v>-23.182595222665956</v>
      </c>
      <c r="AE471" s="63">
        <f t="shared" si="298"/>
        <v>172.95396053545991</v>
      </c>
      <c r="AF471" s="32" t="str">
        <f t="shared" si="284"/>
        <v>-0.434440565864413</v>
      </c>
      <c r="AG471" s="32" t="str">
        <f t="shared" si="285"/>
        <v>55.5674382675431i</v>
      </c>
      <c r="AH471" s="32">
        <f t="shared" si="299"/>
        <v>55.567438267543103</v>
      </c>
      <c r="AI471" s="32">
        <f t="shared" si="300"/>
        <v>1.5707963267948966</v>
      </c>
      <c r="AJ471" s="32" t="str">
        <f t="shared" si="286"/>
        <v>1+0.550172656114288i</v>
      </c>
      <c r="AK471" s="32">
        <f t="shared" si="301"/>
        <v>1.1413544372962547</v>
      </c>
      <c r="AL471" s="32">
        <f t="shared" si="302"/>
        <v>0.50297575874085287</v>
      </c>
      <c r="AM471" s="32" t="str">
        <f t="shared" si="287"/>
        <v>1+55.5674382675431i</v>
      </c>
      <c r="AN471" s="32">
        <f t="shared" si="303"/>
        <v>55.576435614540934</v>
      </c>
      <c r="AO471" s="32">
        <f t="shared" si="304"/>
        <v>1.5528021183459966</v>
      </c>
      <c r="AP471" s="60" t="str">
        <f t="shared" si="305"/>
        <v>-0.330193054468605+0.189481447755107i</v>
      </c>
      <c r="AQ471" s="51">
        <f t="shared" si="306"/>
        <v>-8.3883969330893198</v>
      </c>
      <c r="AR471" s="63">
        <f t="shared" si="307"/>
        <v>150.15061962695827</v>
      </c>
      <c r="AS471" s="60" t="str">
        <f t="shared" si="308"/>
        <v>0.0211054793681446-0.0158438040569751i</v>
      </c>
      <c r="AT471" s="66">
        <f t="shared" si="309"/>
        <v>-31.570992155755278</v>
      </c>
      <c r="AU471" s="63">
        <f t="shared" si="310"/>
        <v>-36.895419837581734</v>
      </c>
      <c r="AX471" s="32">
        <f t="shared" si="311"/>
        <v>0</v>
      </c>
      <c r="AY471" s="32">
        <f t="shared" si="312"/>
        <v>0</v>
      </c>
    </row>
    <row r="472" spans="14:51" x14ac:dyDescent="0.3">
      <c r="N472" s="11">
        <v>54</v>
      </c>
      <c r="O472" s="52">
        <f t="shared" si="278"/>
        <v>346736.85045253241</v>
      </c>
      <c r="P472" s="50" t="str">
        <f t="shared" si="279"/>
        <v>131.578947368421</v>
      </c>
      <c r="Q472" s="18" t="str">
        <f t="shared" si="280"/>
        <v>1+3267.91782633162i</v>
      </c>
      <c r="R472" s="18">
        <f t="shared" si="288"/>
        <v>3267.9179793342396</v>
      </c>
      <c r="S472" s="18">
        <f t="shared" si="289"/>
        <v>1.5704903215579444</v>
      </c>
      <c r="T472" s="18" t="str">
        <f t="shared" si="281"/>
        <v>1+0.00718941921792957i</v>
      </c>
      <c r="U472" s="18">
        <f t="shared" si="290"/>
        <v>1.0000258435404012</v>
      </c>
      <c r="V472" s="18">
        <f t="shared" si="291"/>
        <v>7.1892953534729888E-3</v>
      </c>
      <c r="W472" s="32" t="str">
        <f t="shared" si="282"/>
        <v>1-1.74288950737686i</v>
      </c>
      <c r="X472" s="18">
        <f t="shared" si="292"/>
        <v>2.0093938974039793</v>
      </c>
      <c r="Y472" s="18">
        <f t="shared" si="293"/>
        <v>-1.049894561713518</v>
      </c>
      <c r="Z472" s="32" t="str">
        <f t="shared" si="283"/>
        <v>0.923055076184485+0.737670339745032i</v>
      </c>
      <c r="AA472" s="18">
        <f t="shared" si="294"/>
        <v>1.1816040808195851</v>
      </c>
      <c r="AB472" s="18">
        <f t="shared" si="295"/>
        <v>0.67422962477770554</v>
      </c>
      <c r="AC472" s="68" t="str">
        <f t="shared" si="296"/>
        <v>-0.0677462122043755+0.00995024141764173i</v>
      </c>
      <c r="AD472" s="66">
        <f t="shared" si="297"/>
        <v>-23.289608394098941</v>
      </c>
      <c r="AE472" s="63">
        <f t="shared" si="298"/>
        <v>171.64440984763954</v>
      </c>
      <c r="AF472" s="32" t="str">
        <f t="shared" si="284"/>
        <v>-0.434440565864413</v>
      </c>
      <c r="AG472" s="32" t="str">
        <f t="shared" si="285"/>
        <v>56.8617701781702i</v>
      </c>
      <c r="AH472" s="32">
        <f t="shared" si="299"/>
        <v>56.861770178170197</v>
      </c>
      <c r="AI472" s="32">
        <f t="shared" si="300"/>
        <v>1.5707963267948966</v>
      </c>
      <c r="AJ472" s="32" t="str">
        <f t="shared" si="286"/>
        <v>1+0.56298782354624i</v>
      </c>
      <c r="AK472" s="32">
        <f t="shared" si="301"/>
        <v>1.147586724156973</v>
      </c>
      <c r="AL472" s="32">
        <f t="shared" si="302"/>
        <v>0.51275995525470419</v>
      </c>
      <c r="AM472" s="32" t="str">
        <f t="shared" si="287"/>
        <v>1+56.8617701781702i</v>
      </c>
      <c r="AN472" s="32">
        <f t="shared" si="303"/>
        <v>56.870562752579168</v>
      </c>
      <c r="AO472" s="32">
        <f t="shared" si="304"/>
        <v>1.5532116311214874</v>
      </c>
      <c r="AP472" s="60" t="str">
        <f t="shared" si="305"/>
        <v>-0.326616383688408+0.191521339656734i</v>
      </c>
      <c r="AQ472" s="51">
        <f t="shared" si="306"/>
        <v>-8.4357598942687755</v>
      </c>
      <c r="AR472" s="63">
        <f t="shared" si="307"/>
        <v>149.6134898144802</v>
      </c>
      <c r="AS472" s="60" t="str">
        <f t="shared" si="308"/>
        <v>0.020221339272566-0.0162247571867081i</v>
      </c>
      <c r="AT472" s="66">
        <f t="shared" si="309"/>
        <v>-31.725368288367712</v>
      </c>
      <c r="AU472" s="63">
        <f t="shared" si="310"/>
        <v>-38.742100337880139</v>
      </c>
      <c r="AX472" s="32">
        <f t="shared" si="311"/>
        <v>0</v>
      </c>
      <c r="AY472" s="32">
        <f t="shared" si="312"/>
        <v>0</v>
      </c>
    </row>
    <row r="473" spans="14:51" x14ac:dyDescent="0.3">
      <c r="N473" s="11">
        <v>55</v>
      </c>
      <c r="O473" s="52">
        <f t="shared" si="278"/>
        <v>354813.38923357555</v>
      </c>
      <c r="P473" s="50" t="str">
        <f t="shared" si="279"/>
        <v>131.578947368421</v>
      </c>
      <c r="Q473" s="18" t="str">
        <f t="shared" si="280"/>
        <v>1+3344.03741103448i</v>
      </c>
      <c r="R473" s="18">
        <f t="shared" si="288"/>
        <v>3344.0375605543345</v>
      </c>
      <c r="S473" s="18">
        <f t="shared" si="289"/>
        <v>1.5704972870871194</v>
      </c>
      <c r="T473" s="18" t="str">
        <f t="shared" si="281"/>
        <v>1+0.00735688230427587i</v>
      </c>
      <c r="U473" s="18">
        <f t="shared" si="290"/>
        <v>1.0000270614924573</v>
      </c>
      <c r="V473" s="18">
        <f t="shared" si="291"/>
        <v>7.3567495813133864E-3</v>
      </c>
      <c r="W473" s="32" t="str">
        <f t="shared" si="282"/>
        <v>1-1.78348661921839i</v>
      </c>
      <c r="X473" s="18">
        <f t="shared" si="292"/>
        <v>2.044706463268271</v>
      </c>
      <c r="Y473" s="18">
        <f t="shared" si="293"/>
        <v>-1.0597756813266921</v>
      </c>
      <c r="Z473" s="32" t="str">
        <f t="shared" si="283"/>
        <v>0.919428773645174+0.75485288927445i</v>
      </c>
      <c r="AA473" s="18">
        <f t="shared" si="294"/>
        <v>1.1896016788205428</v>
      </c>
      <c r="AB473" s="18">
        <f t="shared" si="295"/>
        <v>0.68741651214737642</v>
      </c>
      <c r="AC473" s="68" t="str">
        <f t="shared" si="296"/>
        <v>-0.0666720746163952+0.0113582582566503i</v>
      </c>
      <c r="AD473" s="66">
        <f t="shared" si="297"/>
        <v>-23.396871704825916</v>
      </c>
      <c r="AE473" s="63">
        <f t="shared" si="298"/>
        <v>170.33190573083758</v>
      </c>
      <c r="AF473" s="32" t="str">
        <f t="shared" si="284"/>
        <v>-0.434440565864413</v>
      </c>
      <c r="AG473" s="32" t="str">
        <f t="shared" si="285"/>
        <v>58.1862509520001i</v>
      </c>
      <c r="AH473" s="32">
        <f t="shared" si="299"/>
        <v>58.186250952000101</v>
      </c>
      <c r="AI473" s="32">
        <f t="shared" si="300"/>
        <v>1.5707963267948966</v>
      </c>
      <c r="AJ473" s="32" t="str">
        <f t="shared" si="286"/>
        <v>1+0.576101494574258i</v>
      </c>
      <c r="AK473" s="32">
        <f t="shared" si="301"/>
        <v>1.1540766577878152</v>
      </c>
      <c r="AL473" s="32">
        <f t="shared" si="302"/>
        <v>0.52266168819471015</v>
      </c>
      <c r="AM473" s="32" t="str">
        <f t="shared" si="287"/>
        <v>1+58.1862509520001i</v>
      </c>
      <c r="AN473" s="32">
        <f t="shared" si="303"/>
        <v>58.194843412875798</v>
      </c>
      <c r="AO473" s="32">
        <f t="shared" si="304"/>
        <v>1.5536118279479094</v>
      </c>
      <c r="AP473" s="60" t="str">
        <f t="shared" si="305"/>
        <v>-0.322953267317744+0.193520238354978i</v>
      </c>
      <c r="AQ473" s="51">
        <f t="shared" si="306"/>
        <v>-8.4848031634775758</v>
      </c>
      <c r="AR473" s="63">
        <f t="shared" si="307"/>
        <v>149.0690918962807</v>
      </c>
      <c r="AS473" s="60" t="str">
        <f t="shared" si="308"/>
        <v>0.0193339114910929-0.0165705823864096i</v>
      </c>
      <c r="AT473" s="66">
        <f t="shared" si="309"/>
        <v>-31.881674868303499</v>
      </c>
      <c r="AU473" s="63">
        <f t="shared" si="310"/>
        <v>-40.599002372881664</v>
      </c>
      <c r="AX473" s="32">
        <f t="shared" si="311"/>
        <v>0</v>
      </c>
      <c r="AY473" s="32">
        <f t="shared" si="312"/>
        <v>0</v>
      </c>
    </row>
    <row r="474" spans="14:51" x14ac:dyDescent="0.3">
      <c r="N474" s="11">
        <v>56</v>
      </c>
      <c r="O474" s="52">
        <f t="shared" si="278"/>
        <v>363078.05477010203</v>
      </c>
      <c r="P474" s="50" t="str">
        <f t="shared" si="279"/>
        <v>131.578947368421</v>
      </c>
      <c r="Q474" s="18" t="str">
        <f t="shared" si="280"/>
        <v>1+3421.93004863627i</v>
      </c>
      <c r="R474" s="18">
        <f t="shared" si="288"/>
        <v>3421.9301947526374</v>
      </c>
      <c r="S474" s="18">
        <f t="shared" si="289"/>
        <v>1.5705040940615209</v>
      </c>
      <c r="T474" s="18" t="str">
        <f t="shared" si="281"/>
        <v>1+0.00752824610699981i</v>
      </c>
      <c r="U474" s="18">
        <f t="shared" si="290"/>
        <v>1.0000283368432354</v>
      </c>
      <c r="V474" s="18">
        <f t="shared" si="291"/>
        <v>7.5281038920009058E-3</v>
      </c>
      <c r="W474" s="32" t="str">
        <f t="shared" si="282"/>
        <v>1-1.82502935927268i</v>
      </c>
      <c r="X474" s="18">
        <f t="shared" si="292"/>
        <v>2.0810411245833778</v>
      </c>
      <c r="Y474" s="18">
        <f t="shared" si="293"/>
        <v>-1.0695388412933673</v>
      </c>
      <c r="Z474" s="32" t="str">
        <f t="shared" si="283"/>
        <v>0.91563156873239+0.772435671797428i</v>
      </c>
      <c r="AA474" s="18">
        <f t="shared" si="294"/>
        <v>1.1979307311879437</v>
      </c>
      <c r="AB474" s="18">
        <f t="shared" si="295"/>
        <v>0.70077244639563752</v>
      </c>
      <c r="AC474" s="68" t="str">
        <f t="shared" si="296"/>
        <v>-0.0655764190925159+0.012726921598226i</v>
      </c>
      <c r="AD474" s="66">
        <f t="shared" si="297"/>
        <v>-23.504469510193928</v>
      </c>
      <c r="AE474" s="63">
        <f t="shared" si="298"/>
        <v>169.01670707405555</v>
      </c>
      <c r="AF474" s="32" t="str">
        <f t="shared" si="284"/>
        <v>-0.434440565864413</v>
      </c>
      <c r="AG474" s="32" t="str">
        <f t="shared" si="285"/>
        <v>59.5415828462712i</v>
      </c>
      <c r="AH474" s="32">
        <f t="shared" si="299"/>
        <v>59.541582846271197</v>
      </c>
      <c r="AI474" s="32">
        <f t="shared" si="300"/>
        <v>1.5707963267948966</v>
      </c>
      <c r="AJ474" s="32" t="str">
        <f t="shared" si="286"/>
        <v>1+0.589520622240309i</v>
      </c>
      <c r="AK474" s="32">
        <f t="shared" si="301"/>
        <v>1.1608335643177281</v>
      </c>
      <c r="AL474" s="32">
        <f t="shared" si="302"/>
        <v>0.5326784404685927</v>
      </c>
      <c r="AM474" s="32" t="str">
        <f t="shared" si="287"/>
        <v>1+59.5415828462712i</v>
      </c>
      <c r="AN474" s="32">
        <f t="shared" si="303"/>
        <v>59.549979746758751</v>
      </c>
      <c r="AO474" s="32">
        <f t="shared" si="304"/>
        <v>1.5540029205018664</v>
      </c>
      <c r="AP474" s="60" t="str">
        <f t="shared" si="305"/>
        <v>-0.319204557418911+0.195474092165901i</v>
      </c>
      <c r="AQ474" s="51">
        <f t="shared" si="306"/>
        <v>-8.5355668735631642</v>
      </c>
      <c r="AR474" s="63">
        <f t="shared" si="307"/>
        <v>148.51758221929987</v>
      </c>
      <c r="AS474" s="60" t="str">
        <f t="shared" si="308"/>
        <v>0.0184445083880637-0.0168809823656671i</v>
      </c>
      <c r="AT474" s="66">
        <f t="shared" si="309"/>
        <v>-32.040036383757105</v>
      </c>
      <c r="AU474" s="63">
        <f t="shared" si="310"/>
        <v>-42.465710706644607</v>
      </c>
      <c r="AX474" s="32">
        <f t="shared" si="311"/>
        <v>0</v>
      </c>
      <c r="AY474" s="32">
        <f t="shared" si="312"/>
        <v>0</v>
      </c>
    </row>
    <row r="475" spans="14:51" x14ac:dyDescent="0.3">
      <c r="N475" s="11">
        <v>57</v>
      </c>
      <c r="O475" s="52">
        <f t="shared" si="278"/>
        <v>371535.2290971732</v>
      </c>
      <c r="P475" s="50" t="str">
        <f t="shared" si="279"/>
        <v>131.578947368421</v>
      </c>
      <c r="Q475" s="18" t="str">
        <f t="shared" si="280"/>
        <v>1+3501.63703884444i</v>
      </c>
      <c r="R475" s="18">
        <f t="shared" si="288"/>
        <v>3501.6371816347937</v>
      </c>
      <c r="S475" s="18">
        <f t="shared" si="289"/>
        <v>1.5705107460902943</v>
      </c>
      <c r="T475" s="18" t="str">
        <f t="shared" si="281"/>
        <v>1+0.00770360148545777i</v>
      </c>
      <c r="U475" s="18">
        <f t="shared" si="290"/>
        <v>1.0000296722977009</v>
      </c>
      <c r="V475" s="18">
        <f t="shared" si="291"/>
        <v>7.7034490995851511E-3</v>
      </c>
      <c r="W475" s="32" t="str">
        <f t="shared" si="282"/>
        <v>1-1.86753975405037i</v>
      </c>
      <c r="X475" s="18">
        <f t="shared" si="292"/>
        <v>2.118420339063642</v>
      </c>
      <c r="Y475" s="18">
        <f t="shared" si="293"/>
        <v>-1.0791817725026489</v>
      </c>
      <c r="Z475" s="32" t="str">
        <f t="shared" si="283"/>
        <v>0.911655407065415+0.790428009937984i</v>
      </c>
      <c r="AA475" s="18">
        <f t="shared" si="294"/>
        <v>1.2066035057657214</v>
      </c>
      <c r="AB475" s="18">
        <f t="shared" si="295"/>
        <v>0.71429528217342664</v>
      </c>
      <c r="AC475" s="68" t="str">
        <f t="shared" si="296"/>
        <v>-0.0644598055998096+0.0140556044024561i</v>
      </c>
      <c r="AD475" s="66">
        <f t="shared" si="297"/>
        <v>-23.61248592868446</v>
      </c>
      <c r="AE475" s="63">
        <f t="shared" si="298"/>
        <v>167.69907180369145</v>
      </c>
      <c r="AF475" s="32" t="str">
        <f t="shared" si="284"/>
        <v>-0.434440565864413</v>
      </c>
      <c r="AG475" s="32" t="str">
        <f t="shared" si="285"/>
        <v>60.9284844758933i</v>
      </c>
      <c r="AH475" s="32">
        <f t="shared" si="299"/>
        <v>60.928484475893299</v>
      </c>
      <c r="AI475" s="32">
        <f t="shared" si="300"/>
        <v>1.5707963267948966</v>
      </c>
      <c r="AJ475" s="32" t="str">
        <f t="shared" si="286"/>
        <v>1+0.603252321543498i</v>
      </c>
      <c r="AK475" s="32">
        <f t="shared" si="301"/>
        <v>1.1678670144531096</v>
      </c>
      <c r="AL475" s="32">
        <f t="shared" si="302"/>
        <v>0.54280748223404662</v>
      </c>
      <c r="AM475" s="32" t="str">
        <f t="shared" si="287"/>
        <v>1+60.9284844758933i</v>
      </c>
      <c r="AN475" s="32">
        <f t="shared" si="303"/>
        <v>60.936690265628727</v>
      </c>
      <c r="AO475" s="32">
        <f t="shared" si="304"/>
        <v>1.5543851156669815</v>
      </c>
      <c r="AP475" s="60" t="str">
        <f t="shared" si="305"/>
        <v>-0.31537133197075+0.197378824152735i</v>
      </c>
      <c r="AQ475" s="51">
        <f t="shared" si="306"/>
        <v>-8.5880907031791587</v>
      </c>
      <c r="AR475" s="63">
        <f t="shared" si="307"/>
        <v>147.95912904553907</v>
      </c>
      <c r="AS475" s="60" t="str">
        <f t="shared" si="308"/>
        <v>0.0175544960808748-0.0171557353164608i</v>
      </c>
      <c r="AT475" s="66">
        <f t="shared" si="309"/>
        <v>-32.200576631863619</v>
      </c>
      <c r="AU475" s="63">
        <f t="shared" si="310"/>
        <v>-44.341799150769397</v>
      </c>
      <c r="AX475" s="32">
        <f t="shared" si="311"/>
        <v>0</v>
      </c>
      <c r="AY475" s="32">
        <f t="shared" si="312"/>
        <v>0</v>
      </c>
    </row>
    <row r="476" spans="14:51" x14ac:dyDescent="0.3">
      <c r="N476" s="11">
        <v>58</v>
      </c>
      <c r="O476" s="52">
        <f t="shared" si="278"/>
        <v>380189.39632056188</v>
      </c>
      <c r="P476" s="50" t="str">
        <f t="shared" si="279"/>
        <v>131.578947368421</v>
      </c>
      <c r="Q476" s="18" t="str">
        <f t="shared" si="280"/>
        <v>1+3583.20064336024i</v>
      </c>
      <c r="R476" s="18">
        <f t="shared" si="288"/>
        <v>3583.2007829002887</v>
      </c>
      <c r="S476" s="18">
        <f t="shared" si="289"/>
        <v>1.5705172467004311</v>
      </c>
      <c r="T476" s="18" t="str">
        <f t="shared" si="281"/>
        <v>1+0.00788304141539254i</v>
      </c>
      <c r="U476" s="18">
        <f t="shared" si="290"/>
        <v>1.0000310706882847</v>
      </c>
      <c r="V476" s="18">
        <f t="shared" si="291"/>
        <v>7.8828781312621811E-3</v>
      </c>
      <c r="W476" s="32" t="str">
        <f t="shared" si="282"/>
        <v>1-1.91104034312546i</v>
      </c>
      <c r="X476" s="18">
        <f t="shared" si="292"/>
        <v>2.1568669854798825</v>
      </c>
      <c r="Y476" s="18">
        <f t="shared" si="293"/>
        <v>-1.0887024137094077</v>
      </c>
      <c r="Z476" s="32" t="str">
        <f t="shared" si="283"/>
        <v>0.90749185467226+0.808839443471961i</v>
      </c>
      <c r="AA476" s="18">
        <f t="shared" si="294"/>
        <v>1.2156326384284564</v>
      </c>
      <c r="AB476" s="18">
        <f t="shared" si="295"/>
        <v>0.72798268440832536</v>
      </c>
      <c r="AC476" s="68" t="str">
        <f t="shared" si="296"/>
        <v>-0.0633228625840691+0.0153436816858539i</v>
      </c>
      <c r="AD476" s="66">
        <f t="shared" si="297"/>
        <v>-23.721004640242253</v>
      </c>
      <c r="AE476" s="63">
        <f t="shared" si="298"/>
        <v>166.37925693244037</v>
      </c>
      <c r="AF476" s="32" t="str">
        <f t="shared" si="284"/>
        <v>-0.434440565864413</v>
      </c>
      <c r="AG476" s="32" t="str">
        <f t="shared" si="285"/>
        <v>62.3476911944683i</v>
      </c>
      <c r="AH476" s="32">
        <f t="shared" si="299"/>
        <v>62.347691194468297</v>
      </c>
      <c r="AI476" s="32">
        <f t="shared" si="300"/>
        <v>1.5707963267948966</v>
      </c>
      <c r="AJ476" s="32" t="str">
        <f t="shared" si="286"/>
        <v>1+0.617303873212558i</v>
      </c>
      <c r="AK476" s="32">
        <f t="shared" si="301"/>
        <v>1.1751868242467773</v>
      </c>
      <c r="AL476" s="32">
        <f t="shared" si="302"/>
        <v>0.55304586981928938</v>
      </c>
      <c r="AM476" s="32" t="str">
        <f t="shared" si="287"/>
        <v>1+62.3476911944683i</v>
      </c>
      <c r="AN476" s="32">
        <f t="shared" si="303"/>
        <v>62.355710221925776</v>
      </c>
      <c r="AO476" s="32">
        <f t="shared" si="304"/>
        <v>1.554758615641306</v>
      </c>
      <c r="AP476" s="60" t="str">
        <f t="shared" si="305"/>
        <v>-0.311454901246284+0.199230346600759i</v>
      </c>
      <c r="AQ476" s="51">
        <f t="shared" si="306"/>
        <v>-8.6424137704804469</v>
      </c>
      <c r="AR476" s="63">
        <f t="shared" si="307"/>
        <v>147.39391262006251</v>
      </c>
      <c r="AS476" s="60" t="str">
        <f t="shared" si="308"/>
        <v>0.0166652888923489-0.0173947007245984i</v>
      </c>
      <c r="AT476" s="66">
        <f t="shared" si="309"/>
        <v>-32.36341841072268</v>
      </c>
      <c r="AU476" s="63">
        <f t="shared" si="310"/>
        <v>-46.2268304474971</v>
      </c>
      <c r="AX476" s="32">
        <f t="shared" si="311"/>
        <v>0</v>
      </c>
      <c r="AY476" s="32">
        <f t="shared" si="312"/>
        <v>0</v>
      </c>
    </row>
    <row r="477" spans="14:51" x14ac:dyDescent="0.3">
      <c r="N477" s="11">
        <v>59</v>
      </c>
      <c r="O477" s="52">
        <f t="shared" si="278"/>
        <v>389045.14499428123</v>
      </c>
      <c r="P477" s="50" t="str">
        <f t="shared" si="279"/>
        <v>131.578947368421</v>
      </c>
      <c r="Q477" s="18" t="str">
        <f t="shared" si="280"/>
        <v>1+3666.66410828643i</v>
      </c>
      <c r="R477" s="18">
        <f t="shared" si="288"/>
        <v>3666.6642446501587</v>
      </c>
      <c r="S477" s="18">
        <f t="shared" si="289"/>
        <v>1.5705235993386384</v>
      </c>
      <c r="T477" s="18" t="str">
        <f t="shared" si="281"/>
        <v>1+0.00806666103823015i</v>
      </c>
      <c r="U477" s="18">
        <f t="shared" si="290"/>
        <v>1.0000325349808903</v>
      </c>
      <c r="V477" s="18">
        <f t="shared" si="291"/>
        <v>8.0664860764396579E-3</v>
      </c>
      <c r="W477" s="32" t="str">
        <f t="shared" si="282"/>
        <v>1-1.9555541910861i</v>
      </c>
      <c r="X477" s="18">
        <f t="shared" si="292"/>
        <v>2.196404378586605</v>
      </c>
      <c r="Y477" s="18">
        <f t="shared" si="293"/>
        <v>-1.0980989082415136</v>
      </c>
      <c r="Z477" s="32" t="str">
        <f t="shared" si="283"/>
        <v>0.903132080100082+0.827679734385123i</v>
      </c>
      <c r="AA477" s="18">
        <f t="shared" si="294"/>
        <v>1.2250311411624313</v>
      </c>
      <c r="AB477" s="18">
        <f t="shared" si="295"/>
        <v>0.74183213104241097</v>
      </c>
      <c r="AC477" s="68" t="str">
        <f t="shared" si="296"/>
        <v>-0.0621662872145358+0.0165905356827976i</v>
      </c>
      <c r="AD477" s="66">
        <f t="shared" si="297"/>
        <v>-23.830108688270883</v>
      </c>
      <c r="AE477" s="63">
        <f t="shared" si="298"/>
        <v>165.05751859379382</v>
      </c>
      <c r="AF477" s="32" t="str">
        <f t="shared" si="284"/>
        <v>-0.434440565864413</v>
      </c>
      <c r="AG477" s="32" t="str">
        <f t="shared" si="285"/>
        <v>63.7999554841839i</v>
      </c>
      <c r="AH477" s="32">
        <f t="shared" si="299"/>
        <v>63.799955484183897</v>
      </c>
      <c r="AI477" s="32">
        <f t="shared" si="300"/>
        <v>1.5707963267948966</v>
      </c>
      <c r="AJ477" s="32" t="str">
        <f t="shared" si="286"/>
        <v>1+0.631682727566178i</v>
      </c>
      <c r="AK477" s="32">
        <f t="shared" si="301"/>
        <v>1.1828030555867897</v>
      </c>
      <c r="AL477" s="32">
        <f t="shared" si="302"/>
        <v>0.56339044544442241</v>
      </c>
      <c r="AM477" s="32" t="str">
        <f t="shared" si="287"/>
        <v>1+63.7999554841839i</v>
      </c>
      <c r="AN477" s="32">
        <f t="shared" si="303"/>
        <v>63.80779199897021</v>
      </c>
      <c r="AO477" s="32">
        <f t="shared" si="304"/>
        <v>1.5551236180423986</v>
      </c>
      <c r="AP477" s="60" t="str">
        <f t="shared" si="305"/>
        <v>-0.307456813163334+0.201024576357086i</v>
      </c>
      <c r="AQ477" s="51">
        <f t="shared" si="306"/>
        <v>-8.6985745240751911</v>
      </c>
      <c r="AR477" s="63">
        <f t="shared" si="307"/>
        <v>146.82212519298329</v>
      </c>
      <c r="AS477" s="60" t="str">
        <f t="shared" si="308"/>
        <v>0.0157783431460062-0.0175978247807005i</v>
      </c>
      <c r="AT477" s="66">
        <f t="shared" si="309"/>
        <v>-32.528683212346074</v>
      </c>
      <c r="AU477" s="63">
        <f t="shared" si="310"/>
        <v>-48.120356213222813</v>
      </c>
      <c r="AX477" s="32">
        <f t="shared" si="311"/>
        <v>0</v>
      </c>
      <c r="AY477" s="32">
        <f t="shared" si="312"/>
        <v>0</v>
      </c>
    </row>
    <row r="478" spans="14:51" x14ac:dyDescent="0.3">
      <c r="N478" s="11">
        <v>60</v>
      </c>
      <c r="O478" s="52">
        <f t="shared" si="278"/>
        <v>398107.17055349716</v>
      </c>
      <c r="P478" s="50" t="str">
        <f t="shared" si="279"/>
        <v>131.578947368421</v>
      </c>
      <c r="Q478" s="18" t="str">
        <f t="shared" si="280"/>
        <v>1+3752.07168705685i</v>
      </c>
      <c r="R478" s="18">
        <f t="shared" si="288"/>
        <v>3752.0718203165616</v>
      </c>
      <c r="S478" s="18">
        <f t="shared" si="289"/>
        <v>1.5705298073731671</v>
      </c>
      <c r="T478" s="18" t="str">
        <f t="shared" si="281"/>
        <v>1+0.00825455771152508i</v>
      </c>
      <c r="U478" s="18">
        <f t="shared" si="290"/>
        <v>1.0000340682811826</v>
      </c>
      <c r="V478" s="18">
        <f t="shared" si="291"/>
        <v>8.2543702369338272E-3</v>
      </c>
      <c r="W478" s="32" t="str">
        <f t="shared" si="282"/>
        <v>1-2.00110489976366i</v>
      </c>
      <c r="X478" s="18">
        <f t="shared" si="292"/>
        <v>2.237056284463609</v>
      </c>
      <c r="Y478" s="18">
        <f t="shared" si="293"/>
        <v>-1.1073696001220958</v>
      </c>
      <c r="Z478" s="32" t="str">
        <f t="shared" si="283"/>
        <v>0.898566835682489+0.846958872049091i</v>
      </c>
      <c r="AA478" s="18">
        <f t="shared" si="294"/>
        <v>1.2348124105025466</v>
      </c>
      <c r="AB478" s="18">
        <f t="shared" si="295"/>
        <v>0.75584091668371045</v>
      </c>
      <c r="AC478" s="68" t="str">
        <f t="shared" si="296"/>
        <v>-0.0609908452239495+0.017795561114315i</v>
      </c>
      <c r="AD478" s="66">
        <f t="shared" si="297"/>
        <v>-23.939880286249505</v>
      </c>
      <c r="AE478" s="63">
        <f t="shared" si="298"/>
        <v>163.73411205777646</v>
      </c>
      <c r="AF478" s="32" t="str">
        <f t="shared" si="284"/>
        <v>-0.434440565864413</v>
      </c>
      <c r="AG478" s="32" t="str">
        <f t="shared" si="285"/>
        <v>65.2860473547893i</v>
      </c>
      <c r="AH478" s="32">
        <f t="shared" si="299"/>
        <v>65.286047354789304</v>
      </c>
      <c r="AI478" s="32">
        <f t="shared" si="300"/>
        <v>1.5707963267948966</v>
      </c>
      <c r="AJ478" s="32" t="str">
        <f t="shared" si="286"/>
        <v>1+0.646396508463261i</v>
      </c>
      <c r="AK478" s="32">
        <f t="shared" si="301"/>
        <v>1.1907260164091045</v>
      </c>
      <c r="AL478" s="32">
        <f t="shared" si="302"/>
        <v>0.57383783778793895</v>
      </c>
      <c r="AM478" s="32" t="str">
        <f t="shared" si="287"/>
        <v>1+65.2860473547893i</v>
      </c>
      <c r="AN478" s="32">
        <f t="shared" si="303"/>
        <v>65.293705509886578</v>
      </c>
      <c r="AO478" s="32">
        <f t="shared" si="304"/>
        <v>1.5554803160101156</v>
      </c>
      <c r="AP478" s="60" t="str">
        <f t="shared" si="305"/>
        <v>-0.303378857498684+0.202757450960424i</v>
      </c>
      <c r="AQ478" s="51">
        <f t="shared" si="306"/>
        <v>-8.7566106317383703</v>
      </c>
      <c r="AR478" s="63">
        <f t="shared" si="307"/>
        <v>146.24397099289365</v>
      </c>
      <c r="AS478" s="60" t="str">
        <f t="shared" si="308"/>
        <v>0.0148951503319719-0.0177651453089386i</v>
      </c>
      <c r="AT478" s="66">
        <f t="shared" si="309"/>
        <v>-32.696490917987887</v>
      </c>
      <c r="AU478" s="63">
        <f t="shared" si="310"/>
        <v>-50.021916949329871</v>
      </c>
      <c r="AX478" s="32">
        <f t="shared" si="311"/>
        <v>0</v>
      </c>
      <c r="AY478" s="32">
        <f t="shared" si="312"/>
        <v>0</v>
      </c>
    </row>
    <row r="479" spans="14:51" x14ac:dyDescent="0.3">
      <c r="N479" s="11">
        <v>61</v>
      </c>
      <c r="O479" s="52">
        <f t="shared" si="278"/>
        <v>407380.27780411334</v>
      </c>
      <c r="P479" s="50" t="str">
        <f t="shared" si="279"/>
        <v>131.578947368421</v>
      </c>
      <c r="Q479" s="18" t="str">
        <f t="shared" si="280"/>
        <v>1+3839.46866390031i</v>
      </c>
      <c r="R479" s="18">
        <f t="shared" si="288"/>
        <v>3839.4687941266602</v>
      </c>
      <c r="S479" s="18">
        <f t="shared" si="289"/>
        <v>1.5705358740955973</v>
      </c>
      <c r="T479" s="18" t="str">
        <f t="shared" si="281"/>
        <v>1+0.00844683106058068i</v>
      </c>
      <c r="U479" s="18">
        <f t="shared" si="290"/>
        <v>1.0000356738411715</v>
      </c>
      <c r="V479" s="18">
        <f t="shared" si="291"/>
        <v>8.4466301783239373E-3</v>
      </c>
      <c r="W479" s="32" t="str">
        <f t="shared" si="282"/>
        <v>1-2.04771662074683i</v>
      </c>
      <c r="X479" s="18">
        <f t="shared" si="292"/>
        <v>2.2788469362558814</v>
      </c>
      <c r="Y479" s="18">
        <f t="shared" si="293"/>
        <v>-1.1165130296622032</v>
      </c>
      <c r="Z479" s="32" t="str">
        <f t="shared" si="283"/>
        <v>0.893786437923996+0.866687078517847i</v>
      </c>
      <c r="AA479" s="18">
        <f t="shared" si="294"/>
        <v>1.2449902363820633</v>
      </c>
      <c r="AB479" s="18">
        <f t="shared" si="295"/>
        <v>0.77000615718546195</v>
      </c>
      <c r="AC479" s="68" t="str">
        <f t="shared" si="296"/>
        <v>-0.0597973703246689+0.0189581705270051i</v>
      </c>
      <c r="AD479" s="66">
        <f t="shared" si="297"/>
        <v>-24.050400629907237</v>
      </c>
      <c r="AE479" s="63">
        <f t="shared" si="298"/>
        <v>162.40929172393533</v>
      </c>
      <c r="AF479" s="32" t="str">
        <f t="shared" si="284"/>
        <v>-0.434440565864413</v>
      </c>
      <c r="AG479" s="32" t="str">
        <f t="shared" si="285"/>
        <v>66.8067547518654i</v>
      </c>
      <c r="AH479" s="32">
        <f t="shared" si="299"/>
        <v>66.806754751865398</v>
      </c>
      <c r="AI479" s="32">
        <f t="shared" si="300"/>
        <v>1.5707963267948966</v>
      </c>
      <c r="AJ479" s="32" t="str">
        <f t="shared" si="286"/>
        <v>1+0.661453017345203i</v>
      </c>
      <c r="AK479" s="32">
        <f t="shared" si="301"/>
        <v>1.1989662606408378</v>
      </c>
      <c r="AL479" s="32">
        <f t="shared" si="302"/>
        <v>0.58438446343828521</v>
      </c>
      <c r="AM479" s="32" t="str">
        <f t="shared" si="287"/>
        <v>1+66.8067547518654i</v>
      </c>
      <c r="AN479" s="32">
        <f t="shared" si="303"/>
        <v>66.814238605823306</v>
      </c>
      <c r="AO479" s="32">
        <f t="shared" si="304"/>
        <v>1.5558288983071615</v>
      </c>
      <c r="AP479" s="60" t="str">
        <f t="shared" si="305"/>
        <v>-0.29922306886152+0.204424945471714i</v>
      </c>
      <c r="AQ479" s="51">
        <f t="shared" si="306"/>
        <v>-8.8165588674395394</v>
      </c>
      <c r="AR479" s="63">
        <f t="shared" si="307"/>
        <v>145.65966614945805</v>
      </c>
      <c r="AS479" s="60" t="str">
        <f t="shared" si="308"/>
        <v>0.0140172296821697-0.0178967961330628i</v>
      </c>
      <c r="AT479" s="66">
        <f t="shared" si="309"/>
        <v>-32.866959497346791</v>
      </c>
      <c r="AU479" s="63">
        <f t="shared" si="310"/>
        <v>-51.931042126606677</v>
      </c>
      <c r="AX479" s="32">
        <f t="shared" si="311"/>
        <v>0</v>
      </c>
      <c r="AY479" s="32">
        <f t="shared" si="312"/>
        <v>0</v>
      </c>
    </row>
    <row r="480" spans="14:51" x14ac:dyDescent="0.3">
      <c r="N480" s="11">
        <v>62</v>
      </c>
      <c r="O480" s="52">
        <f t="shared" si="278"/>
        <v>416869.38347033598</v>
      </c>
      <c r="P480" s="50" t="str">
        <f t="shared" si="279"/>
        <v>131.578947368421</v>
      </c>
      <c r="Q480" s="18" t="str">
        <f t="shared" si="280"/>
        <v>1+3928.90137785074i</v>
      </c>
      <c r="R480" s="18">
        <f t="shared" si="288"/>
        <v>3928.9015051127772</v>
      </c>
      <c r="S480" s="18">
        <f t="shared" si="289"/>
        <v>1.5705418027225839</v>
      </c>
      <c r="T480" s="18" t="str">
        <f t="shared" si="281"/>
        <v>1+0.00864358303127164i</v>
      </c>
      <c r="U480" s="18">
        <f t="shared" si="290"/>
        <v>1.0000373550661088</v>
      </c>
      <c r="V480" s="18">
        <f t="shared" si="291"/>
        <v>8.6433677824897092E-3</v>
      </c>
      <c r="W480" s="32" t="str">
        <f t="shared" si="282"/>
        <v>1-2.09541406818706i</v>
      </c>
      <c r="X480" s="18">
        <f t="shared" si="292"/>
        <v>2.3218010502961368</v>
      </c>
      <c r="Y480" s="18">
        <f t="shared" si="293"/>
        <v>-1.1255279285791973</v>
      </c>
      <c r="Z480" s="32" t="str">
        <f t="shared" si="283"/>
        <v>0.888780746960039+0.886874813947594i</v>
      </c>
      <c r="AA480" s="18">
        <f t="shared" si="294"/>
        <v>1.2555788114576578</v>
      </c>
      <c r="AB480" s="18">
        <f t="shared" si="295"/>
        <v>0.78432479515956977</v>
      </c>
      <c r="AC480" s="68" t="str">
        <f t="shared" si="296"/>
        <v>-0.058586763185415+0.0200777996618888i</v>
      </c>
      <c r="AD480" s="66">
        <f t="shared" si="297"/>
        <v>-24.161749715869831</v>
      </c>
      <c r="AE480" s="63">
        <f t="shared" si="298"/>
        <v>161.08331108804782</v>
      </c>
      <c r="AF480" s="32" t="str">
        <f t="shared" si="284"/>
        <v>-0.434440565864413</v>
      </c>
      <c r="AG480" s="32" t="str">
        <f t="shared" si="285"/>
        <v>68.362883974603i</v>
      </c>
      <c r="AH480" s="32">
        <f t="shared" si="299"/>
        <v>68.362883974602994</v>
      </c>
      <c r="AI480" s="32">
        <f t="shared" si="300"/>
        <v>1.5707963267948966</v>
      </c>
      <c r="AJ480" s="32" t="str">
        <f t="shared" si="286"/>
        <v>1+0.676860237372307i</v>
      </c>
      <c r="AK480" s="32">
        <f t="shared" si="301"/>
        <v>1.2075345878837989</v>
      </c>
      <c r="AL480" s="32">
        <f t="shared" si="302"/>
        <v>0.59502652926521993</v>
      </c>
      <c r="AM480" s="32" t="str">
        <f t="shared" si="287"/>
        <v>1+68.362883974603i</v>
      </c>
      <c r="AN480" s="32">
        <f t="shared" si="303"/>
        <v>68.37019749368163</v>
      </c>
      <c r="AO480" s="32">
        <f t="shared" si="304"/>
        <v>1.556169549417441</v>
      </c>
      <c r="AP480" s="60" t="str">
        <f t="shared" si="305"/>
        <v>-0.294991728328788+0.206023089902563i</v>
      </c>
      <c r="AQ480" s="51">
        <f t="shared" si="306"/>
        <v>-8.8784549972857061</v>
      </c>
      <c r="AR480" s="63">
        <f t="shared" si="307"/>
        <v>145.06943856317969</v>
      </c>
      <c r="AS480" s="60" t="str">
        <f t="shared" si="308"/>
        <v>0.013146120204468-0.0179930108021487i</v>
      </c>
      <c r="AT480" s="66">
        <f t="shared" si="309"/>
        <v>-33.040204713155525</v>
      </c>
      <c r="AU480" s="63">
        <f t="shared" si="310"/>
        <v>-53.847250348772569</v>
      </c>
      <c r="AX480" s="32">
        <f t="shared" si="311"/>
        <v>0</v>
      </c>
      <c r="AY480" s="32">
        <f t="shared" si="312"/>
        <v>0</v>
      </c>
    </row>
    <row r="481" spans="14:51" x14ac:dyDescent="0.3">
      <c r="N481" s="11">
        <v>63</v>
      </c>
      <c r="O481" s="52">
        <f t="shared" si="278"/>
        <v>426579.51880159322</v>
      </c>
      <c r="P481" s="50" t="str">
        <f t="shared" si="279"/>
        <v>131.578947368421</v>
      </c>
      <c r="Q481" s="18" t="str">
        <f t="shared" si="280"/>
        <v>1+4020.41724731686i</v>
      </c>
      <c r="R481" s="18">
        <f t="shared" si="288"/>
        <v>4020.4173716820592</v>
      </c>
      <c r="S481" s="18">
        <f t="shared" si="289"/>
        <v>1.5705475963975617</v>
      </c>
      <c r="T481" s="18" t="str">
        <f t="shared" si="281"/>
        <v>1+0.00884491794409711i</v>
      </c>
      <c r="U481" s="18">
        <f t="shared" si="290"/>
        <v>1.000039115521707</v>
      </c>
      <c r="V481" s="18">
        <f t="shared" si="291"/>
        <v>8.8446873013590735E-3</v>
      </c>
      <c r="W481" s="32" t="str">
        <f t="shared" si="282"/>
        <v>1-2.14422253190233i</v>
      </c>
      <c r="X481" s="18">
        <f t="shared" si="292"/>
        <v>2.3659438425959389</v>
      </c>
      <c r="Y481" s="18">
        <f t="shared" si="293"/>
        <v>-1.1344132146958734</v>
      </c>
      <c r="Z481" s="32" t="str">
        <f t="shared" si="283"/>
        <v>0.883539145048961+0.907532782142871i</v>
      </c>
      <c r="AA481" s="18">
        <f t="shared" si="294"/>
        <v>1.2665927409778681</v>
      </c>
      <c r="AB481" s="18">
        <f t="shared" si="295"/>
        <v>0.79879360642233566</v>
      </c>
      <c r="AC481" s="68" t="str">
        <f t="shared" si="296"/>
        <v>-0.0573599899574458+0.0211539128104141i</v>
      </c>
      <c r="AD481" s="66">
        <f t="shared" si="297"/>
        <v>-24.274006167668194</v>
      </c>
      <c r="AE481" s="63">
        <f t="shared" si="298"/>
        <v>159.756422679509</v>
      </c>
      <c r="AF481" s="32" t="str">
        <f t="shared" si="284"/>
        <v>-0.434440565864413</v>
      </c>
      <c r="AG481" s="32" t="str">
        <f t="shared" si="285"/>
        <v>69.9552601033135i</v>
      </c>
      <c r="AH481" s="32">
        <f t="shared" si="299"/>
        <v>69.955260103313506</v>
      </c>
      <c r="AI481" s="32">
        <f t="shared" si="300"/>
        <v>1.5707963267948966</v>
      </c>
      <c r="AJ481" s="32" t="str">
        <f t="shared" si="286"/>
        <v>1+0.69262633765657i</v>
      </c>
      <c r="AK481" s="32">
        <f t="shared" si="301"/>
        <v>1.2164420428510159</v>
      </c>
      <c r="AL481" s="32">
        <f t="shared" si="302"/>
        <v>0.60576003573989079</v>
      </c>
      <c r="AM481" s="32" t="str">
        <f t="shared" si="287"/>
        <v>1+69.9552601033135i</v>
      </c>
      <c r="AN481" s="32">
        <f t="shared" si="303"/>
        <v>69.962407163577836</v>
      </c>
      <c r="AO481" s="32">
        <f t="shared" si="304"/>
        <v>1.5565024496422581</v>
      </c>
      <c r="AP481" s="60" t="str">
        <f t="shared" si="305"/>
        <v>-0.290687363654082+0.207547987124927i</v>
      </c>
      <c r="AQ481" s="51">
        <f t="shared" si="306"/>
        <v>-8.9423336650221916</v>
      </c>
      <c r="AR481" s="63">
        <f t="shared" si="307"/>
        <v>144.47352772068567</v>
      </c>
      <c r="AS481" s="60" t="str">
        <f t="shared" si="308"/>
        <v>0.0122833722363369-0.0180541256030015i</v>
      </c>
      <c r="AT481" s="66">
        <f t="shared" si="309"/>
        <v>-33.216339832690373</v>
      </c>
      <c r="AU481" s="63">
        <f t="shared" si="310"/>
        <v>-55.770049599805319</v>
      </c>
      <c r="AX481" s="32">
        <f t="shared" si="311"/>
        <v>0</v>
      </c>
      <c r="AY481" s="32">
        <f t="shared" si="312"/>
        <v>0</v>
      </c>
    </row>
    <row r="482" spans="14:51" x14ac:dyDescent="0.3">
      <c r="N482" s="11">
        <v>64</v>
      </c>
      <c r="O482" s="52">
        <f t="shared" si="278"/>
        <v>436515.83224016649</v>
      </c>
      <c r="P482" s="50" t="str">
        <f t="shared" si="279"/>
        <v>131.578947368421</v>
      </c>
      <c r="Q482" s="18" t="str">
        <f t="shared" si="280"/>
        <v>1+4114.06479522402i</v>
      </c>
      <c r="R482" s="18">
        <f t="shared" si="288"/>
        <v>4114.0649167583215</v>
      </c>
      <c r="S482" s="18">
        <f t="shared" si="289"/>
        <v>1.5705532581924122</v>
      </c>
      <c r="T482" s="18" t="str">
        <f t="shared" si="281"/>
        <v>1+0.00905094254949284i</v>
      </c>
      <c r="U482" s="18">
        <f t="shared" si="290"/>
        <v>1.0000409589416996</v>
      </c>
      <c r="V482" s="18">
        <f t="shared" si="291"/>
        <v>9.0506954118931005E-3</v>
      </c>
      <c r="W482" s="32" t="str">
        <f t="shared" si="282"/>
        <v>1-2.19416789078614i</v>
      </c>
      <c r="X482" s="18">
        <f t="shared" si="292"/>
        <v>2.411301045692325</v>
      </c>
      <c r="Y482" s="18">
        <f t="shared" si="293"/>
        <v>-1.1431679862742874</v>
      </c>
      <c r="Z482" s="32" t="str">
        <f t="shared" si="283"/>
        <v>0.878050514050352+0.928671936231854i</v>
      </c>
      <c r="AA482" s="18">
        <f t="shared" si="294"/>
        <v>1.2780470532686612</v>
      </c>
      <c r="AB482" s="18">
        <f t="shared" si="295"/>
        <v>0.81340920736170041</v>
      </c>
      <c r="AC482" s="68" t="str">
        <f t="shared" si="296"/>
        <v>-0.0561180803436748+0.0221860081127659i</v>
      </c>
      <c r="AD482" s="66">
        <f t="shared" si="297"/>
        <v>-24.387247069964566</v>
      </c>
      <c r="AE482" s="63">
        <f t="shared" si="298"/>
        <v>158.42887796692139</v>
      </c>
      <c r="AF482" s="32" t="str">
        <f t="shared" si="284"/>
        <v>-0.434440565864413</v>
      </c>
      <c r="AG482" s="32" t="str">
        <f t="shared" si="285"/>
        <v>71.584727436898i</v>
      </c>
      <c r="AH482" s="32">
        <f t="shared" si="299"/>
        <v>71.584727436898007</v>
      </c>
      <c r="AI482" s="32">
        <f t="shared" si="300"/>
        <v>1.5707963267948966</v>
      </c>
      <c r="AJ482" s="32" t="str">
        <f t="shared" si="286"/>
        <v>1+0.70875967759305i</v>
      </c>
      <c r="AK482" s="32">
        <f t="shared" si="301"/>
        <v>1.2256999145719985</v>
      </c>
      <c r="AL482" s="32">
        <f t="shared" si="302"/>
        <v>0.61658078122590387</v>
      </c>
      <c r="AM482" s="32" t="str">
        <f t="shared" si="287"/>
        <v>1+71.584727436898i</v>
      </c>
      <c r="AN482" s="32">
        <f t="shared" si="303"/>
        <v>71.591711826265055</v>
      </c>
      <c r="AO482" s="32">
        <f t="shared" si="304"/>
        <v>1.5568277751944064</v>
      </c>
      <c r="AP482" s="60" t="str">
        <f t="shared" si="305"/>
        <v>-0.286312747972519+0.208995831132686i</v>
      </c>
      <c r="AQ482" s="51">
        <f t="shared" si="306"/>
        <v>-9.008228277774446</v>
      </c>
      <c r="AR482" s="63">
        <f t="shared" si="307"/>
        <v>143.87218445425782</v>
      </c>
      <c r="AS482" s="60" t="str">
        <f t="shared" si="308"/>
        <v>0.0114305385890961-0.0180805817923038i</v>
      </c>
      <c r="AT482" s="66">
        <f t="shared" si="309"/>
        <v>-33.395475347739001</v>
      </c>
      <c r="AU482" s="63">
        <f t="shared" si="310"/>
        <v>-57.698937578820832</v>
      </c>
      <c r="AX482" s="32">
        <f t="shared" si="311"/>
        <v>0</v>
      </c>
      <c r="AY482" s="32">
        <f t="shared" si="312"/>
        <v>0</v>
      </c>
    </row>
    <row r="483" spans="14:51" x14ac:dyDescent="0.3">
      <c r="N483" s="11">
        <v>65</v>
      </c>
      <c r="O483" s="52">
        <f t="shared" si="278"/>
        <v>446683.59215096442</v>
      </c>
      <c r="P483" s="50" t="str">
        <f t="shared" si="279"/>
        <v>131.578947368421</v>
      </c>
      <c r="Q483" s="18" t="str">
        <f t="shared" si="280"/>
        <v>1+4209.89367474171i</v>
      </c>
      <c r="R483" s="18">
        <f t="shared" si="288"/>
        <v>4209.8937935095537</v>
      </c>
      <c r="S483" s="18">
        <f t="shared" si="289"/>
        <v>1.5705587911090926</v>
      </c>
      <c r="T483" s="18" t="str">
        <f t="shared" si="281"/>
        <v>1+0.00926176608443176i</v>
      </c>
      <c r="U483" s="18">
        <f t="shared" si="290"/>
        <v>1.0000428892357582</v>
      </c>
      <c r="V483" s="18">
        <f t="shared" si="291"/>
        <v>9.2615012723359716E-3</v>
      </c>
      <c r="W483" s="32" t="str">
        <f t="shared" si="282"/>
        <v>1-2.24527662652891i</v>
      </c>
      <c r="X483" s="18">
        <f t="shared" si="292"/>
        <v>2.4578989258382946</v>
      </c>
      <c r="Y483" s="18">
        <f t="shared" si="293"/>
        <v>-1.1517915160369097</v>
      </c>
      <c r="Z483" s="32" t="str">
        <f t="shared" si="283"/>
        <v>0.872303211841991+0.950303484473859i</v>
      </c>
      <c r="AA483" s="18">
        <f t="shared" si="294"/>
        <v>1.2899572109155448</v>
      </c>
      <c r="AB483" s="18">
        <f t="shared" si="295"/>
        <v>0.82816806320606029</v>
      </c>
      <c r="AC483" s="68" t="str">
        <f t="shared" si="296"/>
        <v>-0.0548621252092819+0.0231736227521068i</v>
      </c>
      <c r="AD483" s="66">
        <f t="shared" si="297"/>
        <v>-24.501547811816735</v>
      </c>
      <c r="AE483" s="63">
        <f t="shared" si="298"/>
        <v>157.10092723001986</v>
      </c>
      <c r="AF483" s="32" t="str">
        <f t="shared" si="284"/>
        <v>-0.434440565864413</v>
      </c>
      <c r="AG483" s="32" t="str">
        <f t="shared" si="285"/>
        <v>73.2521499405058i</v>
      </c>
      <c r="AH483" s="32">
        <f t="shared" si="299"/>
        <v>73.252149940505802</v>
      </c>
      <c r="AI483" s="32">
        <f t="shared" si="300"/>
        <v>1.5707963267948966</v>
      </c>
      <c r="AJ483" s="32" t="str">
        <f t="shared" si="286"/>
        <v>1+0.725268811292137i</v>
      </c>
      <c r="AK483" s="32">
        <f t="shared" si="301"/>
        <v>1.235319735385584</v>
      </c>
      <c r="AL483" s="32">
        <f t="shared" si="302"/>
        <v>0.6274843672564645</v>
      </c>
      <c r="AM483" s="32" t="str">
        <f t="shared" si="287"/>
        <v>1+73.2521499405058i</v>
      </c>
      <c r="AN483" s="32">
        <f t="shared" si="303"/>
        <v>73.258975360745694</v>
      </c>
      <c r="AO483" s="32">
        <f t="shared" si="304"/>
        <v>1.5571456982901908</v>
      </c>
      <c r="AP483" s="60" t="str">
        <f t="shared" si="305"/>
        <v>-0.28187089693686+0.210362925514107i</v>
      </c>
      <c r="AQ483" s="51">
        <f t="shared" si="306"/>
        <v>-9.076170892745445</v>
      </c>
      <c r="AR483" s="63">
        <f t="shared" si="307"/>
        <v>143.26567064474705</v>
      </c>
      <c r="AS483" s="60" t="str">
        <f t="shared" si="308"/>
        <v>0.0105891653637092-0.0180729269893585i</v>
      </c>
      <c r="AT483" s="66">
        <f t="shared" si="309"/>
        <v>-33.577718704562187</v>
      </c>
      <c r="AU483" s="63">
        <f t="shared" si="310"/>
        <v>-59.633402125232891</v>
      </c>
      <c r="AX483" s="32">
        <f t="shared" si="311"/>
        <v>0</v>
      </c>
      <c r="AY483" s="32">
        <f t="shared" si="312"/>
        <v>0</v>
      </c>
    </row>
    <row r="484" spans="14:51" x14ac:dyDescent="0.3">
      <c r="N484" s="11">
        <v>66</v>
      </c>
      <c r="O484" s="52">
        <f t="shared" ref="O484:O518" si="313">10^(5+(N484/100))</f>
        <v>457088.18961487547</v>
      </c>
      <c r="P484" s="50" t="str">
        <f t="shared" si="279"/>
        <v>131.578947368421</v>
      </c>
      <c r="Q484" s="18" t="str">
        <f t="shared" si="280"/>
        <v>1+4307.95469561025i</v>
      </c>
      <c r="R484" s="18">
        <f t="shared" si="288"/>
        <v>4307.9548116746082</v>
      </c>
      <c r="S484" s="18">
        <f t="shared" si="289"/>
        <v>1.570564198081227</v>
      </c>
      <c r="T484" s="18" t="str">
        <f t="shared" si="281"/>
        <v>1+0.00947750033034255i</v>
      </c>
      <c r="U484" s="18">
        <f t="shared" si="290"/>
        <v>1.0000449104977795</v>
      </c>
      <c r="V484" s="18">
        <f t="shared" si="291"/>
        <v>9.4772165797578755E-3</v>
      </c>
      <c r="W484" s="32" t="str">
        <f t="shared" si="282"/>
        <v>1-2.2975758376588i</v>
      </c>
      <c r="X484" s="18">
        <f t="shared" si="292"/>
        <v>2.5057643005265948</v>
      </c>
      <c r="Y484" s="18">
        <f t="shared" si="293"/>
        <v>-1.1602832449258946</v>
      </c>
      <c r="Z484" s="32" t="str">
        <f t="shared" si="283"/>
        <v>0.866285047625341+0.972438896202079i</v>
      </c>
      <c r="AA484" s="18">
        <f t="shared" si="294"/>
        <v>1.3023391227272401</v>
      </c>
      <c r="AB484" s="18">
        <f t="shared" si="295"/>
        <v>0.84306649716532678</v>
      </c>
      <c r="AC484" s="68" t="str">
        <f t="shared" si="296"/>
        <v>-0.0535932737377003+0.0241163379974962i</v>
      </c>
      <c r="AD484" s="66">
        <f t="shared" si="297"/>
        <v>-24.616981939757</v>
      </c>
      <c r="AE484" s="63">
        <f t="shared" si="298"/>
        <v>155.77281939669959</v>
      </c>
      <c r="AF484" s="32" t="str">
        <f t="shared" si="284"/>
        <v>-0.434440565864413</v>
      </c>
      <c r="AG484" s="32" t="str">
        <f t="shared" si="285"/>
        <v>74.9584117036184i</v>
      </c>
      <c r="AH484" s="32">
        <f t="shared" si="299"/>
        <v>74.958411703618395</v>
      </c>
      <c r="AI484" s="32">
        <f t="shared" si="300"/>
        <v>1.5707963267948966</v>
      </c>
      <c r="AJ484" s="32" t="str">
        <f t="shared" si="286"/>
        <v>1+0.742162492115034i</v>
      </c>
      <c r="AK484" s="32">
        <f t="shared" si="301"/>
        <v>1.2453132797422495</v>
      </c>
      <c r="AL484" s="32">
        <f t="shared" si="302"/>
        <v>0.63846620480479144</v>
      </c>
      <c r="AM484" s="32" t="str">
        <f t="shared" si="287"/>
        <v>1+74.9584117036184i</v>
      </c>
      <c r="AN484" s="32">
        <f t="shared" si="303"/>
        <v>74.965081772310199</v>
      </c>
      <c r="AO484" s="32">
        <f t="shared" si="304"/>
        <v>1.5574563872394243</v>
      </c>
      <c r="AP484" s="60" t="str">
        <f t="shared" si="305"/>
        <v>-0.277365064234697+0.211645701983777i</v>
      </c>
      <c r="AQ484" s="51">
        <f t="shared" si="306"/>
        <v>-9.1461921056110089</v>
      </c>
      <c r="AR484" s="63">
        <f t="shared" si="307"/>
        <v>142.65425886746195</v>
      </c>
      <c r="AS484" s="60" t="str">
        <f t="shared" si="308"/>
        <v>0.00976078252804682-0.0180318156796055i</v>
      </c>
      <c r="AT484" s="66">
        <f t="shared" si="309"/>
        <v>-33.763174045368011</v>
      </c>
      <c r="AU484" s="63">
        <f t="shared" si="310"/>
        <v>-61.57292173583847</v>
      </c>
      <c r="AX484" s="32">
        <f t="shared" si="311"/>
        <v>0</v>
      </c>
      <c r="AY484" s="32">
        <f t="shared" si="312"/>
        <v>0</v>
      </c>
    </row>
    <row r="485" spans="14:51" x14ac:dyDescent="0.3">
      <c r="N485" s="11">
        <v>67</v>
      </c>
      <c r="O485" s="52">
        <f t="shared" si="313"/>
        <v>467735.14128719864</v>
      </c>
      <c r="P485" s="50" t="str">
        <f t="shared" si="279"/>
        <v>131.578947368421</v>
      </c>
      <c r="Q485" s="18" t="str">
        <f t="shared" si="280"/>
        <v>1+4408.29985108093i</v>
      </c>
      <c r="R485" s="18">
        <f t="shared" si="288"/>
        <v>4408.2999645033406</v>
      </c>
      <c r="S485" s="18">
        <f t="shared" si="289"/>
        <v>1.5705694819756628</v>
      </c>
      <c r="T485" s="18" t="str">
        <f t="shared" si="281"/>
        <v>1+0.00969825967237806i</v>
      </c>
      <c r="U485" s="18">
        <f t="shared" si="290"/>
        <v>1.0000470270145663</v>
      </c>
      <c r="V485" s="18">
        <f t="shared" si="291"/>
        <v>9.6979556289209026E-3</v>
      </c>
      <c r="W485" s="32" t="str">
        <f t="shared" si="282"/>
        <v>1-2.35109325390983i</v>
      </c>
      <c r="X485" s="18">
        <f t="shared" si="292"/>
        <v>2.5549245563382712</v>
      </c>
      <c r="Y485" s="18">
        <f t="shared" si="293"/>
        <v>-1.1686427756492912</v>
      </c>
      <c r="Z485" s="32" t="str">
        <f t="shared" si="283"/>
        <v>0.859983256067229+0.995089907904819i</v>
      </c>
      <c r="AA485" s="18">
        <f t="shared" si="294"/>
        <v>1.3152091565716892</v>
      </c>
      <c r="AB485" s="18">
        <f t="shared" si="295"/>
        <v>0.85810070040544217</v>
      </c>
      <c r="AC485" s="68" t="str">
        <f t="shared" si="296"/>
        <v>-0.0523127301413932+0.0250137840480326i</v>
      </c>
      <c r="AD485" s="66">
        <f t="shared" si="297"/>
        <v>-24.73362102141315</v>
      </c>
      <c r="AE485" s="63">
        <f t="shared" si="298"/>
        <v>154.44480184457885</v>
      </c>
      <c r="AF485" s="32" t="str">
        <f t="shared" si="284"/>
        <v>-0.434440565864413</v>
      </c>
      <c r="AG485" s="32" t="str">
        <f t="shared" si="285"/>
        <v>76.7044174088083i</v>
      </c>
      <c r="AH485" s="32">
        <f t="shared" si="299"/>
        <v>76.704417408808297</v>
      </c>
      <c r="AI485" s="32">
        <f t="shared" si="300"/>
        <v>1.5707963267948966</v>
      </c>
      <c r="AJ485" s="32" t="str">
        <f t="shared" si="286"/>
        <v>1+0.759449677314934i</v>
      </c>
      <c r="AK485" s="32">
        <f t="shared" si="301"/>
        <v>1.2556925628408242</v>
      </c>
      <c r="AL485" s="32">
        <f t="shared" si="302"/>
        <v>0.64952152154674037</v>
      </c>
      <c r="AM485" s="32" t="str">
        <f t="shared" si="287"/>
        <v>1+76.7044174088083i</v>
      </c>
      <c r="AN485" s="32">
        <f t="shared" si="303"/>
        <v>76.710935661251668</v>
      </c>
      <c r="AO485" s="32">
        <f t="shared" si="304"/>
        <v>1.557760006533442</v>
      </c>
      <c r="AP485" s="60" t="str">
        <f t="shared" si="305"/>
        <v>-0.272798735452727+0.212840738813897i</v>
      </c>
      <c r="AQ485" s="51">
        <f t="shared" si="306"/>
        <v>-9.2183209413749445</v>
      </c>
      <c r="AR485" s="63">
        <f t="shared" si="307"/>
        <v>142.03823198109407</v>
      </c>
      <c r="AS485" s="60" t="str">
        <f t="shared" si="308"/>
        <v>0.00894689435333729-0.017958008789857i</v>
      </c>
      <c r="AT485" s="66">
        <f t="shared" si="309"/>
        <v>-33.951941962788098</v>
      </c>
      <c r="AU485" s="63">
        <f t="shared" si="310"/>
        <v>-63.516966174327038</v>
      </c>
      <c r="AX485" s="32">
        <f t="shared" si="311"/>
        <v>0</v>
      </c>
      <c r="AY485" s="32">
        <f t="shared" si="312"/>
        <v>0</v>
      </c>
    </row>
    <row r="486" spans="14:51" x14ac:dyDescent="0.3">
      <c r="N486" s="11">
        <v>68</v>
      </c>
      <c r="O486" s="52">
        <f t="shared" si="313"/>
        <v>478630.09232263872</v>
      </c>
      <c r="P486" s="50" t="str">
        <f t="shared" si="279"/>
        <v>131.578947368421</v>
      </c>
      <c r="Q486" s="18" t="str">
        <f t="shared" si="280"/>
        <v>1+4510.98234548341i</v>
      </c>
      <c r="R486" s="18">
        <f t="shared" si="288"/>
        <v>4510.9824563240109</v>
      </c>
      <c r="S486" s="18">
        <f t="shared" si="289"/>
        <v>1.5705746455939891</v>
      </c>
      <c r="T486" s="18" t="str">
        <f t="shared" si="281"/>
        <v>1+0.00992416116006352i</v>
      </c>
      <c r="U486" s="18">
        <f t="shared" si="290"/>
        <v>1.0000492432749153</v>
      </c>
      <c r="V486" s="18">
        <f t="shared" si="291"/>
        <v>9.9238353724959549E-3</v>
      </c>
      <c r="W486" s="32" t="str">
        <f t="shared" si="282"/>
        <v>1-2.40585725092449i</v>
      </c>
      <c r="X486" s="18">
        <f t="shared" si="292"/>
        <v>2.6054076671081523</v>
      </c>
      <c r="Y486" s="18">
        <f t="shared" si="293"/>
        <v>-1.1768698660605104</v>
      </c>
      <c r="Z486" s="32" t="str">
        <f t="shared" si="283"/>
        <v>0.853384470222863+1.0182685294483i</v>
      </c>
      <c r="AA486" s="18">
        <f t="shared" si="294"/>
        <v>1.3285841531805052</v>
      </c>
      <c r="AB486" s="18">
        <f t="shared" si="295"/>
        <v>0.87326674280795547</v>
      </c>
      <c r="AC486" s="68" t="str">
        <f t="shared" si="296"/>
        <v>-0.0510217499424706+0.025865644631274i</v>
      </c>
      <c r="AD486" s="66">
        <f t="shared" si="297"/>
        <v>-24.851534520342863</v>
      </c>
      <c r="AE486" s="63">
        <f t="shared" si="298"/>
        <v>153.11712016721015</v>
      </c>
      <c r="AF486" s="32" t="str">
        <f t="shared" si="284"/>
        <v>-0.434440565864413</v>
      </c>
      <c r="AG486" s="32" t="str">
        <f t="shared" si="285"/>
        <v>78.4910928114115i</v>
      </c>
      <c r="AH486" s="32">
        <f t="shared" si="299"/>
        <v>78.491092811411505</v>
      </c>
      <c r="AI486" s="32">
        <f t="shared" si="300"/>
        <v>1.5707963267948966</v>
      </c>
      <c r="AJ486" s="32" t="str">
        <f t="shared" si="286"/>
        <v>1+0.777139532786252i</v>
      </c>
      <c r="AK486" s="32">
        <f t="shared" si="301"/>
        <v>1.2664698391273415</v>
      </c>
      <c r="AL486" s="32">
        <f t="shared" si="302"/>
        <v>0.66064537010569302</v>
      </c>
      <c r="AM486" s="32" t="str">
        <f t="shared" si="287"/>
        <v>1+78.4910928114115i</v>
      </c>
      <c r="AN486" s="32">
        <f t="shared" si="303"/>
        <v>78.497462702495127</v>
      </c>
      <c r="AO486" s="32">
        <f t="shared" si="304"/>
        <v>1.5580567169311714</v>
      </c>
      <c r="AP486" s="60" t="str">
        <f t="shared" si="305"/>
        <v>-0.26817562027186+0.213944778997986i</v>
      </c>
      <c r="AQ486" s="51">
        <f t="shared" si="306"/>
        <v>-9.2925847484569797</v>
      </c>
      <c r="AR486" s="63">
        <f t="shared" si="307"/>
        <v>141.41788266025085</v>
      </c>
      <c r="AS486" s="60" t="str">
        <f t="shared" si="308"/>
        <v>0.00814896981389943-0.0178523723082558i</v>
      </c>
      <c r="AT486" s="66">
        <f t="shared" si="309"/>
        <v>-34.144119268799841</v>
      </c>
      <c r="AU486" s="63">
        <f t="shared" si="310"/>
        <v>-65.464997172539015</v>
      </c>
      <c r="AX486" s="32">
        <f t="shared" si="311"/>
        <v>0</v>
      </c>
      <c r="AY486" s="32">
        <f t="shared" si="312"/>
        <v>0</v>
      </c>
    </row>
    <row r="487" spans="14:51" x14ac:dyDescent="0.3">
      <c r="N487" s="11">
        <v>69</v>
      </c>
      <c r="O487" s="52">
        <f t="shared" si="313"/>
        <v>489778.81936844654</v>
      </c>
      <c r="P487" s="50" t="str">
        <f t="shared" si="279"/>
        <v>131.578947368421</v>
      </c>
      <c r="Q487" s="18" t="str">
        <f t="shared" si="280"/>
        <v>1+4616.05662243538i</v>
      </c>
      <c r="R487" s="18">
        <f t="shared" si="288"/>
        <v>4616.0567307529409</v>
      </c>
      <c r="S487" s="18">
        <f t="shared" si="289"/>
        <v>1.570579691674024</v>
      </c>
      <c r="T487" s="18" t="str">
        <f t="shared" si="281"/>
        <v>1+0.0101553245693578i</v>
      </c>
      <c r="U487" s="18">
        <f t="shared" si="290"/>
        <v>1.0000515639791325</v>
      </c>
      <c r="V487" s="18">
        <f t="shared" si="291"/>
        <v>1.0154975482661869E-2</v>
      </c>
      <c r="W487" s="32" t="str">
        <f t="shared" si="282"/>
        <v>1-2.46189686529887i</v>
      </c>
      <c r="X487" s="18">
        <f t="shared" si="292"/>
        <v>2.6572422124014974</v>
      </c>
      <c r="Y487" s="18">
        <f t="shared" si="293"/>
        <v>-1.1849644224149265</v>
      </c>
      <c r="Z487" s="32" t="str">
        <f t="shared" si="283"/>
        <v>0.846474693182752+1.04198705044448i</v>
      </c>
      <c r="AA487" s="18">
        <f t="shared" si="294"/>
        <v>1.3424814410236072</v>
      </c>
      <c r="AB487" s="18">
        <f t="shared" si="295"/>
        <v>0.88856058445712127</v>
      </c>
      <c r="AC487" s="68" t="str">
        <f t="shared" si="296"/>
        <v>-0.0497216358438213+0.0266716613102504i</v>
      </c>
      <c r="AD487" s="66">
        <f t="shared" si="297"/>
        <v>-24.970789682692196</v>
      </c>
      <c r="AE487" s="63">
        <f t="shared" si="298"/>
        <v>151.79001790573221</v>
      </c>
      <c r="AF487" s="32" t="str">
        <f t="shared" si="284"/>
        <v>-0.434440565864413</v>
      </c>
      <c r="AG487" s="32" t="str">
        <f t="shared" si="285"/>
        <v>80.3193852303758i</v>
      </c>
      <c r="AH487" s="32">
        <f t="shared" si="299"/>
        <v>80.319385230375801</v>
      </c>
      <c r="AI487" s="32">
        <f t="shared" si="300"/>
        <v>1.5707963267948966</v>
      </c>
      <c r="AJ487" s="32" t="str">
        <f t="shared" si="286"/>
        <v>1+0.795241437924513i</v>
      </c>
      <c r="AK487" s="32">
        <f t="shared" si="301"/>
        <v>1.2776576006866029</v>
      </c>
      <c r="AL487" s="32">
        <f t="shared" si="302"/>
        <v>0.67183263726081521</v>
      </c>
      <c r="AM487" s="32" t="str">
        <f t="shared" si="287"/>
        <v>1+80.3193852303758i</v>
      </c>
      <c r="AN487" s="32">
        <f t="shared" si="303"/>
        <v>80.32561013640364</v>
      </c>
      <c r="AO487" s="32">
        <f t="shared" si="304"/>
        <v>1.5583466755433013</v>
      </c>
      <c r="AP487" s="60" t="str">
        <f t="shared" si="305"/>
        <v>-0.263499642995784+0.214954747975363i</v>
      </c>
      <c r="AQ487" s="51">
        <f t="shared" si="306"/>
        <v>-9.3690090967903235</v>
      </c>
      <c r="AR487" s="63">
        <f t="shared" si="307"/>
        <v>140.79351287268562</v>
      </c>
      <c r="AS487" s="60" t="str">
        <f t="shared" si="308"/>
        <v>0.00736843305898417-0.0177158749350868i</v>
      </c>
      <c r="AT487" s="66">
        <f t="shared" si="309"/>
        <v>-34.339798779482528</v>
      </c>
      <c r="AU487" s="63">
        <f t="shared" si="310"/>
        <v>-67.416469221582147</v>
      </c>
      <c r="AX487" s="32">
        <f t="shared" si="311"/>
        <v>0</v>
      </c>
      <c r="AY487" s="32">
        <f t="shared" si="312"/>
        <v>0</v>
      </c>
    </row>
    <row r="488" spans="14:51" x14ac:dyDescent="0.3">
      <c r="N488" s="11">
        <v>70</v>
      </c>
      <c r="O488" s="52">
        <f t="shared" si="313"/>
        <v>501187.23362727347</v>
      </c>
      <c r="P488" s="50" t="str">
        <f t="shared" si="279"/>
        <v>131.578947368421</v>
      </c>
      <c r="Q488" s="18" t="str">
        <f t="shared" si="280"/>
        <v>1+4723.5783937093i</v>
      </c>
      <c r="R488" s="18">
        <f t="shared" si="288"/>
        <v>4723.5784995612521</v>
      </c>
      <c r="S488" s="18">
        <f t="shared" si="289"/>
        <v>1.5705846228912645</v>
      </c>
      <c r="T488" s="18" t="str">
        <f t="shared" si="281"/>
        <v>1+0.0103918724661605i</v>
      </c>
      <c r="U488" s="18">
        <f t="shared" si="290"/>
        <v>1.0000539940489979</v>
      </c>
      <c r="V488" s="18">
        <f t="shared" si="291"/>
        <v>1.0391498414117338E-2</v>
      </c>
      <c r="W488" s="32" t="str">
        <f t="shared" si="282"/>
        <v>1-2.5192418099783i</v>
      </c>
      <c r="X488" s="18">
        <f t="shared" si="292"/>
        <v>2.7104573962973006</v>
      </c>
      <c r="Y488" s="18">
        <f t="shared" si="293"/>
        <v>-1.1929264925447143</v>
      </c>
      <c r="Z488" s="32" t="str">
        <f t="shared" si="283"/>
        <v>0.839239268383386+1.06625804676713i</v>
      </c>
      <c r="AA488" s="18">
        <f t="shared" si="294"/>
        <v>1.3569188523608684</v>
      </c>
      <c r="AB488" s="18">
        <f t="shared" si="295"/>
        <v>0.90397808778786037</v>
      </c>
      <c r="AC488" s="68" t="str">
        <f t="shared" si="296"/>
        <v>-0.0484137332169685+0.0274316374554019i</v>
      </c>
      <c r="AD488" s="66">
        <f t="shared" si="297"/>
        <v>-25.091451436218382</v>
      </c>
      <c r="AE488" s="63">
        <f t="shared" si="298"/>
        <v>150.4637362474229</v>
      </c>
      <c r="AF488" s="32" t="str">
        <f t="shared" si="284"/>
        <v>-0.434440565864413</v>
      </c>
      <c r="AG488" s="32" t="str">
        <f t="shared" si="285"/>
        <v>82.190264050542i</v>
      </c>
      <c r="AH488" s="32">
        <f t="shared" si="299"/>
        <v>82.190264050541998</v>
      </c>
      <c r="AI488" s="32">
        <f t="shared" si="300"/>
        <v>1.5707963267948966</v>
      </c>
      <c r="AJ488" s="32" t="str">
        <f t="shared" si="286"/>
        <v>1+0.813764990599426i</v>
      </c>
      <c r="AK488" s="32">
        <f t="shared" si="301"/>
        <v>1.2892685755595239</v>
      </c>
      <c r="AL488" s="32">
        <f t="shared" si="302"/>
        <v>0.68307805409044842</v>
      </c>
      <c r="AM488" s="32" t="str">
        <f t="shared" si="287"/>
        <v>1+82.190264050542i</v>
      </c>
      <c r="AN488" s="32">
        <f t="shared" si="303"/>
        <v>82.196347271018155</v>
      </c>
      <c r="AO488" s="32">
        <f t="shared" si="304"/>
        <v>1.5586300359145848</v>
      </c>
      <c r="AP488" s="60" t="str">
        <f t="shared" si="305"/>
        <v>-0.25877493143541+0.215867770742517i</v>
      </c>
      <c r="AQ488" s="51">
        <f t="shared" si="306"/>
        <v>-9.4476176806997163</v>
      </c>
      <c r="AR488" s="63">
        <f t="shared" si="307"/>
        <v>140.16543330283787</v>
      </c>
      <c r="AS488" s="60" t="str">
        <f t="shared" si="308"/>
        <v>0.00660665406843872-0.0175495847645526i</v>
      </c>
      <c r="AT488" s="66">
        <f t="shared" si="309"/>
        <v>-34.539069116918093</v>
      </c>
      <c r="AU488" s="63">
        <f t="shared" si="310"/>
        <v>-69.370830449739202</v>
      </c>
      <c r="AX488" s="32">
        <f t="shared" si="311"/>
        <v>0</v>
      </c>
      <c r="AY488" s="32">
        <f t="shared" si="312"/>
        <v>0</v>
      </c>
    </row>
    <row r="489" spans="14:51" x14ac:dyDescent="0.3">
      <c r="N489" s="11">
        <v>71</v>
      </c>
      <c r="O489" s="52">
        <f t="shared" si="313"/>
        <v>512861.38399136515</v>
      </c>
      <c r="P489" s="50" t="str">
        <f t="shared" si="279"/>
        <v>131.578947368421</v>
      </c>
      <c r="Q489" s="18" t="str">
        <f t="shared" si="280"/>
        <v>1+4833.60466877149i</v>
      </c>
      <c r="R489" s="18">
        <f t="shared" si="288"/>
        <v>4833.6047722139565</v>
      </c>
      <c r="S489" s="18">
        <f t="shared" si="289"/>
        <v>1.5705894418603066</v>
      </c>
      <c r="T489" s="18" t="str">
        <f t="shared" si="281"/>
        <v>1+0.0106339302712973i</v>
      </c>
      <c r="U489" s="18">
        <f t="shared" si="290"/>
        <v>1.0000565386381985</v>
      </c>
      <c r="V489" s="18">
        <f t="shared" si="291"/>
        <v>1.0633529468535701E-2</v>
      </c>
      <c r="W489" s="32" t="str">
        <f t="shared" si="282"/>
        <v>1-2.57792249001146i</v>
      </c>
      <c r="X489" s="18">
        <f t="shared" si="292"/>
        <v>2.7650830664750177</v>
      </c>
      <c r="Y489" s="18">
        <f t="shared" si="293"/>
        <v>-1.200756258990163</v>
      </c>
      <c r="Z489" s="32" t="str">
        <f t="shared" si="283"/>
        <v>0.831662848518696+1.09109438721976i</v>
      </c>
      <c r="AA489" s="18">
        <f t="shared" si="294"/>
        <v>1.371914740582918</v>
      </c>
      <c r="AB489" s="18">
        <f t="shared" si="295"/>
        <v>0.91951503031955661</v>
      </c>
      <c r="AC489" s="68" t="str">
        <f t="shared" si="296"/>
        <v>-0.047099425238146+0.0281454418405242i</v>
      </c>
      <c r="AD489" s="66">
        <f t="shared" si="297"/>
        <v>-25.213582302145493</v>
      </c>
      <c r="AE489" s="63">
        <f t="shared" si="298"/>
        <v>149.13851369326346</v>
      </c>
      <c r="AF489" s="32" t="str">
        <f t="shared" si="284"/>
        <v>-0.434440565864413</v>
      </c>
      <c r="AG489" s="32" t="str">
        <f t="shared" si="285"/>
        <v>84.1047212366241i</v>
      </c>
      <c r="AH489" s="32">
        <f t="shared" si="299"/>
        <v>84.104721236624101</v>
      </c>
      <c r="AI489" s="32">
        <f t="shared" si="300"/>
        <v>1.5707963267948966</v>
      </c>
      <c r="AJ489" s="32" t="str">
        <f t="shared" si="286"/>
        <v>1+0.832720012243803i</v>
      </c>
      <c r="AK489" s="32">
        <f t="shared" si="301"/>
        <v>1.3013157260216752</v>
      </c>
      <c r="AL489" s="32">
        <f t="shared" si="302"/>
        <v>0.69437620701312541</v>
      </c>
      <c r="AM489" s="32" t="str">
        <f t="shared" si="287"/>
        <v>1+84.1047212366241i</v>
      </c>
      <c r="AN489" s="32">
        <f t="shared" si="303"/>
        <v>84.110665995997493</v>
      </c>
      <c r="AO489" s="32">
        <f t="shared" si="304"/>
        <v>1.5589069481043225</v>
      </c>
      <c r="AP489" s="60" t="str">
        <f t="shared" si="305"/>
        <v>-0.2540058041921+0.216681188177672i</v>
      </c>
      <c r="AQ489" s="51">
        <f t="shared" si="306"/>
        <v>-9.5284322273153865</v>
      </c>
      <c r="AR489" s="63">
        <f t="shared" si="307"/>
        <v>139.53396272384288</v>
      </c>
      <c r="AS489" s="60" t="str">
        <f t="shared" si="308"/>
        <v>0.00586493960481062-0.0173546650121312i</v>
      </c>
      <c r="AT489" s="66">
        <f t="shared" si="309"/>
        <v>-34.742014529460896</v>
      </c>
      <c r="AU489" s="63">
        <f t="shared" si="310"/>
        <v>-71.327523582893619</v>
      </c>
      <c r="AX489" s="32">
        <f t="shared" si="311"/>
        <v>0</v>
      </c>
      <c r="AY489" s="32">
        <f t="shared" si="312"/>
        <v>0</v>
      </c>
    </row>
    <row r="490" spans="14:51" x14ac:dyDescent="0.3">
      <c r="N490" s="11">
        <v>72</v>
      </c>
      <c r="O490" s="52">
        <f t="shared" si="313"/>
        <v>524807.46024977288</v>
      </c>
      <c r="P490" s="50" t="str">
        <f t="shared" si="279"/>
        <v>131.578947368421</v>
      </c>
      <c r="Q490" s="18" t="str">
        <f t="shared" si="280"/>
        <v>1+4946.19378500941i</v>
      </c>
      <c r="R490" s="18">
        <f t="shared" si="288"/>
        <v>4946.1938860972396</v>
      </c>
      <c r="S490" s="18">
        <f t="shared" si="289"/>
        <v>1.5705941511362305</v>
      </c>
      <c r="T490" s="18" t="str">
        <f t="shared" si="281"/>
        <v>1+0.0108816263270207i</v>
      </c>
      <c r="U490" s="18">
        <f t="shared" si="290"/>
        <v>1.0000592031432545</v>
      </c>
      <c r="V490" s="18">
        <f t="shared" si="291"/>
        <v>1.0881196860497183E-2</v>
      </c>
      <c r="W490" s="32" t="str">
        <f t="shared" si="282"/>
        <v>1-2.63797001867169i</v>
      </c>
      <c r="X490" s="18">
        <f t="shared" si="292"/>
        <v>2.8211497336034324</v>
      </c>
      <c r="Y490" s="18">
        <f t="shared" si="293"/>
        <v>-1.2084540321228909</v>
      </c>
      <c r="Z490" s="32" t="str">
        <f t="shared" si="283"/>
        <v>0.823729362986357+1.11650924035885i</v>
      </c>
      <c r="AA490" s="18">
        <f t="shared" si="294"/>
        <v>1.3874879989580471</v>
      </c>
      <c r="AB490" s="18">
        <f t="shared" si="295"/>
        <v>0.93516711789266993</v>
      </c>
      <c r="AC490" s="68" t="str">
        <f t="shared" si="296"/>
        <v>-0.0457801277090839+0.0288130118252818i</v>
      </c>
      <c r="AD490" s="66">
        <f t="shared" si="297"/>
        <v>-25.33724232023792</v>
      </c>
      <c r="AE490" s="63">
        <f t="shared" si="298"/>
        <v>147.81458569724782</v>
      </c>
      <c r="AF490" s="32" t="str">
        <f t="shared" si="284"/>
        <v>-0.434440565864413</v>
      </c>
      <c r="AG490" s="32" t="str">
        <f t="shared" si="285"/>
        <v>86.0637718591639i</v>
      </c>
      <c r="AH490" s="32">
        <f t="shared" si="299"/>
        <v>86.063771859163893</v>
      </c>
      <c r="AI490" s="32">
        <f t="shared" si="300"/>
        <v>1.5707963267948966</v>
      </c>
      <c r="AJ490" s="32" t="str">
        <f t="shared" si="286"/>
        <v>1+0.852116553061029i</v>
      </c>
      <c r="AK490" s="32">
        <f t="shared" si="301"/>
        <v>1.3138122468604903</v>
      </c>
      <c r="AL490" s="32">
        <f t="shared" si="302"/>
        <v>0.7057215496794661</v>
      </c>
      <c r="AM490" s="32" t="str">
        <f t="shared" si="287"/>
        <v>1+86.0637718591639i</v>
      </c>
      <c r="AN490" s="32">
        <f t="shared" si="303"/>
        <v>86.06958130853323</v>
      </c>
      <c r="AO490" s="32">
        <f t="shared" si="304"/>
        <v>1.5591775587650549</v>
      </c>
      <c r="AP490" s="60" t="str">
        <f t="shared" si="305"/>
        <v>-0.249196756403179+0.217392572407834i</v>
      </c>
      <c r="AQ490" s="51">
        <f t="shared" si="306"/>
        <v>-9.6114724112538159</v>
      </c>
      <c r="AR490" s="63">
        <f t="shared" si="307"/>
        <v>138.89942732068309</v>
      </c>
      <c r="AS490" s="60" t="str">
        <f t="shared" si="308"/>
        <v>0.00514452457331166-0.0171323688169036i</v>
      </c>
      <c r="AT490" s="66">
        <f t="shared" si="309"/>
        <v>-34.948714731491727</v>
      </c>
      <c r="AU490" s="63">
        <f t="shared" si="310"/>
        <v>-73.285986982069105</v>
      </c>
      <c r="AX490" s="32">
        <f t="shared" si="311"/>
        <v>0</v>
      </c>
      <c r="AY490" s="32">
        <f t="shared" si="312"/>
        <v>0</v>
      </c>
    </row>
    <row r="491" spans="14:51" x14ac:dyDescent="0.3">
      <c r="N491" s="11">
        <v>73</v>
      </c>
      <c r="O491" s="52">
        <f t="shared" si="313"/>
        <v>537031.7963702539</v>
      </c>
      <c r="P491" s="50" t="str">
        <f t="shared" si="279"/>
        <v>131.578947368421</v>
      </c>
      <c r="Q491" s="18" t="str">
        <f t="shared" si="280"/>
        <v>1+5061.40543866276i</v>
      </c>
      <c r="R491" s="18">
        <f t="shared" si="288"/>
        <v>5061.4055374495501</v>
      </c>
      <c r="S491" s="18">
        <f t="shared" si="289"/>
        <v>1.5705987532159555</v>
      </c>
      <c r="T491" s="18" t="str">
        <f t="shared" si="281"/>
        <v>1+0.0111350919650581i</v>
      </c>
      <c r="U491" s="18">
        <f t="shared" si="290"/>
        <v>1.0000619932149557</v>
      </c>
      <c r="V491" s="18">
        <f t="shared" si="291"/>
        <v>1.113463178492786E-2</v>
      </c>
      <c r="W491" s="32" t="str">
        <f t="shared" si="282"/>
        <v>1-2.69941623395347i</v>
      </c>
      <c r="X491" s="18">
        <f t="shared" si="292"/>
        <v>2.8786885910309117</v>
      </c>
      <c r="Y491" s="18">
        <f t="shared" si="293"/>
        <v>-1.2160202432933109</v>
      </c>
      <c r="Z491" s="32" t="str">
        <f t="shared" si="283"/>
        <v>0.815421983799897+1.14251608147592i</v>
      </c>
      <c r="AA491" s="18">
        <f t="shared" si="294"/>
        <v>1.4036580809069035</v>
      </c>
      <c r="AB491" s="18">
        <f t="shared" si="295"/>
        <v>0.95092999831801395</v>
      </c>
      <c r="AC491" s="68" t="str">
        <f t="shared" si="296"/>
        <v>-0.0444572836035071+0.0294343560909898i</v>
      </c>
      <c r="AD491" s="66">
        <f t="shared" si="297"/>
        <v>-25.462488987394298</v>
      </c>
      <c r="AE491" s="63">
        <f t="shared" si="298"/>
        <v>146.49218428074215</v>
      </c>
      <c r="AF491" s="32" t="str">
        <f t="shared" si="284"/>
        <v>-0.434440565864413</v>
      </c>
      <c r="AG491" s="32" t="str">
        <f t="shared" si="285"/>
        <v>88.0684546327321i</v>
      </c>
      <c r="AH491" s="32">
        <f t="shared" si="299"/>
        <v>88.068454632732099</v>
      </c>
      <c r="AI491" s="32">
        <f t="shared" si="300"/>
        <v>1.5707963267948966</v>
      </c>
      <c r="AJ491" s="32" t="str">
        <f t="shared" si="286"/>
        <v>1+0.871964897353783i</v>
      </c>
      <c r="AK491" s="32">
        <f t="shared" si="301"/>
        <v>1.3267715636902961</v>
      </c>
      <c r="AL491" s="32">
        <f t="shared" si="302"/>
        <v>0.71710841565916339</v>
      </c>
      <c r="AM491" s="32" t="str">
        <f t="shared" si="287"/>
        <v>1+88.0684546327321i</v>
      </c>
      <c r="AN491" s="32">
        <f t="shared" si="303"/>
        <v>88.074131851512405</v>
      </c>
      <c r="AO491" s="32">
        <f t="shared" si="304"/>
        <v>1.5594420112195109</v>
      </c>
      <c r="AP491" s="60" t="str">
        <f t="shared" si="305"/>
        <v>-0.244352444033818+0.217999741053189i</v>
      </c>
      <c r="AQ491" s="51">
        <f t="shared" si="306"/>
        <v>-9.6967557762618224</v>
      </c>
      <c r="AR491" s="63">
        <f t="shared" si="307"/>
        <v>138.26215996768755</v>
      </c>
      <c r="AS491" s="60" t="str">
        <f t="shared" si="308"/>
        <v>0.00444656389771841-0.0168840331628878i</v>
      </c>
      <c r="AT491" s="66">
        <f t="shared" si="309"/>
        <v>-35.159244763656112</v>
      </c>
      <c r="AU491" s="63">
        <f t="shared" si="310"/>
        <v>-75.245655751570311</v>
      </c>
      <c r="AX491" s="32">
        <f t="shared" si="311"/>
        <v>0</v>
      </c>
      <c r="AY491" s="32">
        <f t="shared" si="312"/>
        <v>0</v>
      </c>
    </row>
    <row r="492" spans="14:51" x14ac:dyDescent="0.3">
      <c r="N492" s="11">
        <v>74</v>
      </c>
      <c r="O492" s="52">
        <f t="shared" si="313"/>
        <v>549540.87385762564</v>
      </c>
      <c r="P492" s="50" t="str">
        <f t="shared" si="279"/>
        <v>131.578947368421</v>
      </c>
      <c r="Q492" s="18" t="str">
        <f t="shared" si="280"/>
        <v>1+5179.30071647529i</v>
      </c>
      <c r="R492" s="18">
        <f t="shared" si="288"/>
        <v>5179.3008130134176</v>
      </c>
      <c r="S492" s="18">
        <f t="shared" si="289"/>
        <v>1.5706032505395648</v>
      </c>
      <c r="T492" s="18" t="str">
        <f t="shared" si="281"/>
        <v>1+0.0113944615762456i</v>
      </c>
      <c r="U492" s="18">
        <f t="shared" si="290"/>
        <v>1.0000649147703427</v>
      </c>
      <c r="V492" s="18">
        <f t="shared" si="291"/>
        <v>1.1393968486080801E-2</v>
      </c>
      <c r="W492" s="32" t="str">
        <f t="shared" si="282"/>
        <v>1-2.76229371545349i</v>
      </c>
      <c r="X492" s="18">
        <f t="shared" si="292"/>
        <v>2.9377315347788073</v>
      </c>
      <c r="Y492" s="18">
        <f t="shared" si="293"/>
        <v>-1.2234554380319509</v>
      </c>
      <c r="Z492" s="32" t="str">
        <f t="shared" si="283"/>
        <v>0.80672308989427+1.16912869974237i</v>
      </c>
      <c r="AA492" s="18">
        <f t="shared" si="294"/>
        <v>1.4204450219314522</v>
      </c>
      <c r="AB492" s="18">
        <f t="shared" si="295"/>
        <v>0.96679927534247956</v>
      </c>
      <c r="AC492" s="68" t="str">
        <f t="shared" si="296"/>
        <v>-0.0431323573843596+0.0300095569011315i</v>
      </c>
      <c r="AD492" s="66">
        <f t="shared" si="297"/>
        <v>-25.58937720997158</v>
      </c>
      <c r="AE492" s="63">
        <f t="shared" si="298"/>
        <v>145.17153762572144</v>
      </c>
      <c r="AF492" s="32" t="str">
        <f t="shared" si="284"/>
        <v>-0.434440565864413</v>
      </c>
      <c r="AG492" s="32" t="str">
        <f t="shared" si="285"/>
        <v>90.1198324666701i</v>
      </c>
      <c r="AH492" s="32">
        <f t="shared" si="299"/>
        <v>90.119832466670104</v>
      </c>
      <c r="AI492" s="32">
        <f t="shared" si="300"/>
        <v>1.5707963267948966</v>
      </c>
      <c r="AJ492" s="32" t="str">
        <f t="shared" si="286"/>
        <v>1+0.892275568976932i</v>
      </c>
      <c r="AK492" s="32">
        <f t="shared" si="301"/>
        <v>1.3402073313458287</v>
      </c>
      <c r="AL492" s="32">
        <f t="shared" si="302"/>
        <v>0.72853103185874502</v>
      </c>
      <c r="AM492" s="32" t="str">
        <f t="shared" si="287"/>
        <v>1+90.1198324666701i</v>
      </c>
      <c r="AN492" s="32">
        <f t="shared" si="303"/>
        <v>90.12538046422155</v>
      </c>
      <c r="AO492" s="32">
        <f t="shared" si="304"/>
        <v>1.5597004455358408</v>
      </c>
      <c r="AP492" s="60" t="str">
        <f t="shared" si="305"/>
        <v>-0.239477666819269+0.218500770192201i</v>
      </c>
      <c r="AQ492" s="51">
        <f t="shared" si="306"/>
        <v>-9.7842976644768616</v>
      </c>
      <c r="AR492" s="63">
        <f t="shared" si="307"/>
        <v>137.62249946406081</v>
      </c>
      <c r="AS492" s="60" t="str">
        <f t="shared" si="308"/>
        <v>0.00377212501479739-0.0166110719776509i</v>
      </c>
      <c r="AT492" s="66">
        <f t="shared" si="309"/>
        <v>-35.373674874448447</v>
      </c>
      <c r="AU492" s="63">
        <f t="shared" si="310"/>
        <v>-77.205962910217764</v>
      </c>
      <c r="AX492" s="32">
        <f t="shared" si="311"/>
        <v>0</v>
      </c>
      <c r="AY492" s="32">
        <f t="shared" si="312"/>
        <v>0</v>
      </c>
    </row>
    <row r="493" spans="14:51" x14ac:dyDescent="0.3">
      <c r="N493" s="11">
        <v>75</v>
      </c>
      <c r="O493" s="52">
        <f t="shared" si="313"/>
        <v>562341.32519035018</v>
      </c>
      <c r="P493" s="50" t="str">
        <f t="shared" si="279"/>
        <v>131.578947368421</v>
      </c>
      <c r="Q493" s="18" t="str">
        <f t="shared" si="280"/>
        <v>1+5299.94212808386i</v>
      </c>
      <c r="R493" s="18">
        <f t="shared" si="288"/>
        <v>5299.9422224245118</v>
      </c>
      <c r="S493" s="18">
        <f t="shared" si="289"/>
        <v>1.5706076454915983</v>
      </c>
      <c r="T493" s="18" t="str">
        <f t="shared" si="281"/>
        <v>1+0.0116598726817845i</v>
      </c>
      <c r="U493" s="18">
        <f t="shared" si="290"/>
        <v>1.0000679740052449</v>
      </c>
      <c r="V493" s="18">
        <f t="shared" si="291"/>
        <v>1.1659344328093244E-2</v>
      </c>
      <c r="W493" s="32" t="str">
        <f t="shared" si="282"/>
        <v>1-2.82663580164473i</v>
      </c>
      <c r="X493" s="18">
        <f t="shared" si="292"/>
        <v>2.9983111838399537</v>
      </c>
      <c r="Y493" s="18">
        <f t="shared" si="293"/>
        <v>-1.2307602693311712</v>
      </c>
      <c r="Z493" s="32" t="str">
        <f t="shared" si="283"/>
        <v>0.797614229749223+1.19636120552068i</v>
      </c>
      <c r="AA493" s="18">
        <f t="shared" si="294"/>
        <v>1.4378694633287616</v>
      </c>
      <c r="AB493" s="18">
        <f t="shared" si="295"/>
        <v>0.9827705228295065</v>
      </c>
      <c r="AC493" s="68" t="str">
        <f t="shared" si="296"/>
        <v>-0.0418068291401264+0.0305387718633491i</v>
      </c>
      <c r="AD493" s="66">
        <f t="shared" si="297"/>
        <v>-25.717959269957667</v>
      </c>
      <c r="AE493" s="63">
        <f t="shared" si="298"/>
        <v>143.85286965118499</v>
      </c>
      <c r="AF493" s="32" t="str">
        <f t="shared" si="284"/>
        <v>-0.434440565864413</v>
      </c>
      <c r="AG493" s="32" t="str">
        <f t="shared" si="285"/>
        <v>92.2189930286593i</v>
      </c>
      <c r="AH493" s="32">
        <f t="shared" si="299"/>
        <v>92.218993028659298</v>
      </c>
      <c r="AI493" s="32">
        <f t="shared" si="300"/>
        <v>1.5707963267948966</v>
      </c>
      <c r="AJ493" s="32" t="str">
        <f t="shared" si="286"/>
        <v>1+0.913059336917419i</v>
      </c>
      <c r="AK493" s="32">
        <f t="shared" si="301"/>
        <v>1.354133432395817</v>
      </c>
      <c r="AL493" s="32">
        <f t="shared" si="302"/>
        <v>0.7399835325975912</v>
      </c>
      <c r="AM493" s="32" t="str">
        <f t="shared" si="287"/>
        <v>1+92.2189930286593i</v>
      </c>
      <c r="AN493" s="32">
        <f t="shared" si="303"/>
        <v>92.224414745879045</v>
      </c>
      <c r="AO493" s="32">
        <f t="shared" si="304"/>
        <v>1.559952998601178</v>
      </c>
      <c r="AP493" s="60" t="str">
        <f t="shared" si="305"/>
        <v>-0.234577349980517+0.2188940059018i</v>
      </c>
      <c r="AQ493" s="51">
        <f t="shared" si="306"/>
        <v>-9.8741111539031508</v>
      </c>
      <c r="AR493" s="63">
        <f t="shared" si="307"/>
        <v>136.98078973160133</v>
      </c>
      <c r="AS493" s="60" t="str">
        <f t="shared" si="308"/>
        <v>0.00312218108228945-0.0163149684798984i</v>
      </c>
      <c r="AT493" s="66">
        <f t="shared" si="309"/>
        <v>-35.592070423860804</v>
      </c>
      <c r="AU493" s="63">
        <f t="shared" si="310"/>
        <v>-79.166340617213649</v>
      </c>
      <c r="AX493" s="32">
        <f t="shared" si="311"/>
        <v>0</v>
      </c>
      <c r="AY493" s="32">
        <f t="shared" si="312"/>
        <v>0</v>
      </c>
    </row>
    <row r="494" spans="14:51" x14ac:dyDescent="0.3">
      <c r="N494" s="11">
        <v>76</v>
      </c>
      <c r="O494" s="52">
        <f t="shared" si="313"/>
        <v>575439.93733715697</v>
      </c>
      <c r="P494" s="50" t="str">
        <f t="shared" si="279"/>
        <v>131.578947368421</v>
      </c>
      <c r="Q494" s="18" t="str">
        <f t="shared" si="280"/>
        <v>1+5423.39363916175i</v>
      </c>
      <c r="R494" s="18">
        <f t="shared" si="288"/>
        <v>5423.3937313549468</v>
      </c>
      <c r="S494" s="18">
        <f t="shared" si="289"/>
        <v>1.5706119404023164</v>
      </c>
      <c r="T494" s="18" t="str">
        <f t="shared" si="281"/>
        <v>1+0.0119314660061559i</v>
      </c>
      <c r="U494" s="18">
        <f t="shared" si="290"/>
        <v>1.0000711774074165</v>
      </c>
      <c r="V494" s="18">
        <f t="shared" si="291"/>
        <v>1.1930899867151916E-2</v>
      </c>
      <c r="W494" s="32" t="str">
        <f t="shared" si="282"/>
        <v>1-2.89247660755294i</v>
      </c>
      <c r="X494" s="18">
        <f t="shared" si="292"/>
        <v>3.0604609007861816</v>
      </c>
      <c r="Y494" s="18">
        <f t="shared" si="293"/>
        <v>-1.2379354910311107</v>
      </c>
      <c r="Z494" s="32" t="str">
        <f t="shared" si="283"/>
        <v>0.788076082251141+1.22422803784587i</v>
      </c>
      <c r="AA494" s="18">
        <f t="shared" si="294"/>
        <v>1.4559526778244738</v>
      </c>
      <c r="AB494" s="18">
        <f t="shared" si="295"/>
        <v>0.9988392990486189</v>
      </c>
      <c r="AC494" s="68" t="str">
        <f t="shared" si="296"/>
        <v>-0.0404821885913029+0.0310222351753868i</v>
      </c>
      <c r="AD494" s="66">
        <f t="shared" si="297"/>
        <v>-25.848284805010522</v>
      </c>
      <c r="AE494" s="63">
        <f t="shared" si="298"/>
        <v>142.5363995774463</v>
      </c>
      <c r="AF494" s="32" t="str">
        <f t="shared" si="284"/>
        <v>-0.434440565864413</v>
      </c>
      <c r="AG494" s="32" t="str">
        <f t="shared" si="285"/>
        <v>94.3670493214146i</v>
      </c>
      <c r="AH494" s="32">
        <f t="shared" si="299"/>
        <v>94.367049321414598</v>
      </c>
      <c r="AI494" s="32">
        <f t="shared" si="300"/>
        <v>1.5707963267948966</v>
      </c>
      <c r="AJ494" s="32" t="str">
        <f t="shared" si="286"/>
        <v>1+0.934327221004105i</v>
      </c>
      <c r="AK494" s="32">
        <f t="shared" si="301"/>
        <v>1.368563975818907</v>
      </c>
      <c r="AL494" s="32">
        <f t="shared" si="302"/>
        <v>0.75145997426229649</v>
      </c>
      <c r="AM494" s="32" t="str">
        <f t="shared" si="287"/>
        <v>1+94.3670493214146i</v>
      </c>
      <c r="AN494" s="32">
        <f t="shared" si="303"/>
        <v>94.372347632292659</v>
      </c>
      <c r="AO494" s="32">
        <f t="shared" si="304"/>
        <v>1.5601998041935574</v>
      </c>
      <c r="AP494" s="60" t="str">
        <f t="shared" si="305"/>
        <v>-0.229656524854041+0.219178074240729i</v>
      </c>
      <c r="AQ494" s="51">
        <f t="shared" si="306"/>
        <v>-9.9662070046422695</v>
      </c>
      <c r="AR494" s="63">
        <f t="shared" si="307"/>
        <v>136.3373789791892</v>
      </c>
      <c r="AS494" s="60" t="str">
        <f t="shared" si="308"/>
        <v>0.00249760498598025-0.0159972668600759i</v>
      </c>
      <c r="AT494" s="66">
        <f t="shared" si="309"/>
        <v>-35.814491809652793</v>
      </c>
      <c r="AU494" s="63">
        <f t="shared" si="310"/>
        <v>-81.126221443364457</v>
      </c>
      <c r="AX494" s="32">
        <f t="shared" si="311"/>
        <v>0</v>
      </c>
      <c r="AY494" s="32">
        <f t="shared" si="312"/>
        <v>0</v>
      </c>
    </row>
    <row r="495" spans="14:51" x14ac:dyDescent="0.3">
      <c r="N495" s="11">
        <v>77</v>
      </c>
      <c r="O495" s="52">
        <f t="shared" si="313"/>
        <v>588843.65535558888</v>
      </c>
      <c r="P495" s="50" t="str">
        <f t="shared" si="279"/>
        <v>131.578947368421</v>
      </c>
      <c r="Q495" s="18" t="str">
        <f t="shared" si="280"/>
        <v>1+5549.72070533424i</v>
      </c>
      <c r="R495" s="18">
        <f t="shared" si="288"/>
        <v>5549.7207954288624</v>
      </c>
      <c r="S495" s="18">
        <f t="shared" si="289"/>
        <v>1.5706161375489376</v>
      </c>
      <c r="T495" s="18" t="str">
        <f t="shared" si="281"/>
        <v>1+0.0122093855517353i</v>
      </c>
      <c r="U495" s="18">
        <f t="shared" si="290"/>
        <v>1.000074531770283</v>
      </c>
      <c r="V495" s="18">
        <f t="shared" si="291"/>
        <v>1.2208778925304784E-2</v>
      </c>
      <c r="W495" s="32" t="str">
        <f t="shared" si="282"/>
        <v>1-2.95985104284493i</v>
      </c>
      <c r="X495" s="18">
        <f t="shared" si="292"/>
        <v>3.1242148126897771</v>
      </c>
      <c r="Y495" s="18">
        <f t="shared" si="293"/>
        <v>-1.2449819513309175</v>
      </c>
      <c r="Z495" s="32" t="str">
        <f t="shared" si="283"/>
        <v>0.778088415710379+1.2527439720813i</v>
      </c>
      <c r="AA495" s="18">
        <f t="shared" si="294"/>
        <v>1.4747165972649527</v>
      </c>
      <c r="AB495" s="18">
        <f t="shared" si="295"/>
        <v>1.015001160965378</v>
      </c>
      <c r="AC495" s="68" t="str">
        <f t="shared" si="296"/>
        <v>-0.0391599290199386+0.031460258343511i</v>
      </c>
      <c r="AD495" s="66">
        <f t="shared" si="297"/>
        <v>-25.980400802286926</v>
      </c>
      <c r="AE495" s="63">
        <f t="shared" si="298"/>
        <v>141.22234148331728</v>
      </c>
      <c r="AF495" s="32" t="str">
        <f t="shared" si="284"/>
        <v>-0.434440565864413</v>
      </c>
      <c r="AG495" s="32" t="str">
        <f t="shared" si="285"/>
        <v>96.5651402728159i</v>
      </c>
      <c r="AH495" s="32">
        <f t="shared" si="299"/>
        <v>96.565140272815896</v>
      </c>
      <c r="AI495" s="32">
        <f t="shared" si="300"/>
        <v>1.5707963267948966</v>
      </c>
      <c r="AJ495" s="32" t="str">
        <f t="shared" si="286"/>
        <v>1+0.956090497750652i</v>
      </c>
      <c r="AK495" s="32">
        <f t="shared" si="301"/>
        <v>1.3835132958844629</v>
      </c>
      <c r="AL495" s="32">
        <f t="shared" si="302"/>
        <v>0.76295435045285143</v>
      </c>
      <c r="AM495" s="32" t="str">
        <f t="shared" si="287"/>
        <v>1+96.5651402728159i</v>
      </c>
      <c r="AN495" s="32">
        <f t="shared" si="303"/>
        <v>96.570317985955768</v>
      </c>
      <c r="AO495" s="32">
        <f t="shared" si="304"/>
        <v>1.5604409930522327</v>
      </c>
      <c r="AP495" s="60" t="str">
        <f t="shared" si="305"/>
        <v>-0.224720308592297+0.219351889560156i</v>
      </c>
      <c r="AQ495" s="51">
        <f t="shared" si="306"/>
        <v>-10.0605936143479</v>
      </c>
      <c r="AR495" s="63">
        <f t="shared" si="307"/>
        <v>135.69261883900253</v>
      </c>
      <c r="AS495" s="60" t="str">
        <f t="shared" si="308"/>
        <v>0.00189916422011325-0.0156595633889123i</v>
      </c>
      <c r="AT495" s="66">
        <f t="shared" si="309"/>
        <v>-36.040994416634824</v>
      </c>
      <c r="AU495" s="63">
        <f t="shared" si="310"/>
        <v>-83.085039677680172</v>
      </c>
      <c r="AX495" s="32">
        <f t="shared" si="311"/>
        <v>0</v>
      </c>
      <c r="AY495" s="32">
        <f t="shared" si="312"/>
        <v>0</v>
      </c>
    </row>
    <row r="496" spans="14:51" x14ac:dyDescent="0.3">
      <c r="N496" s="11">
        <v>78</v>
      </c>
      <c r="O496" s="52">
        <f t="shared" si="313"/>
        <v>602559.58607435878</v>
      </c>
      <c r="P496" s="50" t="str">
        <f t="shared" si="279"/>
        <v>131.578947368421</v>
      </c>
      <c r="Q496" s="18" t="str">
        <f t="shared" si="280"/>
        <v>1+5678.99030688393i</v>
      </c>
      <c r="R496" s="18">
        <f t="shared" si="288"/>
        <v>5678.9903949277495</v>
      </c>
      <c r="S496" s="18">
        <f t="shared" si="289"/>
        <v>1.5706202391568438</v>
      </c>
      <c r="T496" s="18" t="str">
        <f t="shared" si="281"/>
        <v>1+0.0124937786751446i</v>
      </c>
      <c r="U496" s="18">
        <f t="shared" si="290"/>
        <v>1.0000780442073425</v>
      </c>
      <c r="V496" s="18">
        <f t="shared" si="291"/>
        <v>1.2493128665952844E-2</v>
      </c>
      <c r="W496" s="32" t="str">
        <f t="shared" si="282"/>
        <v>1-3.0287948303381i</v>
      </c>
      <c r="X496" s="18">
        <f t="shared" si="292"/>
        <v>3.1896078323647878</v>
      </c>
      <c r="Y496" s="18">
        <f t="shared" si="293"/>
        <v>-1.2519005864436745</v>
      </c>
      <c r="Z496" s="32" t="str">
        <f t="shared" si="283"/>
        <v>0.767630044947136+1.28192412775275i</v>
      </c>
      <c r="AA496" s="18">
        <f t="shared" si="294"/>
        <v>1.4941838425107505</v>
      </c>
      <c r="AB496" s="18">
        <f t="shared" si="295"/>
        <v>1.0312516784213204</v>
      </c>
      <c r="AC496" s="68" t="str">
        <f t="shared" si="296"/>
        <v>-0.0378415411762841+0.0318532303682209i</v>
      </c>
      <c r="AD496" s="66">
        <f t="shared" si="297"/>
        <v>-26.114351605880856</v>
      </c>
      <c r="AE496" s="63">
        <f t="shared" si="298"/>
        <v>139.91090386145859</v>
      </c>
      <c r="AF496" s="32" t="str">
        <f t="shared" si="284"/>
        <v>-0.434440565864413</v>
      </c>
      <c r="AG496" s="32" t="str">
        <f t="shared" si="285"/>
        <v>98.8144313397805i</v>
      </c>
      <c r="AH496" s="32">
        <f t="shared" si="299"/>
        <v>98.814431339780498</v>
      </c>
      <c r="AI496" s="32">
        <f t="shared" si="300"/>
        <v>1.5707963267948966</v>
      </c>
      <c r="AJ496" s="32" t="str">
        <f t="shared" si="286"/>
        <v>1+0.97836070633446i</v>
      </c>
      <c r="AK496" s="32">
        <f t="shared" si="301"/>
        <v>1.3989959512805117</v>
      </c>
      <c r="AL496" s="32">
        <f t="shared" si="302"/>
        <v>0.77446060752831491</v>
      </c>
      <c r="AM496" s="32" t="str">
        <f t="shared" si="287"/>
        <v>1+98.8144313397805i</v>
      </c>
      <c r="AN496" s="32">
        <f t="shared" si="303"/>
        <v>98.819491199885221</v>
      </c>
      <c r="AO496" s="32">
        <f t="shared" si="304"/>
        <v>1.5606766929464213</v>
      </c>
      <c r="AP496" s="60" t="str">
        <f t="shared" si="305"/>
        <v>-0.219773883105426+0.219414661043839i</v>
      </c>
      <c r="AQ496" s="51">
        <f t="shared" si="306"/>
        <v>-10.157276983297042</v>
      </c>
      <c r="AR496" s="63">
        <f t="shared" si="307"/>
        <v>135.04686347975456</v>
      </c>
      <c r="AS496" s="60" t="str">
        <f t="shared" si="308"/>
        <v>0.00132751670261132-0.0153034970580464i</v>
      </c>
      <c r="AT496" s="66">
        <f t="shared" si="309"/>
        <v>-36.271628589177915</v>
      </c>
      <c r="AU496" s="63">
        <f t="shared" si="310"/>
        <v>-85.042232658786816</v>
      </c>
      <c r="AX496" s="32">
        <f t="shared" si="311"/>
        <v>0</v>
      </c>
      <c r="AY496" s="32">
        <f t="shared" si="312"/>
        <v>0</v>
      </c>
    </row>
    <row r="497" spans="14:51" x14ac:dyDescent="0.3">
      <c r="N497" s="11">
        <v>79</v>
      </c>
      <c r="O497" s="52">
        <f t="shared" si="313"/>
        <v>616595.00186148309</v>
      </c>
      <c r="P497" s="50" t="str">
        <f t="shared" si="279"/>
        <v>131.578947368421</v>
      </c>
      <c r="Q497" s="18" t="str">
        <f t="shared" si="280"/>
        <v>1+5811.27098426466i</v>
      </c>
      <c r="R497" s="18">
        <f t="shared" si="288"/>
        <v>5811.2710703043576</v>
      </c>
      <c r="S497" s="18">
        <f t="shared" si="289"/>
        <v>1.570624247400761</v>
      </c>
      <c r="T497" s="18" t="str">
        <f t="shared" si="281"/>
        <v>1+0.0127847961653823i</v>
      </c>
      <c r="U497" s="18">
        <f t="shared" si="290"/>
        <v>1.0000817221672389</v>
      </c>
      <c r="V497" s="18">
        <f t="shared" si="291"/>
        <v>1.278409967105861E-2</v>
      </c>
      <c r="W497" s="32" t="str">
        <f t="shared" si="282"/>
        <v>1-3.09934452494115i</v>
      </c>
      <c r="X497" s="18">
        <f t="shared" si="292"/>
        <v>3.2566756799353973</v>
      </c>
      <c r="Y497" s="18">
        <f t="shared" si="293"/>
        <v>-1.2586924144109424</v>
      </c>
      <c r="Z497" s="32" t="str">
        <f t="shared" si="283"/>
        <v>0.75667878635484+1.311783976565i</v>
      </c>
      <c r="AA497" s="18">
        <f t="shared" si="294"/>
        <v>1.5143777556779279</v>
      </c>
      <c r="AB497" s="18">
        <f t="shared" si="295"/>
        <v>1.0475864480930741</v>
      </c>
      <c r="AC497" s="68" t="str">
        <f t="shared" si="296"/>
        <v>-0.036528507216809+0.0322016173984296i</v>
      </c>
      <c r="AD497" s="66">
        <f t="shared" si="297"/>
        <v>-26.250178937594349</v>
      </c>
      <c r="AE497" s="63">
        <f t="shared" si="298"/>
        <v>138.602289177339</v>
      </c>
      <c r="AF497" s="32" t="str">
        <f t="shared" si="284"/>
        <v>-0.434440565864413</v>
      </c>
      <c r="AG497" s="32" t="str">
        <f t="shared" si="285"/>
        <v>101.116115126205i</v>
      </c>
      <c r="AH497" s="32">
        <f t="shared" si="299"/>
        <v>101.116115126205</v>
      </c>
      <c r="AI497" s="32">
        <f t="shared" si="300"/>
        <v>1.5707963267948966</v>
      </c>
      <c r="AJ497" s="32" t="str">
        <f t="shared" si="286"/>
        <v>1+1.0011496547149i</v>
      </c>
      <c r="AK497" s="32">
        <f t="shared" si="301"/>
        <v>1.4150267245305874</v>
      </c>
      <c r="AL497" s="32">
        <f t="shared" si="302"/>
        <v>0.78597266045503278</v>
      </c>
      <c r="AM497" s="32" t="str">
        <f t="shared" si="287"/>
        <v>1+101.116115126205i</v>
      </c>
      <c r="AN497" s="32">
        <f t="shared" si="303"/>
        <v>101.12105981552973</v>
      </c>
      <c r="AO497" s="32">
        <f t="shared" si="304"/>
        <v>1.5609070287425135</v>
      </c>
      <c r="AP497" s="60" t="str">
        <f t="shared" si="305"/>
        <v>-0.214822473426078+0.219365897400101i</v>
      </c>
      <c r="AQ497" s="51">
        <f t="shared" si="306"/>
        <v>-10.256260689389702</v>
      </c>
      <c r="AR497" s="63">
        <f t="shared" si="307"/>
        <v>134.40046870250924</v>
      </c>
      <c r="AS497" s="60" t="str">
        <f t="shared" si="308"/>
        <v>0.000783207572536035-0.0149307398641522i</v>
      </c>
      <c r="AT497" s="66">
        <f t="shared" si="309"/>
        <v>-36.506439626984083</v>
      </c>
      <c r="AU497" s="63">
        <f t="shared" si="310"/>
        <v>-86.997242120151739</v>
      </c>
      <c r="AX497" s="32">
        <f t="shared" si="311"/>
        <v>0</v>
      </c>
      <c r="AY497" s="32">
        <f t="shared" si="312"/>
        <v>0</v>
      </c>
    </row>
    <row r="498" spans="14:51" x14ac:dyDescent="0.3">
      <c r="N498" s="11">
        <v>80</v>
      </c>
      <c r="O498" s="52">
        <f t="shared" si="313"/>
        <v>630957.34448019415</v>
      </c>
      <c r="P498" s="50" t="str">
        <f t="shared" si="279"/>
        <v>131.578947368421</v>
      </c>
      <c r="Q498" s="18" t="str">
        <f t="shared" si="280"/>
        <v>1+5946.6328744425i</v>
      </c>
      <c r="R498" s="18">
        <f t="shared" si="288"/>
        <v>5946.6329585236954</v>
      </c>
      <c r="S498" s="18">
        <f t="shared" si="289"/>
        <v>1.5706281644059132</v>
      </c>
      <c r="T498" s="18" t="str">
        <f t="shared" si="281"/>
        <v>1+0.0130825923237735i</v>
      </c>
      <c r="U498" s="18">
        <f t="shared" si="290"/>
        <v>1.0000855734495473</v>
      </c>
      <c r="V498" s="18">
        <f t="shared" si="291"/>
        <v>1.3081846020108567E-2</v>
      </c>
      <c r="W498" s="32" t="str">
        <f t="shared" si="282"/>
        <v>1-3.171537533036i</v>
      </c>
      <c r="X498" s="18">
        <f t="shared" si="292"/>
        <v>3.3254549047395123</v>
      </c>
      <c r="Y498" s="18">
        <f t="shared" si="293"/>
        <v>-1.265358529090459</v>
      </c>
      <c r="Z498" s="32" t="str">
        <f t="shared" si="283"/>
        <v>0.745211410845762+1.34233935060515i</v>
      </c>
      <c r="AA498" s="18">
        <f t="shared" si="294"/>
        <v>1.5353224348773735</v>
      </c>
      <c r="AB498" s="18">
        <f t="shared" si="295"/>
        <v>1.0640011071206408</v>
      </c>
      <c r="AC498" s="68" t="str">
        <f t="shared" si="296"/>
        <v>-0.0352222947272619+0.0325059618616536i</v>
      </c>
      <c r="AD498" s="66">
        <f t="shared" si="297"/>
        <v>-26.387921930665684</v>
      </c>
      <c r="AE498" s="63">
        <f t="shared" si="298"/>
        <v>137.29669343732894</v>
      </c>
      <c r="AF498" s="32" t="str">
        <f t="shared" si="284"/>
        <v>-0.434440565864413</v>
      </c>
      <c r="AG498" s="32" t="str">
        <f t="shared" si="285"/>
        <v>103.4714120153i</v>
      </c>
      <c r="AH498" s="32">
        <f t="shared" si="299"/>
        <v>103.4714120153</v>
      </c>
      <c r="AI498" s="32">
        <f t="shared" si="300"/>
        <v>1.5707963267948966</v>
      </c>
      <c r="AJ498" s="32" t="str">
        <f t="shared" si="286"/>
        <v>1+1.02446942589406i</v>
      </c>
      <c r="AK498" s="32">
        <f t="shared" si="301"/>
        <v>1.4316206217401679</v>
      </c>
      <c r="AL498" s="32">
        <f t="shared" si="302"/>
        <v>0.79748440885681005</v>
      </c>
      <c r="AM498" s="32" t="str">
        <f t="shared" si="287"/>
        <v>1+103.4714120153i</v>
      </c>
      <c r="AN498" s="32">
        <f t="shared" si="303"/>
        <v>103.4762441550715</v>
      </c>
      <c r="AO498" s="32">
        <f t="shared" si="304"/>
        <v>1.5611321224697778</v>
      </c>
      <c r="AP498" s="60" t="str">
        <f t="shared" si="305"/>
        <v>-0.209871325688055+0.219205409649366i</v>
      </c>
      <c r="AQ498" s="51">
        <f t="shared" si="306"/>
        <v>-10.357545873301051</v>
      </c>
      <c r="AR498" s="63">
        <f t="shared" si="307"/>
        <v>133.75379102483808</v>
      </c>
      <c r="AS498" s="60" t="str">
        <f t="shared" si="308"/>
        <v>0.000266667002255398-0.0145429868531507i</v>
      </c>
      <c r="AT498" s="66">
        <f t="shared" si="309"/>
        <v>-36.745467803966761</v>
      </c>
      <c r="AU498" s="63">
        <f t="shared" si="310"/>
        <v>-88.949515537832951</v>
      </c>
      <c r="AX498" s="32">
        <f t="shared" si="311"/>
        <v>0</v>
      </c>
      <c r="AY498" s="32">
        <f t="shared" si="312"/>
        <v>0</v>
      </c>
    </row>
    <row r="499" spans="14:51" x14ac:dyDescent="0.3">
      <c r="N499" s="11">
        <v>81</v>
      </c>
      <c r="O499" s="52">
        <f t="shared" si="313"/>
        <v>645654.22903465747</v>
      </c>
      <c r="P499" s="50" t="str">
        <f t="shared" si="279"/>
        <v>131.578947368421</v>
      </c>
      <c r="Q499" s="18" t="str">
        <f t="shared" si="280"/>
        <v>1+6085.14774808338i</v>
      </c>
      <c r="R499" s="18">
        <f t="shared" si="288"/>
        <v>6085.1478302506539</v>
      </c>
      <c r="S499" s="18">
        <f t="shared" si="289"/>
        <v>1.5706319922491474</v>
      </c>
      <c r="T499" s="18" t="str">
        <f t="shared" si="281"/>
        <v>1+0.0133873250457834i</v>
      </c>
      <c r="U499" s="18">
        <f t="shared" si="290"/>
        <v>1.0000896062213034</v>
      </c>
      <c r="V499" s="18">
        <f t="shared" si="291"/>
        <v>1.338652537086853E-2</v>
      </c>
      <c r="W499" s="32" t="str">
        <f t="shared" si="282"/>
        <v>1-3.24541213231114i</v>
      </c>
      <c r="X499" s="18">
        <f t="shared" si="292"/>
        <v>3.3959829075765882</v>
      </c>
      <c r="Y499" s="18">
        <f t="shared" si="293"/>
        <v>-1.2719000943282806</v>
      </c>
      <c r="Z499" s="32" t="str">
        <f t="shared" si="283"/>
        <v>0.733203594578984+1.37360645073695i</v>
      </c>
      <c r="AA499" s="18">
        <f t="shared" si="294"/>
        <v>1.5570427716057462</v>
      </c>
      <c r="AB499" s="18">
        <f t="shared" si="295"/>
        <v>1.0804913462969916</v>
      </c>
      <c r="AC499" s="68" t="str">
        <f t="shared" si="296"/>
        <v>-0.0339243508830247+0.0327668810839506i</v>
      </c>
      <c r="AD499" s="66">
        <f t="shared" si="297"/>
        <v>-26.527617175983682</v>
      </c>
      <c r="AE499" s="63">
        <f t="shared" si="298"/>
        <v>135.99430577146751</v>
      </c>
      <c r="AF499" s="32" t="str">
        <f t="shared" si="284"/>
        <v>-0.434440565864413</v>
      </c>
      <c r="AG499" s="32" t="str">
        <f t="shared" si="285"/>
        <v>105.881570816651i</v>
      </c>
      <c r="AH499" s="32">
        <f t="shared" si="299"/>
        <v>105.88157081665101</v>
      </c>
      <c r="AI499" s="32">
        <f t="shared" si="300"/>
        <v>1.5707963267948966</v>
      </c>
      <c r="AJ499" s="32" t="str">
        <f t="shared" si="286"/>
        <v>1+1.04833238432328i</v>
      </c>
      <c r="AK499" s="32">
        <f t="shared" si="301"/>
        <v>1.4487928727119461</v>
      </c>
      <c r="AL499" s="32">
        <f t="shared" si="302"/>
        <v>0.80898975316402733</v>
      </c>
      <c r="AM499" s="32" t="str">
        <f t="shared" si="287"/>
        <v>1+105.881570816651i</v>
      </c>
      <c r="AN499" s="32">
        <f t="shared" si="303"/>
        <v>105.886292968455</v>
      </c>
      <c r="AO499" s="32">
        <f t="shared" si="304"/>
        <v>1.5613520933845968</v>
      </c>
      <c r="AP499" s="60" t="str">
        <f t="shared" si="305"/>
        <v>-0.204925684915413+0.218933311973527i</v>
      </c>
      <c r="AQ499" s="51">
        <f t="shared" si="306"/>
        <v>-10.461131233919939</v>
      </c>
      <c r="AR499" s="63">
        <f t="shared" si="307"/>
        <v>133.10718675922439</v>
      </c>
      <c r="AS499" s="60" t="str">
        <f t="shared" si="308"/>
        <v>-0.000221790958737385-0.0141419460440431i</v>
      </c>
      <c r="AT499" s="66">
        <f t="shared" si="309"/>
        <v>-36.988748409903629</v>
      </c>
      <c r="AU499" s="63">
        <f t="shared" si="310"/>
        <v>-90.898507469308129</v>
      </c>
      <c r="AX499" s="32">
        <f t="shared" si="311"/>
        <v>0</v>
      </c>
      <c r="AY499" s="32">
        <f t="shared" si="312"/>
        <v>0</v>
      </c>
    </row>
    <row r="500" spans="14:51" x14ac:dyDescent="0.3">
      <c r="N500" s="11">
        <v>82</v>
      </c>
      <c r="O500" s="52">
        <f t="shared" si="313"/>
        <v>660693.44800759677</v>
      </c>
      <c r="P500" s="50" t="str">
        <f t="shared" si="279"/>
        <v>131.578947368421</v>
      </c>
      <c r="Q500" s="18" t="str">
        <f t="shared" si="280"/>
        <v>1+6226.88904760672i</v>
      </c>
      <c r="R500" s="18">
        <f t="shared" si="288"/>
        <v>6226.8891279036379</v>
      </c>
      <c r="S500" s="18">
        <f t="shared" si="289"/>
        <v>1.5706357329600367</v>
      </c>
      <c r="T500" s="18" t="str">
        <f t="shared" si="281"/>
        <v>1+0.0136991559047348i</v>
      </c>
      <c r="U500" s="18">
        <f t="shared" si="290"/>
        <v>1.0000938290343073</v>
      </c>
      <c r="V500" s="18">
        <f t="shared" si="291"/>
        <v>1.3698299041967397E-2</v>
      </c>
      <c r="W500" s="32" t="str">
        <f t="shared" si="282"/>
        <v>1-3.32100749205692i</v>
      </c>
      <c r="X500" s="18">
        <f t="shared" si="292"/>
        <v>3.4682979633096971</v>
      </c>
      <c r="Y500" s="18">
        <f t="shared" si="293"/>
        <v>-1.27831833832457</v>
      </c>
      <c r="Z500" s="32" t="str">
        <f t="shared" si="283"/>
        <v>0.720629867366294+1.40560185519076i</v>
      </c>
      <c r="AA500" s="18">
        <f t="shared" si="294"/>
        <v>1.5795644909455484</v>
      </c>
      <c r="AB500" s="18">
        <f t="shared" si="295"/>
        <v>1.0970529227144861</v>
      </c>
      <c r="AC500" s="68" t="str">
        <f t="shared" si="296"/>
        <v>-0.0326360967967738+0.0329850654192775i</v>
      </c>
      <c r="AD500" s="66">
        <f t="shared" si="297"/>
        <v>-26.669298780229095</v>
      </c>
      <c r="AE500" s="63">
        <f t="shared" si="298"/>
        <v>134.6953080363601</v>
      </c>
      <c r="AF500" s="32" t="str">
        <f t="shared" si="284"/>
        <v>-0.434440565864413</v>
      </c>
      <c r="AG500" s="32" t="str">
        <f t="shared" si="285"/>
        <v>108.347869428357i</v>
      </c>
      <c r="AH500" s="32">
        <f t="shared" si="299"/>
        <v>108.347869428357</v>
      </c>
      <c r="AI500" s="32">
        <f t="shared" si="300"/>
        <v>1.5707963267948966</v>
      </c>
      <c r="AJ500" s="32" t="str">
        <f t="shared" si="286"/>
        <v>1+1.07275118245898i</v>
      </c>
      <c r="AK500" s="32">
        <f t="shared" si="301"/>
        <v>1.4665589314675151</v>
      </c>
      <c r="AL500" s="32">
        <f t="shared" si="302"/>
        <v>0.82048261075758566</v>
      </c>
      <c r="AM500" s="32" t="str">
        <f t="shared" si="287"/>
        <v>1+108.347869428357i</v>
      </c>
      <c r="AN500" s="32">
        <f t="shared" si="303"/>
        <v>108.35248409549406</v>
      </c>
      <c r="AO500" s="32">
        <f t="shared" si="304"/>
        <v>1.5615670580332619</v>
      </c>
      <c r="AP500" s="60" t="str">
        <f t="shared" si="305"/>
        <v>-0.199990772821525+0.218550020616597i</v>
      </c>
      <c r="AQ500" s="51">
        <f t="shared" si="306"/>
        <v>-10.56701303411657</v>
      </c>
      <c r="AR500" s="63">
        <f t="shared" si="307"/>
        <v>132.4610110916816</v>
      </c>
      <c r="AS500" s="60" t="str">
        <f t="shared" si="308"/>
        <v>-0.00068196850715801-0.01372932835255i</v>
      </c>
      <c r="AT500" s="66">
        <f t="shared" si="309"/>
        <v>-37.23631181434569</v>
      </c>
      <c r="AU500" s="63">
        <f t="shared" si="310"/>
        <v>-92.843680871958256</v>
      </c>
      <c r="AX500" s="32">
        <f t="shared" si="311"/>
        <v>0</v>
      </c>
      <c r="AY500" s="32">
        <f t="shared" si="312"/>
        <v>0</v>
      </c>
    </row>
    <row r="501" spans="14:51" x14ac:dyDescent="0.3">
      <c r="N501" s="11">
        <v>83</v>
      </c>
      <c r="O501" s="52">
        <f t="shared" si="313"/>
        <v>676082.97539198259</v>
      </c>
      <c r="P501" s="50" t="str">
        <f t="shared" si="279"/>
        <v>131.578947368421</v>
      </c>
      <c r="Q501" s="18" t="str">
        <f t="shared" si="280"/>
        <v>1+6371.93192612574i</v>
      </c>
      <c r="R501" s="18">
        <f t="shared" si="288"/>
        <v>6371.9320045948771</v>
      </c>
      <c r="S501" s="18">
        <f t="shared" si="289"/>
        <v>1.5706393885219547</v>
      </c>
      <c r="T501" s="18" t="str">
        <f t="shared" si="281"/>
        <v>1+0.0140182502374766i</v>
      </c>
      <c r="U501" s="18">
        <f t="shared" si="290"/>
        <v>1.0000982508432461</v>
      </c>
      <c r="V501" s="18">
        <f t="shared" si="291"/>
        <v>1.4017332097350902E-2</v>
      </c>
      <c r="W501" s="32" t="str">
        <f t="shared" si="282"/>
        <v>1-3.39836369393373i</v>
      </c>
      <c r="X501" s="18">
        <f t="shared" si="292"/>
        <v>3.5424392438328289</v>
      </c>
      <c r="Y501" s="18">
        <f t="shared" si="293"/>
        <v>-1.2846145482003106</v>
      </c>
      <c r="Z501" s="32" t="str">
        <f t="shared" si="283"/>
        <v>0.707463558646479+1.43834252835353i</v>
      </c>
      <c r="AA501" s="18">
        <f t="shared" si="294"/>
        <v>1.6029141947350662</v>
      </c>
      <c r="AB501" s="18">
        <f t="shared" si="295"/>
        <v>1.1136816717681728</v>
      </c>
      <c r="AC501" s="68" t="str">
        <f t="shared" si="296"/>
        <v>-0.0313589221005088+0.0331612759135085i</v>
      </c>
      <c r="AD501" s="66">
        <f t="shared" si="297"/>
        <v>-26.812998435294745</v>
      </c>
      <c r="AE501" s="63">
        <f t="shared" si="298"/>
        <v>133.39987444352204</v>
      </c>
      <c r="AF501" s="32" t="str">
        <f t="shared" si="284"/>
        <v>-0.434440565864413</v>
      </c>
      <c r="AG501" s="32" t="str">
        <f t="shared" si="285"/>
        <v>110.871615514588i</v>
      </c>
      <c r="AH501" s="32">
        <f t="shared" si="299"/>
        <v>110.871615514588</v>
      </c>
      <c r="AI501" s="32">
        <f t="shared" si="300"/>
        <v>1.5707963267948966</v>
      </c>
      <c r="AJ501" s="32" t="str">
        <f t="shared" si="286"/>
        <v>1+1.09773876747117i</v>
      </c>
      <c r="AK501" s="32">
        <f t="shared" si="301"/>
        <v>1.4849344772107367</v>
      </c>
      <c r="AL501" s="32">
        <f t="shared" si="302"/>
        <v>0.83195693200351717</v>
      </c>
      <c r="AM501" s="32" t="str">
        <f t="shared" si="287"/>
        <v>1+110.871615514588i</v>
      </c>
      <c r="AN501" s="32">
        <f t="shared" si="303"/>
        <v>110.8761251433988</v>
      </c>
      <c r="AO501" s="32">
        <f t="shared" si="304"/>
        <v>1.5617771303133621</v>
      </c>
      <c r="AP501" s="60" t="str">
        <f t="shared" si="305"/>
        <v>-0.195071765817509+0.218056250849491i</v>
      </c>
      <c r="AQ501" s="51">
        <f t="shared" si="306"/>
        <v>-10.675185116787908</v>
      </c>
      <c r="AR501" s="63">
        <f t="shared" si="307"/>
        <v>131.815617166555</v>
      </c>
      <c r="AS501" s="60" t="str">
        <f t="shared" si="308"/>
        <v>-0.00111378319080523-0.0133068376331279i</v>
      </c>
      <c r="AT501" s="66">
        <f t="shared" si="309"/>
        <v>-37.488183552082674</v>
      </c>
      <c r="AU501" s="63">
        <f t="shared" si="310"/>
        <v>-94.784508389922919</v>
      </c>
      <c r="AX501" s="32">
        <f t="shared" si="311"/>
        <v>0</v>
      </c>
      <c r="AY501" s="32">
        <f t="shared" si="312"/>
        <v>0</v>
      </c>
    </row>
    <row r="502" spans="14:51" x14ac:dyDescent="0.3">
      <c r="N502" s="11">
        <v>84</v>
      </c>
      <c r="O502" s="52">
        <f t="shared" si="313"/>
        <v>691830.97091893724</v>
      </c>
      <c r="P502" s="50" t="str">
        <f t="shared" si="279"/>
        <v>131.578947368421</v>
      </c>
      <c r="Q502" s="18" t="str">
        <f t="shared" si="280"/>
        <v>1+6520.35328729447i</v>
      </c>
      <c r="R502" s="18">
        <f t="shared" si="288"/>
        <v>6520.3533639774314</v>
      </c>
      <c r="S502" s="18">
        <f t="shared" si="289"/>
        <v>1.5706429608731285</v>
      </c>
      <c r="T502" s="18" t="str">
        <f t="shared" si="281"/>
        <v>1+0.0143447772320478i</v>
      </c>
      <c r="U502" s="18">
        <f t="shared" si="290"/>
        <v>1.0001028810246659</v>
      </c>
      <c r="V502" s="18">
        <f t="shared" si="291"/>
        <v>1.434379343264406E-2</v>
      </c>
      <c r="W502" s="32" t="str">
        <f t="shared" si="282"/>
        <v>1-3.47752175322372i</v>
      </c>
      <c r="X502" s="18">
        <f t="shared" si="292"/>
        <v>3.6184468414147215</v>
      </c>
      <c r="Y502" s="18">
        <f t="shared" si="293"/>
        <v>-1.2907900647703847</v>
      </c>
      <c r="Z502" s="32" t="str">
        <f t="shared" si="283"/>
        <v>0.693676740913511+1.47184582976355i</v>
      </c>
      <c r="AA502" s="18">
        <f t="shared" si="294"/>
        <v>1.6271194078729265</v>
      </c>
      <c r="AB502" s="18">
        <f t="shared" si="295"/>
        <v>1.1303735184216681</v>
      </c>
      <c r="AC502" s="68" t="str">
        <f t="shared" si="296"/>
        <v>-0.030094179805349+0.0332963415334191i</v>
      </c>
      <c r="AD502" s="66">
        <f t="shared" si="297"/>
        <v>-26.958745498260114</v>
      </c>
      <c r="AE502" s="63">
        <f t="shared" si="298"/>
        <v>132.1081712182602</v>
      </c>
      <c r="AF502" s="32" t="str">
        <f t="shared" si="284"/>
        <v>-0.434440565864413</v>
      </c>
      <c r="AG502" s="32" t="str">
        <f t="shared" si="285"/>
        <v>113.454147198924i</v>
      </c>
      <c r="AH502" s="32">
        <f t="shared" si="299"/>
        <v>113.45414719892401</v>
      </c>
      <c r="AI502" s="32">
        <f t="shared" si="300"/>
        <v>1.5707963267948966</v>
      </c>
      <c r="AJ502" s="32" t="str">
        <f t="shared" si="286"/>
        <v>1+1.12330838810816i</v>
      </c>
      <c r="AK502" s="32">
        <f t="shared" si="301"/>
        <v>1.5039354157656348</v>
      </c>
      <c r="AL502" s="32">
        <f t="shared" si="302"/>
        <v>0.8434067160754507</v>
      </c>
      <c r="AM502" s="32" t="str">
        <f t="shared" si="287"/>
        <v>1+113.454147198924i</v>
      </c>
      <c r="AN502" s="32">
        <f t="shared" si="303"/>
        <v>113.45855418008428</v>
      </c>
      <c r="AO502" s="32">
        <f t="shared" si="304"/>
        <v>1.5619824215337934</v>
      </c>
      <c r="AP502" s="60" t="str">
        <f t="shared" si="305"/>
        <v>-0.190173773426193+0.217453012034929i</v>
      </c>
      <c r="AQ502" s="51">
        <f t="shared" si="306"/>
        <v>-10.785638931037496</v>
      </c>
      <c r="AR502" s="63">
        <f t="shared" si="307"/>
        <v>131.17135518339884</v>
      </c>
      <c r="AS502" s="60" t="str">
        <f t="shared" si="308"/>
        <v>-0.00151726602443614-0.0128761609540915i</v>
      </c>
      <c r="AT502" s="66">
        <f t="shared" si="309"/>
        <v>-37.744384429297575</v>
      </c>
      <c r="AU502" s="63">
        <f t="shared" si="310"/>
        <v>-96.720473598340945</v>
      </c>
      <c r="AX502" s="32">
        <f t="shared" si="311"/>
        <v>0</v>
      </c>
      <c r="AY502" s="32">
        <f t="shared" si="312"/>
        <v>0</v>
      </c>
    </row>
    <row r="503" spans="14:51" x14ac:dyDescent="0.3">
      <c r="N503" s="11">
        <v>85</v>
      </c>
      <c r="O503" s="52">
        <f t="shared" si="313"/>
        <v>707945.78438413853</v>
      </c>
      <c r="P503" s="50" t="str">
        <f t="shared" si="279"/>
        <v>131.578947368421</v>
      </c>
      <c r="Q503" s="18" t="str">
        <f t="shared" si="280"/>
        <v>1+6672.23182608322i</v>
      </c>
      <c r="R503" s="18">
        <f t="shared" si="288"/>
        <v>6672.2319010206638</v>
      </c>
      <c r="S503" s="18">
        <f t="shared" si="289"/>
        <v>1.5706464519076657</v>
      </c>
      <c r="T503" s="18" t="str">
        <f t="shared" si="281"/>
        <v>1+0.0146789100173831i</v>
      </c>
      <c r="U503" s="18">
        <f t="shared" si="290"/>
        <v>1.0001077293968377</v>
      </c>
      <c r="V503" s="18">
        <f t="shared" si="291"/>
        <v>1.467785586346222E-2</v>
      </c>
      <c r="W503" s="32" t="str">
        <f t="shared" si="282"/>
        <v>1-3.55852364057772i</v>
      </c>
      <c r="X503" s="18">
        <f t="shared" si="292"/>
        <v>3.6963617924319192</v>
      </c>
      <c r="Y503" s="18">
        <f t="shared" si="293"/>
        <v>-1.2968462775268759</v>
      </c>
      <c r="Z503" s="32" t="str">
        <f t="shared" si="283"/>
        <v>0.679240170478544+1.50612952331469i</v>
      </c>
      <c r="AA503" s="18">
        <f t="shared" si="294"/>
        <v>1.6522086279256192</v>
      </c>
      <c r="AB503" s="18">
        <f t="shared" si="295"/>
        <v>1.1471244876480586</v>
      </c>
      <c r="AC503" s="68" t="str">
        <f t="shared" si="296"/>
        <v>-0.0288431814782581+0.0333911559954678i</v>
      </c>
      <c r="AD503" s="66">
        <f t="shared" si="297"/>
        <v>-27.106567081121355</v>
      </c>
      <c r="AE503" s="63">
        <f t="shared" si="298"/>
        <v>130.82035629388903</v>
      </c>
      <c r="AF503" s="32" t="str">
        <f t="shared" si="284"/>
        <v>-0.434440565864413</v>
      </c>
      <c r="AG503" s="32" t="str">
        <f t="shared" si="285"/>
        <v>116.096833773848i</v>
      </c>
      <c r="AH503" s="32">
        <f t="shared" si="299"/>
        <v>116.096833773848</v>
      </c>
      <c r="AI503" s="32">
        <f t="shared" si="300"/>
        <v>1.5707963267948966</v>
      </c>
      <c r="AJ503" s="32" t="str">
        <f t="shared" si="286"/>
        <v>1+1.14947360172127i</v>
      </c>
      <c r="AK503" s="32">
        <f t="shared" si="301"/>
        <v>1.5235778815190477</v>
      </c>
      <c r="AL503" s="32">
        <f t="shared" si="302"/>
        <v>0.85482602646473405</v>
      </c>
      <c r="AM503" s="32" t="str">
        <f t="shared" si="287"/>
        <v>1+116.096833773848i</v>
      </c>
      <c r="AN503" s="32">
        <f t="shared" si="303"/>
        <v>116.10114044363429</v>
      </c>
      <c r="AO503" s="32">
        <f t="shared" si="304"/>
        <v>1.5621830404734236</v>
      </c>
      <c r="AP503" s="60" t="str">
        <f t="shared" si="305"/>
        <v>-0.185301817291531+0.216741600850868i</v>
      </c>
      <c r="AQ503" s="51">
        <f t="shared" si="306"/>
        <v>-10.898363568257963</v>
      </c>
      <c r="AR503" s="63">
        <f t="shared" si="307"/>
        <v>130.52857151167404</v>
      </c>
      <c r="AS503" s="60" t="str">
        <f t="shared" si="308"/>
        <v>-0.0018925586603281-0.0124389592146549i</v>
      </c>
      <c r="AT503" s="66">
        <f t="shared" si="309"/>
        <v>-38.004930649379347</v>
      </c>
      <c r="AU503" s="63">
        <f t="shared" si="310"/>
        <v>-98.651072194436978</v>
      </c>
      <c r="AX503" s="32">
        <f t="shared" si="311"/>
        <v>0</v>
      </c>
      <c r="AY503" s="32">
        <f t="shared" si="312"/>
        <v>0</v>
      </c>
    </row>
    <row r="504" spans="14:51" x14ac:dyDescent="0.3">
      <c r="N504" s="11">
        <v>86</v>
      </c>
      <c r="O504" s="52">
        <f t="shared" si="313"/>
        <v>724435.96007499192</v>
      </c>
      <c r="P504" s="50" t="str">
        <f t="shared" si="279"/>
        <v>131.578947368421</v>
      </c>
      <c r="Q504" s="18" t="str">
        <f t="shared" si="280"/>
        <v>1+6827.64807050359i</v>
      </c>
      <c r="R504" s="18">
        <f t="shared" si="288"/>
        <v>6827.6481437352486</v>
      </c>
      <c r="S504" s="18">
        <f t="shared" si="289"/>
        <v>1.5706498634765587</v>
      </c>
      <c r="T504" s="18" t="str">
        <f t="shared" si="281"/>
        <v>1+0.0150208257551079i</v>
      </c>
      <c r="U504" s="18">
        <f t="shared" si="290"/>
        <v>1.0001128062405586</v>
      </c>
      <c r="V504" s="18">
        <f t="shared" si="291"/>
        <v>1.5019696215711902E-2</v>
      </c>
      <c r="W504" s="32" t="str">
        <f t="shared" si="282"/>
        <v>1-3.64141230426858i</v>
      </c>
      <c r="X504" s="18">
        <f t="shared" si="292"/>
        <v>3.776226101503803</v>
      </c>
      <c r="Y504" s="18">
        <f t="shared" si="293"/>
        <v>-1.3027846198349062</v>
      </c>
      <c r="Z504" s="32" t="str">
        <f t="shared" si="283"/>
        <v>0.664123225440143+1.54121178667508i</v>
      </c>
      <c r="AA504" s="18">
        <f t="shared" si="294"/>
        <v>1.6782113782105077</v>
      </c>
      <c r="AB504" s="18">
        <f t="shared" si="295"/>
        <v>1.1639307139657942</v>
      </c>
      <c r="AC504" s="68" t="str">
        <f t="shared" si="296"/>
        <v>-0.0276071927701138+0.0334466742330632i</v>
      </c>
      <c r="AD504" s="66">
        <f t="shared" si="297"/>
        <v>-27.256488149415439</v>
      </c>
      <c r="AE504" s="63">
        <f t="shared" si="298"/>
        <v>129.53657904573888</v>
      </c>
      <c r="AF504" s="32" t="str">
        <f t="shared" si="284"/>
        <v>-0.434440565864413</v>
      </c>
      <c r="AG504" s="32" t="str">
        <f t="shared" si="285"/>
        <v>118.801076426763i</v>
      </c>
      <c r="AH504" s="32">
        <f t="shared" si="299"/>
        <v>118.801076426763</v>
      </c>
      <c r="AI504" s="32">
        <f t="shared" si="300"/>
        <v>1.5707963267948966</v>
      </c>
      <c r="AJ504" s="32" t="str">
        <f t="shared" si="286"/>
        <v>1+1.1762482814531i</v>
      </c>
      <c r="AK504" s="32">
        <f t="shared" si="301"/>
        <v>1.5438782398950284</v>
      </c>
      <c r="AL504" s="32">
        <f t="shared" si="302"/>
        <v>0.8662090060815707</v>
      </c>
      <c r="AM504" s="32" t="str">
        <f t="shared" si="287"/>
        <v>1+118.801076426763i</v>
      </c>
      <c r="AN504" s="32">
        <f t="shared" si="303"/>
        <v>118.80528506828972</v>
      </c>
      <c r="AO504" s="32">
        <f t="shared" si="304"/>
        <v>1.5623790934384369</v>
      </c>
      <c r="AP504" s="60" t="str">
        <f t="shared" si="305"/>
        <v>-0.180460810964395+0.215923592752255i</v>
      </c>
      <c r="AQ504" s="51">
        <f t="shared" si="306"/>
        <v>-11.013345807795819</v>
      </c>
      <c r="AR504" s="63">
        <f t="shared" si="307"/>
        <v>129.88760782880223</v>
      </c>
      <c r="AS504" s="60" t="str">
        <f t="shared" si="308"/>
        <v>-0.00223990967027216-0.0119968582048876i</v>
      </c>
      <c r="AT504" s="66">
        <f t="shared" si="309"/>
        <v>-38.269833957211233</v>
      </c>
      <c r="AU504" s="63">
        <f t="shared" si="310"/>
        <v>-100.57581312545886</v>
      </c>
      <c r="AX504" s="32">
        <f t="shared" si="311"/>
        <v>0</v>
      </c>
      <c r="AY504" s="32">
        <f t="shared" si="312"/>
        <v>0</v>
      </c>
    </row>
    <row r="505" spans="14:51" x14ac:dyDescent="0.3">
      <c r="N505" s="11">
        <v>87</v>
      </c>
      <c r="O505" s="52">
        <f t="shared" si="313"/>
        <v>741310.24130091805</v>
      </c>
      <c r="P505" s="50" t="str">
        <f t="shared" si="279"/>
        <v>131.578947368421</v>
      </c>
      <c r="Q505" s="18" t="str">
        <f t="shared" si="280"/>
        <v>1+6986.68442430552i</v>
      </c>
      <c r="R505" s="18">
        <f t="shared" si="288"/>
        <v>6986.6844958702231</v>
      </c>
      <c r="S505" s="18">
        <f t="shared" si="289"/>
        <v>1.5706531973886659</v>
      </c>
      <c r="T505" s="18" t="str">
        <f t="shared" si="281"/>
        <v>1+0.0153707057334721i</v>
      </c>
      <c r="U505" s="18">
        <f t="shared" si="290"/>
        <v>1.0001181223209312</v>
      </c>
      <c r="V505" s="18">
        <f t="shared" si="291"/>
        <v>1.5369495417923661E-2</v>
      </c>
      <c r="W505" s="32" t="str">
        <f t="shared" si="282"/>
        <v>1-3.72623169296294i</v>
      </c>
      <c r="X505" s="18">
        <f t="shared" si="292"/>
        <v>3.8580827660434474</v>
      </c>
      <c r="Y505" s="18">
        <f t="shared" si="293"/>
        <v>-1.3086065643420048</v>
      </c>
      <c r="Z505" s="32" t="str">
        <f t="shared" si="283"/>
        <v>0.648293840731121+1.5771112209251i</v>
      </c>
      <c r="AA505" s="18">
        <f t="shared" si="294"/>
        <v>1.7051582645308225</v>
      </c>
      <c r="AB505" s="18">
        <f t="shared" si="295"/>
        <v>1.1807884499979333</v>
      </c>
      <c r="AC505" s="68" t="str">
        <f t="shared" si="296"/>
        <v>-0.0263874293244016+0.0334639085441913i</v>
      </c>
      <c r="AD505" s="66">
        <f t="shared" si="297"/>
        <v>-27.408531628818999</v>
      </c>
      <c r="AE505" s="63">
        <f t="shared" si="298"/>
        <v>128.25698006900637</v>
      </c>
      <c r="AF505" s="32" t="str">
        <f t="shared" si="284"/>
        <v>-0.434440565864413</v>
      </c>
      <c r="AG505" s="32" t="str">
        <f t="shared" si="285"/>
        <v>121.568308982916i</v>
      </c>
      <c r="AH505" s="32">
        <f t="shared" si="299"/>
        <v>121.56830898291599</v>
      </c>
      <c r="AI505" s="32">
        <f t="shared" si="300"/>
        <v>1.5707963267948966</v>
      </c>
      <c r="AJ505" s="32" t="str">
        <f t="shared" si="286"/>
        <v>1+1.20364662359323i</v>
      </c>
      <c r="AK505" s="32">
        <f t="shared" si="301"/>
        <v>1.5648530903849673</v>
      </c>
      <c r="AL505" s="32">
        <f t="shared" si="302"/>
        <v>0.87754989185544818</v>
      </c>
      <c r="AM505" s="32" t="str">
        <f t="shared" si="287"/>
        <v>1+121.568308982916i</v>
      </c>
      <c r="AN505" s="32">
        <f t="shared" si="303"/>
        <v>121.57242182734427</v>
      </c>
      <c r="AO505" s="32">
        <f t="shared" si="304"/>
        <v>1.5625706843183906</v>
      </c>
      <c r="AP505" s="60" t="str">
        <f t="shared" si="305"/>
        <v>-0.17565554063391+0.215000831770671i</v>
      </c>
      <c r="AQ505" s="51">
        <f t="shared" si="306"/>
        <v>-11.130570171798862</v>
      </c>
      <c r="AR505" s="63">
        <f t="shared" si="307"/>
        <v>129.24880028683373</v>
      </c>
      <c r="AS505" s="60" t="str">
        <f t="shared" si="308"/>
        <v>-0.00255967000738194-0.0115514402000898i</v>
      </c>
      <c r="AT505" s="66">
        <f t="shared" si="309"/>
        <v>-38.539101800617843</v>
      </c>
      <c r="AU505" s="63">
        <f t="shared" si="310"/>
        <v>-102.49421964415987</v>
      </c>
      <c r="AX505" s="32">
        <f t="shared" si="311"/>
        <v>0</v>
      </c>
      <c r="AY505" s="32">
        <f t="shared" si="312"/>
        <v>0</v>
      </c>
    </row>
    <row r="506" spans="14:51" x14ac:dyDescent="0.3">
      <c r="N506" s="11">
        <v>88</v>
      </c>
      <c r="O506" s="52">
        <f t="shared" si="313"/>
        <v>758577.57502918423</v>
      </c>
      <c r="P506" s="50" t="str">
        <f t="shared" si="279"/>
        <v>131.578947368421</v>
      </c>
      <c r="Q506" s="18" t="str">
        <f t="shared" si="280"/>
        <v>1+7149.42521066893i</v>
      </c>
      <c r="R506" s="18">
        <f t="shared" si="288"/>
        <v>7149.4252806046225</v>
      </c>
      <c r="S506" s="18">
        <f t="shared" si="289"/>
        <v>1.5706564554116718</v>
      </c>
      <c r="T506" s="18" t="str">
        <f t="shared" si="281"/>
        <v>1+0.0157287354634717i</v>
      </c>
      <c r="U506" s="18">
        <f t="shared" si="290"/>
        <v>1.0001236889101668</v>
      </c>
      <c r="V506" s="18">
        <f t="shared" si="291"/>
        <v>1.5727438595658415E-2</v>
      </c>
      <c r="W506" s="32" t="str">
        <f t="shared" si="282"/>
        <v>1-3.81302677902343i</v>
      </c>
      <c r="X506" s="18">
        <f t="shared" si="292"/>
        <v>3.9419758012384847</v>
      </c>
      <c r="Y506" s="18">
        <f t="shared" si="293"/>
        <v>-1.3143136186007709</v>
      </c>
      <c r="Z506" s="32" t="str">
        <f t="shared" si="283"/>
        <v>0.631718440104219+1.61384686042i</v>
      </c>
      <c r="AA506" s="18">
        <f t="shared" si="294"/>
        <v>1.7330810357439144</v>
      </c>
      <c r="AB506" s="18">
        <f t="shared" si="295"/>
        <v>1.1976940739921746</v>
      </c>
      <c r="AC506" s="68" t="str">
        <f t="shared" si="296"/>
        <v>-0.0251850530903648+0.0334439244637007i</v>
      </c>
      <c r="AD506" s="66">
        <f t="shared" si="297"/>
        <v>-27.562718518760022</v>
      </c>
      <c r="AE506" s="63">
        <f t="shared" si="298"/>
        <v>126.98169100404377</v>
      </c>
      <c r="AF506" s="32" t="str">
        <f t="shared" si="284"/>
        <v>-0.434440565864413</v>
      </c>
      <c r="AG506" s="32" t="str">
        <f t="shared" si="285"/>
        <v>124.39999866564i</v>
      </c>
      <c r="AH506" s="32">
        <f t="shared" si="299"/>
        <v>124.39999866564</v>
      </c>
      <c r="AI506" s="32">
        <f t="shared" si="300"/>
        <v>1.5707963267948966</v>
      </c>
      <c r="AJ506" s="32" t="str">
        <f t="shared" si="286"/>
        <v>1+1.23168315510534i</v>
      </c>
      <c r="AK506" s="32">
        <f t="shared" si="301"/>
        <v>1.5865192701540833</v>
      </c>
      <c r="AL506" s="32">
        <f t="shared" si="302"/>
        <v>0.88884302874895682</v>
      </c>
      <c r="AM506" s="32" t="str">
        <f t="shared" si="287"/>
        <v>1+124.39999866564i</v>
      </c>
      <c r="AN506" s="32">
        <f t="shared" si="303"/>
        <v>124.4040178933592</v>
      </c>
      <c r="AO506" s="32">
        <f t="shared" si="304"/>
        <v>1.5627579146410111</v>
      </c>
      <c r="AP506" s="60" t="str">
        <f t="shared" si="305"/>
        <v>-0.170890646959474+0.213975418769447i</v>
      </c>
      <c r="AQ506" s="51">
        <f t="shared" si="306"/>
        <v>-11.250018988769375</v>
      </c>
      <c r="AR506" s="63">
        <f t="shared" si="307"/>
        <v>128.61247871265502</v>
      </c>
      <c r="AS506" s="60" t="str">
        <f t="shared" si="308"/>
        <v>-0.00285228772609297-0.0111042361702072i</v>
      </c>
      <c r="AT506" s="66">
        <f t="shared" si="309"/>
        <v>-38.812737507529363</v>
      </c>
      <c r="AU506" s="63">
        <f t="shared" si="310"/>
        <v>-104.40583028330113</v>
      </c>
      <c r="AX506" s="32">
        <f t="shared" si="311"/>
        <v>0</v>
      </c>
      <c r="AY506" s="32">
        <f t="shared" si="312"/>
        <v>0</v>
      </c>
    </row>
    <row r="507" spans="14:51" x14ac:dyDescent="0.3">
      <c r="N507" s="11">
        <v>89</v>
      </c>
      <c r="O507" s="52">
        <f t="shared" si="313"/>
        <v>776247.11662869214</v>
      </c>
      <c r="P507" s="50" t="str">
        <f t="shared" si="279"/>
        <v>131.578947368421</v>
      </c>
      <c r="Q507" s="18" t="str">
        <f t="shared" si="280"/>
        <v>1+7315.95671691288i</v>
      </c>
      <c r="R507" s="18">
        <f t="shared" si="288"/>
        <v>7315.9567852566415</v>
      </c>
      <c r="S507" s="18">
        <f t="shared" si="289"/>
        <v>1.5706596392730225</v>
      </c>
      <c r="T507" s="18" t="str">
        <f t="shared" si="281"/>
        <v>1+0.0160951047772083i</v>
      </c>
      <c r="U507" s="18">
        <f t="shared" si="290"/>
        <v>1.0001295178114629</v>
      </c>
      <c r="V507" s="18">
        <f t="shared" si="291"/>
        <v>1.6093715168029123E-2</v>
      </c>
      <c r="W507" s="32" t="str">
        <f t="shared" si="282"/>
        <v>1-3.90184358235354i</v>
      </c>
      <c r="X507" s="18">
        <f t="shared" si="292"/>
        <v>4.0279502654766617</v>
      </c>
      <c r="Y507" s="18">
        <f t="shared" si="293"/>
        <v>-1.3199073209035135</v>
      </c>
      <c r="Z507" s="32" t="str">
        <f t="shared" si="283"/>
        <v>0.61436186491241+1.65143818288209i</v>
      </c>
      <c r="AA507" s="18">
        <f t="shared" si="294"/>
        <v>1.7620126483483465</v>
      </c>
      <c r="AB507" s="18">
        <f t="shared" si="295"/>
        <v>1.2146440962485021</v>
      </c>
      <c r="AC507" s="68" t="str">
        <f t="shared" si="296"/>
        <v>-0.0240011690588669+0.03338783640624i</v>
      </c>
      <c r="AD507" s="66">
        <f t="shared" si="297"/>
        <v>-27.719068012037525</v>
      </c>
      <c r="AE507" s="63">
        <f t="shared" si="298"/>
        <v>125.710834412217</v>
      </c>
      <c r="AF507" s="32" t="str">
        <f t="shared" si="284"/>
        <v>-0.434440565864413</v>
      </c>
      <c r="AG507" s="32" t="str">
        <f t="shared" si="285"/>
        <v>127.297646874284i</v>
      </c>
      <c r="AH507" s="32">
        <f t="shared" si="299"/>
        <v>127.297646874284</v>
      </c>
      <c r="AI507" s="32">
        <f t="shared" si="300"/>
        <v>1.5707963267948966</v>
      </c>
      <c r="AJ507" s="32" t="str">
        <f t="shared" si="286"/>
        <v>1+1.26037274132955i</v>
      </c>
      <c r="AK507" s="32">
        <f t="shared" si="301"/>
        <v>1.6088938582412964</v>
      </c>
      <c r="AL507" s="32">
        <f t="shared" si="302"/>
        <v>0.90008288310571771</v>
      </c>
      <c r="AM507" s="32" t="str">
        <f t="shared" si="287"/>
        <v>1+127.297646874284i</v>
      </c>
      <c r="AN507" s="32">
        <f t="shared" si="303"/>
        <v>127.30157461606635</v>
      </c>
      <c r="AO507" s="32">
        <f t="shared" si="304"/>
        <v>1.5629408836257561</v>
      </c>
      <c r="AP507" s="60" t="str">
        <f t="shared" si="305"/>
        <v>-0.166170608142483+0.212849698287616i</v>
      </c>
      <c r="AQ507" s="51">
        <f t="shared" si="306"/>
        <v>-11.371672465278602</v>
      </c>
      <c r="AR507" s="63">
        <f t="shared" si="307"/>
        <v>127.97896584627871</v>
      </c>
      <c r="AS507" s="60" t="str">
        <f t="shared" si="308"/>
        <v>-0.00311830204690201-0.0106567186729165i</v>
      </c>
      <c r="AT507" s="66">
        <f t="shared" si="309"/>
        <v>-39.090740477316139</v>
      </c>
      <c r="AU507" s="63">
        <f t="shared" si="310"/>
        <v>-106.31019974150435</v>
      </c>
      <c r="AX507" s="32">
        <f t="shared" si="311"/>
        <v>0</v>
      </c>
      <c r="AY507" s="32">
        <f t="shared" si="312"/>
        <v>0</v>
      </c>
    </row>
    <row r="508" spans="14:51" x14ac:dyDescent="0.3">
      <c r="N508" s="11">
        <v>90</v>
      </c>
      <c r="O508" s="52">
        <f t="shared" si="313"/>
        <v>794328.23472428333</v>
      </c>
      <c r="P508" s="50" t="str">
        <f t="shared" si="279"/>
        <v>131.578947368421</v>
      </c>
      <c r="Q508" s="18" t="str">
        <f t="shared" si="280"/>
        <v>1+7486.36724024628i</v>
      </c>
      <c r="R508" s="18">
        <f t="shared" si="288"/>
        <v>7486.3673070343475</v>
      </c>
      <c r="S508" s="18">
        <f t="shared" si="289"/>
        <v>1.5706627506608437</v>
      </c>
      <c r="T508" s="18" t="str">
        <f t="shared" si="281"/>
        <v>1+0.0164700079285418i</v>
      </c>
      <c r="U508" s="18">
        <f t="shared" si="290"/>
        <v>1.0001356213840031</v>
      </c>
      <c r="V508" s="18">
        <f t="shared" si="291"/>
        <v>1.6468518946384403E-2</v>
      </c>
      <c r="W508" s="32" t="str">
        <f t="shared" si="282"/>
        <v>1-3.99272919479802i</v>
      </c>
      <c r="X508" s="18">
        <f t="shared" si="292"/>
        <v>4.116052286231608</v>
      </c>
      <c r="Y508" s="18">
        <f t="shared" si="293"/>
        <v>-1.3253892363266149</v>
      </c>
      <c r="Z508" s="32" t="str">
        <f t="shared" si="283"/>
        <v>0.596187299532674+1.68990511972811i</v>
      </c>
      <c r="AA508" s="18">
        <f t="shared" si="294"/>
        <v>1.7919873352809559</v>
      </c>
      <c r="AB508" s="18">
        <f t="shared" si="295"/>
        <v>1.2316351644113903</v>
      </c>
      <c r="AC508" s="68" t="str">
        <f t="shared" si="296"/>
        <v>-0.0228368224335188+0.0332968031267493i</v>
      </c>
      <c r="AD508" s="66">
        <f t="shared" si="297"/>
        <v>-27.877597619422751</v>
      </c>
      <c r="AE508" s="63">
        <f t="shared" si="298"/>
        <v>124.44452370492775</v>
      </c>
      <c r="AF508" s="32" t="str">
        <f t="shared" si="284"/>
        <v>-0.434440565864413</v>
      </c>
      <c r="AG508" s="32" t="str">
        <f t="shared" si="285"/>
        <v>130.262789980285i</v>
      </c>
      <c r="AH508" s="32">
        <f t="shared" si="299"/>
        <v>130.26278998028499</v>
      </c>
      <c r="AI508" s="32">
        <f t="shared" si="300"/>
        <v>1.5707963267948966</v>
      </c>
      <c r="AJ508" s="32" t="str">
        <f t="shared" si="286"/>
        <v>1+1.28973059386421i</v>
      </c>
      <c r="AK508" s="32">
        <f t="shared" si="301"/>
        <v>1.6319941803662561</v>
      </c>
      <c r="AL508" s="32">
        <f t="shared" si="302"/>
        <v>0.91126405526078347</v>
      </c>
      <c r="AM508" s="32" t="str">
        <f t="shared" si="287"/>
        <v>1+130.262789980285i</v>
      </c>
      <c r="AN508" s="32">
        <f t="shared" si="303"/>
        <v>130.26662831841406</v>
      </c>
      <c r="AO508" s="32">
        <f t="shared" si="304"/>
        <v>1.5631196882361724</v>
      </c>
      <c r="AP508" s="60" t="str">
        <f t="shared" si="305"/>
        <v>-0.161499724358918+0.211626244119499i</v>
      </c>
      <c r="AQ508" s="51">
        <f t="shared" si="306"/>
        <v>-11.49550876523775</v>
      </c>
      <c r="AR508" s="63">
        <f t="shared" si="307"/>
        <v>127.34857662131851</v>
      </c>
      <c r="AS508" s="60" t="str">
        <f t="shared" si="308"/>
        <v>-0.0033583368586535-0.0102102954862327i</v>
      </c>
      <c r="AT508" s="66">
        <f t="shared" si="309"/>
        <v>-39.373106384660481</v>
      </c>
      <c r="AU508" s="63">
        <f t="shared" si="310"/>
        <v>-108.20689967375367</v>
      </c>
      <c r="AX508" s="32">
        <f t="shared" si="311"/>
        <v>0</v>
      </c>
      <c r="AY508" s="32">
        <f t="shared" si="312"/>
        <v>0</v>
      </c>
    </row>
    <row r="509" spans="14:51" x14ac:dyDescent="0.3">
      <c r="N509" s="11">
        <v>91</v>
      </c>
      <c r="O509" s="52">
        <f t="shared" si="313"/>
        <v>812830.51616410096</v>
      </c>
      <c r="P509" s="50" t="str">
        <f t="shared" si="279"/>
        <v>131.578947368421</v>
      </c>
      <c r="Q509" s="18" t="str">
        <f t="shared" si="280"/>
        <v>1+7660.74713458422i</v>
      </c>
      <c r="R509" s="18">
        <f t="shared" si="288"/>
        <v>7660.7471998520041</v>
      </c>
      <c r="S509" s="18">
        <f t="shared" si="289"/>
        <v>1.5706657912248339</v>
      </c>
      <c r="T509" s="18" t="str">
        <f t="shared" si="281"/>
        <v>1+0.0168536436960853i</v>
      </c>
      <c r="U509" s="18">
        <f t="shared" si="290"/>
        <v>1.0001420125691325</v>
      </c>
      <c r="V509" s="18">
        <f t="shared" si="291"/>
        <v>1.6852048235193685E-2</v>
      </c>
      <c r="W509" s="32" t="str">
        <f t="shared" si="282"/>
        <v>1-4.08573180511158i</v>
      </c>
      <c r="X509" s="18">
        <f t="shared" si="292"/>
        <v>4.2063290864244482</v>
      </c>
      <c r="Y509" s="18">
        <f t="shared" si="293"/>
        <v>-1.3307609529815065</v>
      </c>
      <c r="Z509" s="32" t="str">
        <f t="shared" si="283"/>
        <v>0.577156193275137+1.72926806663714i</v>
      </c>
      <c r="AA509" s="18">
        <f t="shared" si="294"/>
        <v>1.8230406791201339</v>
      </c>
      <c r="AB509" s="18">
        <f t="shared" si="295"/>
        <v>1.2486640675934824</v>
      </c>
      <c r="AC509" s="68" t="str">
        <f t="shared" si="296"/>
        <v>-0.021692996244016+0.0331720230455916i</v>
      </c>
      <c r="AD509" s="66">
        <f t="shared" si="297"/>
        <v>-28.038323298194094</v>
      </c>
      <c r="AE509" s="63">
        <f t="shared" si="298"/>
        <v>123.18286312787592</v>
      </c>
      <c r="AF509" s="32" t="str">
        <f t="shared" si="284"/>
        <v>-0.434440565864413</v>
      </c>
      <c r="AG509" s="32" t="str">
        <f t="shared" si="285"/>
        <v>133.297000141766i</v>
      </c>
      <c r="AH509" s="32">
        <f t="shared" si="299"/>
        <v>133.29700014176601</v>
      </c>
      <c r="AI509" s="32">
        <f t="shared" si="300"/>
        <v>1.5707963267948966</v>
      </c>
      <c r="AJ509" s="32" t="str">
        <f t="shared" si="286"/>
        <v>1+1.31977227863134i</v>
      </c>
      <c r="AK509" s="32">
        <f t="shared" si="301"/>
        <v>1.6558378143537364</v>
      </c>
      <c r="AL509" s="32">
        <f t="shared" si="302"/>
        <v>0.92238129134998403</v>
      </c>
      <c r="AM509" s="32" t="str">
        <f t="shared" si="287"/>
        <v>1+133.297000141766i</v>
      </c>
      <c r="AN509" s="32">
        <f t="shared" si="303"/>
        <v>133.30075111113953</v>
      </c>
      <c r="AO509" s="32">
        <f t="shared" si="304"/>
        <v>1.5632944232310724</v>
      </c>
      <c r="AP509" s="60" t="str">
        <f t="shared" si="305"/>
        <v>-0.156882103654893+0.210307843787535i</v>
      </c>
      <c r="AQ509" s="51">
        <f t="shared" si="306"/>
        <v>-11.621504096067897</v>
      </c>
      <c r="AR509" s="63">
        <f t="shared" si="307"/>
        <v>126.72161749129788</v>
      </c>
      <c r="AS509" s="60" t="str">
        <f t="shared" si="308"/>
        <v>-0.00357309375544987-0.0097663040232511i</v>
      </c>
      <c r="AT509" s="66">
        <f t="shared" si="309"/>
        <v>-39.659827394261995</v>
      </c>
      <c r="AU509" s="63">
        <f t="shared" si="310"/>
        <v>-110.09551938082619</v>
      </c>
      <c r="AX509" s="32">
        <f t="shared" si="311"/>
        <v>0</v>
      </c>
      <c r="AY509" s="32">
        <f t="shared" si="312"/>
        <v>0</v>
      </c>
    </row>
    <row r="510" spans="14:51" x14ac:dyDescent="0.3">
      <c r="N510" s="11">
        <v>92</v>
      </c>
      <c r="O510" s="52">
        <f t="shared" si="313"/>
        <v>831763.77110267128</v>
      </c>
      <c r="P510" s="50" t="str">
        <f t="shared" si="279"/>
        <v>131.578947368421</v>
      </c>
      <c r="Q510" s="18" t="str">
        <f t="shared" si="280"/>
        <v>1+7839.18885845488i</v>
      </c>
      <c r="R510" s="18">
        <f t="shared" si="288"/>
        <v>7839.1889222369891</v>
      </c>
      <c r="S510" s="18">
        <f t="shared" si="289"/>
        <v>1.5706687625771398</v>
      </c>
      <c r="T510" s="18" t="str">
        <f t="shared" si="281"/>
        <v>1+0.0172462154886007i</v>
      </c>
      <c r="U510" s="18">
        <f t="shared" si="290"/>
        <v>1.0001487049177633</v>
      </c>
      <c r="V510" s="18">
        <f t="shared" si="291"/>
        <v>1.7244505935182442E-2</v>
      </c>
      <c r="W510" s="32" t="str">
        <f t="shared" si="282"/>
        <v>1-4.18090072450927i</v>
      </c>
      <c r="X510" s="18">
        <f t="shared" si="292"/>
        <v>4.298829011277622</v>
      </c>
      <c r="Y510" s="18">
        <f t="shared" si="293"/>
        <v>-1.3360240784684378</v>
      </c>
      <c r="Z510" s="32" t="str">
        <f t="shared" si="283"/>
        <v>0.55722817861188+1.76954789436467i</v>
      </c>
      <c r="AA510" s="18">
        <f t="shared" si="294"/>
        <v>1.8552096898974928</v>
      </c>
      <c r="AB510" s="18">
        <f t="shared" si="295"/>
        <v>1.2657277393080104</v>
      </c>
      <c r="AC510" s="68" t="str">
        <f t="shared" si="296"/>
        <v>-0.0205706094031428+0.0330147294848702i</v>
      </c>
      <c r="AD510" s="66">
        <f t="shared" si="297"/>
        <v>-28.201259583550421</v>
      </c>
      <c r="AE510" s="63">
        <f t="shared" si="298"/>
        <v>121.92594780208813</v>
      </c>
      <c r="AF510" s="32" t="str">
        <f t="shared" si="284"/>
        <v>-0.434440565864413</v>
      </c>
      <c r="AG510" s="32" t="str">
        <f t="shared" si="285"/>
        <v>136.401886137115i</v>
      </c>
      <c r="AH510" s="32">
        <f t="shared" si="299"/>
        <v>136.40188613711501</v>
      </c>
      <c r="AI510" s="32">
        <f t="shared" si="300"/>
        <v>1.5707963267948966</v>
      </c>
      <c r="AJ510" s="32" t="str">
        <f t="shared" si="286"/>
        <v>1+1.35051372412985i</v>
      </c>
      <c r="AK510" s="32">
        <f t="shared" si="301"/>
        <v>1.6804425961820524</v>
      </c>
      <c r="AL510" s="32">
        <f t="shared" si="302"/>
        <v>0.93342949426329458</v>
      </c>
      <c r="AM510" s="32" t="str">
        <f t="shared" si="287"/>
        <v>1+136.401886137115i</v>
      </c>
      <c r="AN510" s="32">
        <f t="shared" si="303"/>
        <v>136.4055517263227</v>
      </c>
      <c r="AO510" s="32">
        <f t="shared" si="304"/>
        <v>1.5634651812145579</v>
      </c>
      <c r="AP510" s="60" t="str">
        <f t="shared" si="305"/>
        <v>-0.152321649387163+0.208897482074107i</v>
      </c>
      <c r="AQ510" s="51">
        <f t="shared" si="306"/>
        <v>-11.749632801069133</v>
      </c>
      <c r="AR510" s="63">
        <f t="shared" si="307"/>
        <v>126.09838580493289</v>
      </c>
      <c r="AS510" s="60" t="str">
        <f t="shared" si="308"/>
        <v>-0.00376334470756137-0.00932600655825291i</v>
      </c>
      <c r="AT510" s="66">
        <f t="shared" si="309"/>
        <v>-39.95089238461955</v>
      </c>
      <c r="AU510" s="63">
        <f t="shared" si="310"/>
        <v>-111.97566639297897</v>
      </c>
      <c r="AX510" s="32">
        <f t="shared" si="311"/>
        <v>0</v>
      </c>
      <c r="AY510" s="32">
        <f t="shared" si="312"/>
        <v>0</v>
      </c>
    </row>
    <row r="511" spans="14:51" x14ac:dyDescent="0.3">
      <c r="N511" s="11">
        <v>93</v>
      </c>
      <c r="O511" s="52">
        <f t="shared" si="313"/>
        <v>851138.03820237669</v>
      </c>
      <c r="P511" s="50" t="str">
        <f t="shared" si="279"/>
        <v>131.578947368421</v>
      </c>
      <c r="Q511" s="18" t="str">
        <f t="shared" si="280"/>
        <v>1+8021.78702402224i</v>
      </c>
      <c r="R511" s="18">
        <f t="shared" si="288"/>
        <v>8021.7870863524904</v>
      </c>
      <c r="S511" s="18">
        <f t="shared" si="289"/>
        <v>1.5706716662932123</v>
      </c>
      <c r="T511" s="18" t="str">
        <f t="shared" si="281"/>
        <v>1+0.0176479314528489i</v>
      </c>
      <c r="U511" s="18">
        <f t="shared" si="290"/>
        <v>1.0001557126190723</v>
      </c>
      <c r="V511" s="18">
        <f t="shared" si="291"/>
        <v>1.7646099648760509E-2</v>
      </c>
      <c r="W511" s="32" t="str">
        <f t="shared" si="282"/>
        <v>1-4.27828641281186i</v>
      </c>
      <c r="X511" s="18">
        <f t="shared" si="292"/>
        <v>4.3936015556773658</v>
      </c>
      <c r="Y511" s="18">
        <f t="shared" si="293"/>
        <v>-1.3411802365285801</v>
      </c>
      <c r="Z511" s="32" t="str">
        <f t="shared" si="283"/>
        <v>0.536360985552006+1.81076595980853i</v>
      </c>
      <c r="AA511" s="18">
        <f t="shared" si="294"/>
        <v>1.8885328877262442</v>
      </c>
      <c r="AB511" s="18">
        <f t="shared" si="295"/>
        <v>1.2828232591973987</v>
      </c>
      <c r="AC511" s="68" t="str">
        <f t="shared" si="296"/>
        <v>-0.0194705152036563+0.0328261858612696i</v>
      </c>
      <c r="AD511" s="66">
        <f t="shared" si="297"/>
        <v>-28.366419721848331</v>
      </c>
      <c r="AE511" s="63">
        <f t="shared" si="298"/>
        <v>120.67386382268681</v>
      </c>
      <c r="AF511" s="32" t="str">
        <f t="shared" si="284"/>
        <v>-0.434440565864413</v>
      </c>
      <c r="AG511" s="32" t="str">
        <f t="shared" si="285"/>
        <v>139.579094217987i</v>
      </c>
      <c r="AH511" s="32">
        <f t="shared" si="299"/>
        <v>139.57909421798701</v>
      </c>
      <c r="AI511" s="32">
        <f t="shared" si="300"/>
        <v>1.5707963267948966</v>
      </c>
      <c r="AJ511" s="32" t="str">
        <f t="shared" si="286"/>
        <v>1+1.38197122988106i</v>
      </c>
      <c r="AK511" s="32">
        <f t="shared" si="301"/>
        <v>1.7058266266590429</v>
      </c>
      <c r="AL511" s="32">
        <f t="shared" si="302"/>
        <v>0.94440373369644071</v>
      </c>
      <c r="AM511" s="32" t="str">
        <f t="shared" si="287"/>
        <v>1+139.579094217987i</v>
      </c>
      <c r="AN511" s="32">
        <f t="shared" si="303"/>
        <v>139.58267637036371</v>
      </c>
      <c r="AO511" s="32">
        <f t="shared" si="304"/>
        <v>1.5636320526849175</v>
      </c>
      <c r="AP511" s="60" t="str">
        <f t="shared" si="305"/>
        <v>-0.147822049270074+0.207398323783489i</v>
      </c>
      <c r="AQ511" s="51">
        <f t="shared" si="306"/>
        <v>-11.879867457255573</v>
      </c>
      <c r="AR511" s="63">
        <f t="shared" si="307"/>
        <v>125.47916923302041</v>
      </c>
      <c r="AS511" s="60" t="str">
        <f t="shared" si="308"/>
        <v>-0.00392992446608397-0.00889058628017246i</v>
      </c>
      <c r="AT511" s="66">
        <f t="shared" si="309"/>
        <v>-40.246287179103895</v>
      </c>
      <c r="AU511" s="63">
        <f t="shared" si="310"/>
        <v>-113.84696694429273</v>
      </c>
      <c r="AX511" s="32">
        <f t="shared" si="311"/>
        <v>0</v>
      </c>
      <c r="AY511" s="32">
        <f t="shared" si="312"/>
        <v>0</v>
      </c>
    </row>
    <row r="512" spans="14:51" x14ac:dyDescent="0.3">
      <c r="N512" s="11">
        <v>94</v>
      </c>
      <c r="O512" s="52">
        <f t="shared" si="313"/>
        <v>870963.58995608077</v>
      </c>
      <c r="P512" s="50" t="str">
        <f t="shared" si="279"/>
        <v>131.578947368421</v>
      </c>
      <c r="Q512" s="18" t="str">
        <f t="shared" si="280"/>
        <v>1+8208.63844725064i</v>
      </c>
      <c r="R512" s="18">
        <f t="shared" si="288"/>
        <v>8208.6385081620811</v>
      </c>
      <c r="S512" s="18">
        <f t="shared" si="289"/>
        <v>1.5706745039126393</v>
      </c>
      <c r="T512" s="18" t="str">
        <f t="shared" si="281"/>
        <v>1+0.0180590045839514i</v>
      </c>
      <c r="U512" s="18">
        <f t="shared" si="290"/>
        <v>1.0001630505305439</v>
      </c>
      <c r="V512" s="18">
        <f t="shared" si="291"/>
        <v>1.8057041787788931E-2</v>
      </c>
      <c r="W512" s="32" t="str">
        <f t="shared" si="282"/>
        <v>1-4.37794050520034i</v>
      </c>
      <c r="X512" s="18">
        <f t="shared" si="292"/>
        <v>4.4906973920621507</v>
      </c>
      <c r="Y512" s="18">
        <f t="shared" si="293"/>
        <v>-1.3462310638895105</v>
      </c>
      <c r="Z512" s="32" t="str">
        <f t="shared" si="283"/>
        <v>0.514510351981323+1.8529441173326i</v>
      </c>
      <c r="AA512" s="18">
        <f t="shared" si="294"/>
        <v>1.9230503904613196</v>
      </c>
      <c r="AB512" s="18">
        <f t="shared" si="295"/>
        <v>1.2999478535556128</v>
      </c>
      <c r="AC512" s="68" t="str">
        <f t="shared" si="296"/>
        <v>-0.0183935002463434+0.0326076808789341i</v>
      </c>
      <c r="AD512" s="66">
        <f t="shared" si="297"/>
        <v>-28.53381580461857</v>
      </c>
      <c r="AE512" s="63">
        <f t="shared" si="298"/>
        <v>119.42668841583048</v>
      </c>
      <c r="AF512" s="32" t="str">
        <f t="shared" si="284"/>
        <v>-0.434440565864413</v>
      </c>
      <c r="AG512" s="32" t="str">
        <f t="shared" si="285"/>
        <v>142.830308982161i</v>
      </c>
      <c r="AH512" s="32">
        <f t="shared" si="299"/>
        <v>142.830308982161</v>
      </c>
      <c r="AI512" s="32">
        <f t="shared" si="300"/>
        <v>1.5707963267948966</v>
      </c>
      <c r="AJ512" s="32" t="str">
        <f t="shared" si="286"/>
        <v>1+1.4141614750709i</v>
      </c>
      <c r="AK512" s="32">
        <f t="shared" si="301"/>
        <v>1.7320082787257987</v>
      </c>
      <c r="AL512" s="32">
        <f t="shared" si="302"/>
        <v>0.95529925526411508</v>
      </c>
      <c r="AM512" s="32" t="str">
        <f t="shared" si="287"/>
        <v>1+142.830308982161i</v>
      </c>
      <c r="AN512" s="32">
        <f t="shared" si="303"/>
        <v>142.83380959681634</v>
      </c>
      <c r="AO512" s="32">
        <f t="shared" si="304"/>
        <v>1.5637951260824179</v>
      </c>
      <c r="AP512" s="60" t="str">
        <f t="shared" si="305"/>
        <v>-0.143386766069771+0.20581369590771i</v>
      </c>
      <c r="AQ512" s="51">
        <f t="shared" si="306"/>
        <v>-12.012178977898611</v>
      </c>
      <c r="AR512" s="63">
        <f t="shared" si="307"/>
        <v>124.8642452490265</v>
      </c>
      <c r="AS512" s="60" t="str">
        <f t="shared" si="308"/>
        <v>-0.00407372279964588-0.00846114417664478i</v>
      </c>
      <c r="AT512" s="66">
        <f t="shared" si="309"/>
        <v>-40.545994782517177</v>
      </c>
      <c r="AU512" s="63">
        <f t="shared" si="310"/>
        <v>-115.70906633514301</v>
      </c>
      <c r="AX512" s="32">
        <f t="shared" si="311"/>
        <v>0</v>
      </c>
      <c r="AY512" s="32">
        <f t="shared" si="312"/>
        <v>0</v>
      </c>
    </row>
    <row r="513" spans="14:51" x14ac:dyDescent="0.3">
      <c r="N513" s="11">
        <v>95</v>
      </c>
      <c r="O513" s="52">
        <f t="shared" si="313"/>
        <v>891250.93813374708</v>
      </c>
      <c r="P513" s="50" t="str">
        <f t="shared" si="279"/>
        <v>131.578947368421</v>
      </c>
      <c r="Q513" s="18" t="str">
        <f t="shared" si="280"/>
        <v>1+8399.84219923797i</v>
      </c>
      <c r="R513" s="18">
        <f t="shared" si="288"/>
        <v>8399.8422587628957</v>
      </c>
      <c r="S513" s="18">
        <f t="shared" si="289"/>
        <v>1.570677276939964</v>
      </c>
      <c r="T513" s="18" t="str">
        <f t="shared" si="281"/>
        <v>1+0.0184796528383235i</v>
      </c>
      <c r="U513" s="18">
        <f t="shared" si="290"/>
        <v>1.0001707342094275</v>
      </c>
      <c r="V513" s="18">
        <f t="shared" si="291"/>
        <v>1.8477549683733087E-2</v>
      </c>
      <c r="W513" s="32" t="str">
        <f t="shared" si="282"/>
        <v>1-4.47991583959358i</v>
      </c>
      <c r="X513" s="18">
        <f t="shared" si="292"/>
        <v>4.5901683988543871</v>
      </c>
      <c r="Y513" s="18">
        <f t="shared" si="293"/>
        <v>-1.351178207298662</v>
      </c>
      <c r="Z513" s="32" t="str">
        <f t="shared" si="283"/>
        <v>0.491629929776459+1.8961047303543i</v>
      </c>
      <c r="AA513" s="18">
        <f t="shared" si="294"/>
        <v>1.9588040066132086</v>
      </c>
      <c r="AB513" s="18">
        <f t="shared" si="295"/>
        <v>1.3170988946516395</v>
      </c>
      <c r="AC513" s="68" t="str">
        <f t="shared" si="296"/>
        <v>-0.0173402837860123+0.032360523763531i</v>
      </c>
      <c r="AD513" s="66">
        <f t="shared" si="297"/>
        <v>-28.703458902334702</v>
      </c>
      <c r="AE513" s="63">
        <f t="shared" si="298"/>
        <v>118.18449015370962</v>
      </c>
      <c r="AF513" s="32" t="str">
        <f t="shared" si="284"/>
        <v>-0.434440565864413</v>
      </c>
      <c r="AG513" s="32" t="str">
        <f t="shared" si="285"/>
        <v>146.157254266741i</v>
      </c>
      <c r="AH513" s="32">
        <f t="shared" si="299"/>
        <v>146.15725426674101</v>
      </c>
      <c r="AI513" s="32">
        <f t="shared" si="300"/>
        <v>1.5707963267948966</v>
      </c>
      <c r="AJ513" s="32" t="str">
        <f t="shared" si="286"/>
        <v>1+1.44710152739347i</v>
      </c>
      <c r="AK513" s="32">
        <f t="shared" si="301"/>
        <v>1.7590062053854483</v>
      </c>
      <c r="AL513" s="32">
        <f t="shared" si="302"/>
        <v>0.96611148864755836</v>
      </c>
      <c r="AM513" s="32" t="str">
        <f t="shared" si="287"/>
        <v>1+146.157254266741i</v>
      </c>
      <c r="AN513" s="32">
        <f t="shared" si="303"/>
        <v>146.16067519956516</v>
      </c>
      <c r="AO513" s="32">
        <f t="shared" si="304"/>
        <v>1.5639544878360208</v>
      </c>
      <c r="AP513" s="60" t="str">
        <f t="shared" si="305"/>
        <v>-0.139019029966086+0.204147069370068i</v>
      </c>
      <c r="AQ513" s="51">
        <f t="shared" si="306"/>
        <v>-12.146536719008223</v>
      </c>
      <c r="AR513" s="63">
        <f t="shared" si="307"/>
        <v>124.25388066494196</v>
      </c>
      <c r="AS513" s="60" t="str">
        <f t="shared" si="308"/>
        <v>-0.00419567665833722-0.00803869673976027i</v>
      </c>
      <c r="AT513" s="66">
        <f t="shared" si="309"/>
        <v>-40.849995621342927</v>
      </c>
      <c r="AU513" s="63">
        <f t="shared" si="310"/>
        <v>-117.56162918134842</v>
      </c>
      <c r="AX513" s="32">
        <f t="shared" si="311"/>
        <v>0</v>
      </c>
      <c r="AY513" s="32">
        <f t="shared" si="312"/>
        <v>0</v>
      </c>
    </row>
    <row r="514" spans="14:51" x14ac:dyDescent="0.3">
      <c r="N514" s="11">
        <v>96</v>
      </c>
      <c r="O514" s="52">
        <f t="shared" si="313"/>
        <v>912010.83935591124</v>
      </c>
      <c r="P514" s="50" t="str">
        <f t="shared" si="279"/>
        <v>131.578947368421</v>
      </c>
      <c r="Q514" s="18" t="str">
        <f t="shared" si="280"/>
        <v>1+8595.49965874437i</v>
      </c>
      <c r="R514" s="18">
        <f t="shared" si="288"/>
        <v>8595.4997169143444</v>
      </c>
      <c r="S514" s="18">
        <f t="shared" si="289"/>
        <v>1.5706799868454824</v>
      </c>
      <c r="T514" s="18" t="str">
        <f t="shared" si="281"/>
        <v>1+0.0189100992492376i</v>
      </c>
      <c r="U514" s="18">
        <f t="shared" si="290"/>
        <v>1.0001787799456736</v>
      </c>
      <c r="V514" s="18">
        <f t="shared" si="291"/>
        <v>1.8907845700247432E-2</v>
      </c>
      <c r="W514" s="32" t="str">
        <f t="shared" si="282"/>
        <v>1-4.58426648466366i</v>
      </c>
      <c r="X514" s="18">
        <f t="shared" si="292"/>
        <v>4.6920676894531805</v>
      </c>
      <c r="Y514" s="18">
        <f t="shared" si="293"/>
        <v>-1.3560233207389818</v>
      </c>
      <c r="Z514" s="32" t="str">
        <f t="shared" si="283"/>
        <v>0.467671186494289+1.94027068320194i</v>
      </c>
      <c r="AA514" s="18">
        <f t="shared" si="294"/>
        <v>1.9958373337448869</v>
      </c>
      <c r="AB514" s="18">
        <f t="shared" si="295"/>
        <v>1.3342738988709413</v>
      </c>
      <c r="AC514" s="68" t="str">
        <f t="shared" si="296"/>
        <v>-0.0163115174781115+0.0320860395758014i</v>
      </c>
      <c r="AD514" s="66">
        <f t="shared" si="297"/>
        <v>-28.875359196932195</v>
      </c>
      <c r="AE514" s="63">
        <f t="shared" si="298"/>
        <v>116.94732922697044</v>
      </c>
      <c r="AF514" s="32" t="str">
        <f t="shared" si="284"/>
        <v>-0.434440565864413</v>
      </c>
      <c r="AG514" s="32" t="str">
        <f t="shared" si="285"/>
        <v>149.561694062152i</v>
      </c>
      <c r="AH514" s="32">
        <f t="shared" si="299"/>
        <v>149.56169406215199</v>
      </c>
      <c r="AI514" s="32">
        <f t="shared" si="300"/>
        <v>1.5707963267948966</v>
      </c>
      <c r="AJ514" s="32" t="str">
        <f t="shared" si="286"/>
        <v>1+1.48080885210052i</v>
      </c>
      <c r="AK514" s="32">
        <f t="shared" si="301"/>
        <v>1.7868393482513363</v>
      </c>
      <c r="AL514" s="32">
        <f t="shared" si="302"/>
        <v>0.97683605475842883</v>
      </c>
      <c r="AM514" s="32" t="str">
        <f t="shared" si="287"/>
        <v>1+149.561694062152i</v>
      </c>
      <c r="AN514" s="32">
        <f t="shared" si="303"/>
        <v>149.56503712679896</v>
      </c>
      <c r="AO514" s="32">
        <f t="shared" si="304"/>
        <v>1.5641102224090409</v>
      </c>
      <c r="AP514" s="60" t="str">
        <f t="shared" si="305"/>
        <v>-0.134721832582817+0.20240204051755i</v>
      </c>
      <c r="AQ514" s="51">
        <f t="shared" si="306"/>
        <v>-12.282908588974843</v>
      </c>
      <c r="AR514" s="63">
        <f t="shared" si="307"/>
        <v>123.6483312234386</v>
      </c>
      <c r="AS514" s="60" t="str">
        <f t="shared" si="308"/>
        <v>-0.00429676235541124-0.00762417447348421i</v>
      </c>
      <c r="AT514" s="66">
        <f t="shared" si="309"/>
        <v>-41.158267785907029</v>
      </c>
      <c r="AU514" s="63">
        <f t="shared" si="310"/>
        <v>-119.40433954959096</v>
      </c>
      <c r="AX514" s="32">
        <f t="shared" si="311"/>
        <v>0</v>
      </c>
      <c r="AY514" s="32">
        <f t="shared" si="312"/>
        <v>0</v>
      </c>
    </row>
    <row r="515" spans="14:51" x14ac:dyDescent="0.3">
      <c r="N515" s="11">
        <v>97</v>
      </c>
      <c r="O515" s="52">
        <f t="shared" si="313"/>
        <v>933254.30079699249</v>
      </c>
      <c r="P515" s="50" t="str">
        <f t="shared" si="279"/>
        <v>131.578947368421</v>
      </c>
      <c r="Q515" s="18" t="str">
        <f t="shared" si="280"/>
        <v>1+8795.71456594473i</v>
      </c>
      <c r="R515" s="18">
        <f t="shared" si="288"/>
        <v>8795.714622790596</v>
      </c>
      <c r="S515" s="18">
        <f t="shared" si="289"/>
        <v>1.5706826350660219</v>
      </c>
      <c r="T515" s="18" t="str">
        <f t="shared" si="281"/>
        <v>1+0.0193505720450784i</v>
      </c>
      <c r="U515" s="18">
        <f t="shared" si="290"/>
        <v>1.000187204796418</v>
      </c>
      <c r="V515" s="18">
        <f t="shared" si="291"/>
        <v>1.934815734823948E-2</v>
      </c>
      <c r="W515" s="32" t="str">
        <f t="shared" si="282"/>
        <v>1-4.69104776850386i</v>
      </c>
      <c r="X515" s="18">
        <f t="shared" si="292"/>
        <v>4.796449641806432</v>
      </c>
      <c r="Y515" s="18">
        <f t="shared" si="293"/>
        <v>-1.3607680628207686</v>
      </c>
      <c r="Z515" s="32" t="str">
        <f t="shared" si="283"/>
        <v>0.442583302428107+1.98546539324834i</v>
      </c>
      <c r="AA515" s="18">
        <f t="shared" si="294"/>
        <v>2.0341958625891841</v>
      </c>
      <c r="AB515" s="18">
        <f t="shared" si="295"/>
        <v>1.3514705237008626</v>
      </c>
      <c r="AC515" s="68" t="str">
        <f t="shared" si="296"/>
        <v>-0.0153077855050821+0.0317855646396694i</v>
      </c>
      <c r="AD515" s="66">
        <f t="shared" si="297"/>
        <v>-29.049526112108861</v>
      </c>
      <c r="AE515" s="63">
        <f t="shared" si="298"/>
        <v>115.71525777342177</v>
      </c>
      <c r="AF515" s="32" t="str">
        <f t="shared" si="284"/>
        <v>-0.434440565864413</v>
      </c>
      <c r="AG515" s="32" t="str">
        <f t="shared" si="285"/>
        <v>153.045433447438i</v>
      </c>
      <c r="AH515" s="32">
        <f t="shared" si="299"/>
        <v>153.045433447438</v>
      </c>
      <c r="AI515" s="32">
        <f t="shared" si="300"/>
        <v>1.5707963267948966</v>
      </c>
      <c r="AJ515" s="32" t="str">
        <f t="shared" si="286"/>
        <v>1+1.51530132126177i</v>
      </c>
      <c r="AK515" s="32">
        <f t="shared" si="301"/>
        <v>1.8155269467065662</v>
      </c>
      <c r="AL515" s="32">
        <f t="shared" si="302"/>
        <v>0.98746877191001237</v>
      </c>
      <c r="AM515" s="32" t="str">
        <f t="shared" si="287"/>
        <v>1+153.045433447438i</v>
      </c>
      <c r="AN515" s="32">
        <f t="shared" si="303"/>
        <v>153.04870041628638</v>
      </c>
      <c r="AO515" s="32">
        <f t="shared" si="304"/>
        <v>1.5642624123437765</v>
      </c>
      <c r="AP515" s="60" t="str">
        <f t="shared" si="305"/>
        <v>-0.130497922668278+0.200582312528472i</v>
      </c>
      <c r="AQ515" s="51">
        <f t="shared" si="306"/>
        <v>-12.421261160600467</v>
      </c>
      <c r="AR515" s="63">
        <f t="shared" si="307"/>
        <v>123.04784124684113</v>
      </c>
      <c r="AS515" s="60" t="str">
        <f t="shared" si="308"/>
        <v>-0.00437798785138333-0.00721842117261432i</v>
      </c>
      <c r="AT515" s="66">
        <f t="shared" si="309"/>
        <v>-41.47078727270933</v>
      </c>
      <c r="AU515" s="63">
        <f t="shared" si="310"/>
        <v>-121.23690097973714</v>
      </c>
      <c r="AX515" s="32">
        <f t="shared" si="311"/>
        <v>0</v>
      </c>
      <c r="AY515" s="32">
        <f t="shared" si="312"/>
        <v>0</v>
      </c>
    </row>
    <row r="516" spans="14:51" x14ac:dyDescent="0.3">
      <c r="N516" s="11">
        <v>98</v>
      </c>
      <c r="O516" s="52">
        <f t="shared" si="313"/>
        <v>954992.58602143743</v>
      </c>
      <c r="P516" s="50" t="str">
        <f t="shared" si="279"/>
        <v>131.578947368421</v>
      </c>
      <c r="Q516" s="18" t="str">
        <f t="shared" si="280"/>
        <v>1+9000.59307743299i</v>
      </c>
      <c r="R516" s="18">
        <f t="shared" si="288"/>
        <v>9000.5931329848845</v>
      </c>
      <c r="S516" s="18">
        <f t="shared" si="289"/>
        <v>1.5706852230057038</v>
      </c>
      <c r="T516" s="18" t="str">
        <f t="shared" si="281"/>
        <v>1+0.0198013047703526i</v>
      </c>
      <c r="U516" s="18">
        <f t="shared" si="290"/>
        <v>1.000196026622086</v>
      </c>
      <c r="V516" s="18">
        <f t="shared" si="291"/>
        <v>1.9798717403460456E-2</v>
      </c>
      <c r="W516" s="32" t="str">
        <f t="shared" si="282"/>
        <v>1-4.80031630796426i</v>
      </c>
      <c r="X516" s="18">
        <f t="shared" si="292"/>
        <v>4.903369928580509</v>
      </c>
      <c r="Y516" s="18">
        <f t="shared" si="293"/>
        <v>-1.3654140943434259</v>
      </c>
      <c r="Z516" s="32" t="str">
        <f t="shared" si="283"/>
        <v>0.416313062812217+2.03171282332698i</v>
      </c>
      <c r="AA516" s="18">
        <f t="shared" si="294"/>
        <v>2.0739270871318927</v>
      </c>
      <c r="AB516" s="18">
        <f t="shared" si="295"/>
        <v>1.3686865635944594</v>
      </c>
      <c r="AC516" s="68" t="str">
        <f t="shared" si="296"/>
        <v>-0.0143296050585088+0.0314604421164297i</v>
      </c>
      <c r="AD516" s="66">
        <f t="shared" si="297"/>
        <v>-29.225968440476102</v>
      </c>
      <c r="AE516" s="63">
        <f t="shared" si="298"/>
        <v>114.48832026141675</v>
      </c>
      <c r="AF516" s="32" t="str">
        <f t="shared" si="284"/>
        <v>-0.434440565864413</v>
      </c>
      <c r="AG516" s="32" t="str">
        <f t="shared" si="285"/>
        <v>156.610319547334i</v>
      </c>
      <c r="AH516" s="32">
        <f t="shared" si="299"/>
        <v>156.610319547334</v>
      </c>
      <c r="AI516" s="32">
        <f t="shared" si="300"/>
        <v>1.5707963267948966</v>
      </c>
      <c r="AJ516" s="32" t="str">
        <f t="shared" si="286"/>
        <v>1+1.55059722324093i</v>
      </c>
      <c r="AK516" s="32">
        <f t="shared" si="301"/>
        <v>1.845088547664443</v>
      </c>
      <c r="AL516" s="32">
        <f t="shared" si="302"/>
        <v>0.99800566099549426</v>
      </c>
      <c r="AM516" s="32" t="str">
        <f t="shared" si="287"/>
        <v>1+156.610319547334i</v>
      </c>
      <c r="AN516" s="32">
        <f t="shared" si="303"/>
        <v>156.61351215242593</v>
      </c>
      <c r="AO516" s="32">
        <f t="shared" si="304"/>
        <v>1.5644111383051296</v>
      </c>
      <c r="AP516" s="60" t="str">
        <f t="shared" si="305"/>
        <v>-0.126349803390497+0.198691676894642i</v>
      </c>
      <c r="AQ516" s="51">
        <f t="shared" si="306"/>
        <v>-12.561559784759027</v>
      </c>
      <c r="AR516" s="63">
        <f t="shared" si="307"/>
        <v>122.45264334293495</v>
      </c>
      <c r="AS516" s="60" t="str">
        <f t="shared" si="308"/>
        <v>-0.00444038521815418-0.00682219393430206i</v>
      </c>
      <c r="AT516" s="66">
        <f t="shared" si="309"/>
        <v>-41.787528225235128</v>
      </c>
      <c r="AU516" s="63">
        <f t="shared" si="310"/>
        <v>-123.05903639564832</v>
      </c>
      <c r="AX516" s="32">
        <f t="shared" si="311"/>
        <v>0</v>
      </c>
      <c r="AY516" s="32">
        <f t="shared" si="312"/>
        <v>0</v>
      </c>
    </row>
    <row r="517" spans="14:51" x14ac:dyDescent="0.3">
      <c r="N517" s="11">
        <v>99</v>
      </c>
      <c r="O517" s="52">
        <f t="shared" si="313"/>
        <v>977237.22095581202</v>
      </c>
      <c r="P517" s="50" t="str">
        <f t="shared" si="279"/>
        <v>131.578947368421</v>
      </c>
      <c r="Q517" s="18" t="str">
        <f t="shared" si="280"/>
        <v>1+9210.24382250785i</v>
      </c>
      <c r="R517" s="18">
        <f t="shared" si="288"/>
        <v>9210.2438767952281</v>
      </c>
      <c r="S517" s="18">
        <f t="shared" si="289"/>
        <v>1.570687752036688</v>
      </c>
      <c r="T517" s="18" t="str">
        <f t="shared" si="281"/>
        <v>1+0.0202625364095173i</v>
      </c>
      <c r="U517" s="18">
        <f t="shared" si="290"/>
        <v>1.0002052641241932</v>
      </c>
      <c r="V517" s="18">
        <f t="shared" si="291"/>
        <v>2.0259764026670624E-2</v>
      </c>
      <c r="W517" s="32" t="str">
        <f t="shared" si="282"/>
        <v>1-4.91213003867086i</v>
      </c>
      <c r="X517" s="18">
        <f t="shared" si="292"/>
        <v>5.0128855479466692</v>
      </c>
      <c r="Y517" s="18">
        <f t="shared" si="293"/>
        <v>-1.3699630760207497</v>
      </c>
      <c r="Z517" s="32" t="str">
        <f t="shared" si="283"/>
        <v>0.388804744946279+2.07903749443744i</v>
      </c>
      <c r="AA517" s="18">
        <f t="shared" si="294"/>
        <v>2.115080620914827</v>
      </c>
      <c r="AB517" s="18">
        <f t="shared" si="295"/>
        <v>1.3859199447553341</v>
      </c>
      <c r="AC517" s="68" t="str">
        <f t="shared" si="296"/>
        <v>-0.0133774271506222+0.0311120177527629i</v>
      </c>
      <c r="AD517" s="66">
        <f t="shared" si="297"/>
        <v>-29.40469446667484</v>
      </c>
      <c r="AE517" s="63">
        <f t="shared" si="298"/>
        <v>113.26655392583247</v>
      </c>
      <c r="AF517" s="32" t="str">
        <f t="shared" si="284"/>
        <v>-0.434440565864413</v>
      </c>
      <c r="AG517" s="32" t="str">
        <f t="shared" si="285"/>
        <v>160.258242511637i</v>
      </c>
      <c r="AH517" s="32">
        <f t="shared" si="299"/>
        <v>160.25824251163701</v>
      </c>
      <c r="AI517" s="32">
        <f t="shared" si="300"/>
        <v>1.5707963267948966</v>
      </c>
      <c r="AJ517" s="32" t="str">
        <f t="shared" si="286"/>
        <v>1+1.58671527239244i</v>
      </c>
      <c r="AK517" s="32">
        <f t="shared" si="301"/>
        <v>1.8755440159173593</v>
      </c>
      <c r="AL517" s="32">
        <f t="shared" si="302"/>
        <v>1.0084429496813265</v>
      </c>
      <c r="AM517" s="32" t="str">
        <f t="shared" si="287"/>
        <v>1+160.258242511637i</v>
      </c>
      <c r="AN517" s="32">
        <f t="shared" si="303"/>
        <v>160.26136244559592</v>
      </c>
      <c r="AO517" s="32">
        <f t="shared" si="304"/>
        <v>1.5645564791232403</v>
      </c>
      <c r="AP517" s="60" t="str">
        <f t="shared" si="305"/>
        <v>-0.122279731195324+0.196733995128448i</v>
      </c>
      <c r="AQ517" s="51">
        <f t="shared" si="306"/>
        <v>-12.703768704947077</v>
      </c>
      <c r="AR517" s="63">
        <f t="shared" si="307"/>
        <v>121.86295816714591</v>
      </c>
      <c r="AS517" s="60" t="str">
        <f t="shared" si="308"/>
        <v>-0.00448500335294513-0.00643616385563367i</v>
      </c>
      <c r="AT517" s="66">
        <f t="shared" si="309"/>
        <v>-42.108463171621928</v>
      </c>
      <c r="AU517" s="63">
        <f t="shared" si="310"/>
        <v>-124.87048790702161</v>
      </c>
      <c r="AX517" s="32">
        <f t="shared" si="311"/>
        <v>0</v>
      </c>
      <c r="AY517" s="32">
        <f t="shared" si="312"/>
        <v>0</v>
      </c>
    </row>
    <row r="518" spans="14:51" x14ac:dyDescent="0.3">
      <c r="N518" s="11">
        <v>100</v>
      </c>
      <c r="O518" s="52">
        <f t="shared" si="313"/>
        <v>1000000</v>
      </c>
      <c r="P518" s="50" t="str">
        <f t="shared" si="279"/>
        <v>131.578947368421</v>
      </c>
      <c r="Q518" s="18" t="str">
        <f t="shared" si="280"/>
        <v>1+9424.77796076938i</v>
      </c>
      <c r="R518" s="18">
        <f t="shared" si="288"/>
        <v>9424.7780138210273</v>
      </c>
      <c r="S518" s="18">
        <f t="shared" si="289"/>
        <v>1.5706902234999003</v>
      </c>
      <c r="T518" s="18" t="str">
        <f t="shared" si="281"/>
        <v>1+0.0207345115136926i</v>
      </c>
      <c r="U518" s="18">
        <f t="shared" si="290"/>
        <v>1.0002149368849234</v>
      </c>
      <c r="V518" s="18">
        <f t="shared" si="291"/>
        <v>2.0731540886427317E-2</v>
      </c>
      <c r="W518" s="32" t="str">
        <f t="shared" si="282"/>
        <v>1-5.02654824574367i</v>
      </c>
      <c r="X518" s="18">
        <f t="shared" si="292"/>
        <v>5.1250548550028965</v>
      </c>
      <c r="Y518" s="18">
        <f t="shared" si="293"/>
        <v>-1.3744166663632307</v>
      </c>
      <c r="Z518" s="32" t="str">
        <f t="shared" si="283"/>
        <v>0.359999999999999+2.12746449874677i</v>
      </c>
      <c r="AA518" s="18">
        <f t="shared" si="294"/>
        <v>2.157708319821714</v>
      </c>
      <c r="AB518" s="18">
        <f t="shared" si="295"/>
        <v>1.4031687188934558</v>
      </c>
      <c r="AC518" s="68" t="str">
        <f t="shared" si="296"/>
        <v>-0.0124516377267646+0.0307416358264033i</v>
      </c>
      <c r="AD518" s="66">
        <f t="shared" si="297"/>
        <v>-29.585712085618361</v>
      </c>
      <c r="AE518" s="63">
        <f t="shared" si="298"/>
        <v>112.0499892541639</v>
      </c>
      <c r="AF518" s="32" t="str">
        <f t="shared" si="284"/>
        <v>-0.434440565864413</v>
      </c>
      <c r="AG518" s="32" t="str">
        <f t="shared" si="285"/>
        <v>163.991136517387i</v>
      </c>
      <c r="AH518" s="32">
        <f t="shared" si="299"/>
        <v>163.99113651738699</v>
      </c>
      <c r="AI518" s="32">
        <f t="shared" si="300"/>
        <v>1.5707963267948966</v>
      </c>
      <c r="AJ518" s="32" t="str">
        <f t="shared" si="286"/>
        <v>1+1.62367461898403i</v>
      </c>
      <c r="AK518" s="32">
        <f t="shared" si="301"/>
        <v>1.9069135450599053</v>
      </c>
      <c r="AL518" s="32">
        <f t="shared" si="302"/>
        <v>1.0187770756314891</v>
      </c>
      <c r="AM518" s="32" t="str">
        <f t="shared" si="287"/>
        <v>1+163.991136517387i</v>
      </c>
      <c r="AN518" s="32">
        <f t="shared" si="303"/>
        <v>163.99418543431429</v>
      </c>
      <c r="AO518" s="32">
        <f t="shared" si="304"/>
        <v>1.5646985118351584</v>
      </c>
      <c r="AP518" s="60" t="str">
        <f t="shared" si="305"/>
        <v>-0.118289716161359+0.194713180834765i</v>
      </c>
      <c r="AQ518" s="51">
        <f t="shared" si="306"/>
        <v>-12.847851172012469</v>
      </c>
      <c r="AR518" s="63">
        <f t="shared" si="307"/>
        <v>121.27899424019074</v>
      </c>
      <c r="AS518" s="60" t="str">
        <f t="shared" si="308"/>
        <v>-0.0045129010033799-0.00606091736462161i</v>
      </c>
      <c r="AT518" s="66">
        <f t="shared" si="309"/>
        <v>-42.433563257630837</v>
      </c>
      <c r="AU518" s="63">
        <f t="shared" si="310"/>
        <v>-126.67101650564535</v>
      </c>
      <c r="AX518" s="32">
        <f t="shared" si="311"/>
        <v>0</v>
      </c>
      <c r="AY518" s="32">
        <f t="shared" si="312"/>
        <v>0</v>
      </c>
    </row>
    <row r="519" spans="14:51" x14ac:dyDescent="0.3">
      <c r="N519" s="11">
        <v>1</v>
      </c>
      <c r="O519" s="52">
        <f>10^(6+(N519/100))</f>
        <v>1023292.9922807553</v>
      </c>
      <c r="P519" s="50" t="str">
        <f t="shared" si="279"/>
        <v>131.578947368421</v>
      </c>
      <c r="Q519" s="18" t="str">
        <f t="shared" si="280"/>
        <v>1+9644.30924105742i</v>
      </c>
      <c r="R519" s="18">
        <f t="shared" si="288"/>
        <v>9644.3092929014656</v>
      </c>
      <c r="S519" s="18">
        <f t="shared" si="289"/>
        <v>1.5706926387057425</v>
      </c>
      <c r="T519" s="18" t="str">
        <f t="shared" si="281"/>
        <v>1+0.0212174803303263i</v>
      </c>
      <c r="U519" s="18">
        <f t="shared" si="290"/>
        <v>1.0002250654085649</v>
      </c>
      <c r="V519" s="18">
        <f t="shared" si="291"/>
        <v>2.1214297284544995E-2</v>
      </c>
      <c r="W519" s="32" t="str">
        <f t="shared" si="282"/>
        <v>1-5.14363159523062i</v>
      </c>
      <c r="X519" s="18">
        <f t="shared" si="292"/>
        <v>5.2399375938511614</v>
      </c>
      <c r="Y519" s="18">
        <f t="shared" si="293"/>
        <v>-1.3787765197108504</v>
      </c>
      <c r="Z519" s="32" t="str">
        <f t="shared" si="283"/>
        <v>0.329837729247422+2.17701951289366i</v>
      </c>
      <c r="AA519" s="18">
        <f t="shared" si="294"/>
        <v>2.2018644116191268</v>
      </c>
      <c r="AB519" s="18">
        <f t="shared" si="295"/>
        <v>1.4204310560088402</v>
      </c>
      <c r="AC519" s="68" t="str">
        <f t="shared" si="296"/>
        <v>-0.0115525590490217+0.0303506353092923i</v>
      </c>
      <c r="AD519" s="66">
        <f t="shared" si="297"/>
        <v>-29.769028915078088</v>
      </c>
      <c r="AE519" s="63">
        <f t="shared" si="298"/>
        <v>110.83865051984934</v>
      </c>
      <c r="AF519" s="32" t="str">
        <f t="shared" si="284"/>
        <v>-0.434440565864413</v>
      </c>
      <c r="AG519" s="32" t="str">
        <f t="shared" si="285"/>
        <v>167.810980794399i</v>
      </c>
      <c r="AH519" s="32">
        <f t="shared" si="299"/>
        <v>167.810980794399</v>
      </c>
      <c r="AI519" s="32">
        <f t="shared" si="300"/>
        <v>1.5707963267948966</v>
      </c>
      <c r="AJ519" s="32" t="str">
        <f t="shared" si="286"/>
        <v>1+1.66149485935049i</v>
      </c>
      <c r="AK519" s="32">
        <f t="shared" si="301"/>
        <v>1.9392176689706868</v>
      </c>
      <c r="AL519" s="32">
        <f t="shared" si="302"/>
        <v>1.029004688785675</v>
      </c>
      <c r="AM519" s="32" t="str">
        <f t="shared" si="287"/>
        <v>1+167.810980794399i</v>
      </c>
      <c r="AN519" s="32">
        <f t="shared" si="303"/>
        <v>167.81396031075053</v>
      </c>
      <c r="AO519" s="32">
        <f t="shared" si="304"/>
        <v>1.5648373117255732</v>
      </c>
      <c r="AP519" s="60" t="str">
        <f t="shared" si="305"/>
        <v>-0.11438152377298+0.192633182275719i</v>
      </c>
      <c r="AQ519" s="51">
        <f t="shared" si="306"/>
        <v>-12.993769558384052</v>
      </c>
      <c r="AR519" s="63">
        <f t="shared" si="307"/>
        <v>120.70094781988105</v>
      </c>
      <c r="AS519" s="60" t="str">
        <f t="shared" si="308"/>
        <v>-0.00452514015621435-0.00569695812719607i</v>
      </c>
      <c r="AT519" s="66">
        <f t="shared" si="309"/>
        <v>-42.762798473462134</v>
      </c>
      <c r="AU519" s="63">
        <f t="shared" si="310"/>
        <v>-128.46040166026961</v>
      </c>
      <c r="AX519" s="32">
        <f t="shared" si="311"/>
        <v>0</v>
      </c>
      <c r="AY519" s="32">
        <f t="shared" si="312"/>
        <v>0</v>
      </c>
    </row>
    <row r="520" spans="14:51" x14ac:dyDescent="0.3">
      <c r="N520" s="11">
        <v>2</v>
      </c>
      <c r="O520" s="52">
        <f t="shared" ref="O520:O560" si="314">10^(6+(N520/100))</f>
        <v>1047128.5480509007</v>
      </c>
      <c r="P520" s="50" t="str">
        <f t="shared" si="279"/>
        <v>131.578947368421</v>
      </c>
      <c r="Q520" s="18" t="str">
        <f t="shared" si="280"/>
        <v>1+9868.95406176256i</v>
      </c>
      <c r="R520" s="18">
        <f t="shared" si="288"/>
        <v>9868.9541124264888</v>
      </c>
      <c r="S520" s="18">
        <f t="shared" si="289"/>
        <v>1.5706949989347891</v>
      </c>
      <c r="T520" s="18" t="str">
        <f t="shared" si="281"/>
        <v>1+0.0217116989358776i</v>
      </c>
      <c r="U520" s="18">
        <f t="shared" si="290"/>
        <v>1.0002356711648921</v>
      </c>
      <c r="V520" s="18">
        <f t="shared" si="291"/>
        <v>2.1708288284274228E-2</v>
      </c>
      <c r="W520" s="32" t="str">
        <f t="shared" si="282"/>
        <v>1-5.26344216627337i</v>
      </c>
      <c r="X520" s="18">
        <f t="shared" si="292"/>
        <v>5.3575949303492978</v>
      </c>
      <c r="Y520" s="18">
        <f t="shared" si="293"/>
        <v>-1.3830442844097952</v>
      </c>
      <c r="Z520" s="32" t="str">
        <f t="shared" si="283"/>
        <v>0.29825395446836+2.22772881160254i</v>
      </c>
      <c r="AA520" s="18">
        <f t="shared" si="294"/>
        <v>2.2476056325343374</v>
      </c>
      <c r="AB520" s="18">
        <f t="shared" si="295"/>
        <v>1.4377052362661558</v>
      </c>
      <c r="AC520" s="68" t="str">
        <f t="shared" si="296"/>
        <v>-0.0106804513203545+0.0299403462640652i</v>
      </c>
      <c r="AD520" s="66">
        <f t="shared" si="297"/>
        <v>-29.954652401883692</v>
      </c>
      <c r="AE520" s="63">
        <f t="shared" si="298"/>
        <v>109.63255635959163</v>
      </c>
      <c r="AF520" s="32" t="str">
        <f t="shared" si="284"/>
        <v>-0.434440565864413</v>
      </c>
      <c r="AG520" s="32" t="str">
        <f t="shared" si="285"/>
        <v>171.719800674669i</v>
      </c>
      <c r="AH520" s="32">
        <f t="shared" si="299"/>
        <v>171.71980067466899</v>
      </c>
      <c r="AI520" s="32">
        <f t="shared" si="300"/>
        <v>1.5707963267948966</v>
      </c>
      <c r="AJ520" s="32" t="str">
        <f t="shared" si="286"/>
        <v>1+1.70019604628385i</v>
      </c>
      <c r="AK520" s="32">
        <f t="shared" si="301"/>
        <v>1.9724772738359331</v>
      </c>
      <c r="AL520" s="32">
        <f t="shared" si="302"/>
        <v>1.0391226527208492</v>
      </c>
      <c r="AM520" s="32" t="str">
        <f t="shared" si="287"/>
        <v>1+171.719800674669i</v>
      </c>
      <c r="AN520" s="32">
        <f t="shared" si="303"/>
        <v>171.72271237011151</v>
      </c>
      <c r="AO520" s="32">
        <f t="shared" si="304"/>
        <v>1.5649729523666185</v>
      </c>
      <c r="AP520" s="60" t="str">
        <f t="shared" si="305"/>
        <v>-0.110556678022117+0.190497965543571i</v>
      </c>
      <c r="AQ520" s="51">
        <f t="shared" si="306"/>
        <v>-13.141485471161724</v>
      </c>
      <c r="AR520" s="63">
        <f t="shared" si="307"/>
        <v>120.12900282539229</v>
      </c>
      <c r="AS520" s="60" t="str">
        <f t="shared" si="308"/>
        <v>-0.00452277983321915-0.00534470946940163i</v>
      </c>
      <c r="AT520" s="66">
        <f t="shared" si="309"/>
        <v>-43.096137873045414</v>
      </c>
      <c r="AU520" s="63">
        <f t="shared" si="310"/>
        <v>-130.23844081501605</v>
      </c>
      <c r="AX520" s="32">
        <f t="shared" si="311"/>
        <v>0</v>
      </c>
      <c r="AY520" s="32">
        <f t="shared" si="312"/>
        <v>0</v>
      </c>
    </row>
    <row r="521" spans="14:51" x14ac:dyDescent="0.3">
      <c r="N521" s="11">
        <v>3</v>
      </c>
      <c r="O521" s="52">
        <f t="shared" si="314"/>
        <v>1071519.3052376076</v>
      </c>
      <c r="P521" s="50" t="str">
        <f t="shared" si="279"/>
        <v>131.578947368421</v>
      </c>
      <c r="Q521" s="18" t="str">
        <f t="shared" si="280"/>
        <v>1+10098.8315325423i</v>
      </c>
      <c r="R521" s="18">
        <f t="shared" si="288"/>
        <v>10098.831582052977</v>
      </c>
      <c r="S521" s="18">
        <f t="shared" si="289"/>
        <v>1.5706973054384645</v>
      </c>
      <c r="T521" s="18" t="str">
        <f t="shared" si="281"/>
        <v>1+0.0222174293715931i</v>
      </c>
      <c r="U521" s="18">
        <f t="shared" si="290"/>
        <v>1.0002467766345873</v>
      </c>
      <c r="V521" s="18">
        <f t="shared" si="291"/>
        <v>2.2213774841251584E-2</v>
      </c>
      <c r="W521" s="32" t="str">
        <f t="shared" si="282"/>
        <v>1-5.38604348402257i</v>
      </c>
      <c r="X521" s="18">
        <f t="shared" si="292"/>
        <v>5.4780894855580797</v>
      </c>
      <c r="Y521" s="18">
        <f t="shared" si="293"/>
        <v>-1.3872216011265885</v>
      </c>
      <c r="Z521" s="32" t="str">
        <f t="shared" si="283"/>
        <v>0.265181682241995+2.27961928161481i</v>
      </c>
      <c r="AA521" s="18">
        <f t="shared" si="294"/>
        <v>2.294991371161712</v>
      </c>
      <c r="AB521" s="18">
        <f t="shared" si="295"/>
        <v>1.4549896410289809</v>
      </c>
      <c r="AC521" s="68" t="str">
        <f t="shared" si="296"/>
        <v>-0.00983551451819577+0.0295120864857979i</v>
      </c>
      <c r="AD521" s="66">
        <f t="shared" si="297"/>
        <v>-30.142589921069227</v>
      </c>
      <c r="AE521" s="63">
        <f t="shared" si="298"/>
        <v>108.4317203911135</v>
      </c>
      <c r="AF521" s="32" t="str">
        <f t="shared" si="284"/>
        <v>-0.434440565864413</v>
      </c>
      <c r="AG521" s="32" t="str">
        <f t="shared" si="285"/>
        <v>175.719668666236i</v>
      </c>
      <c r="AH521" s="32">
        <f t="shared" si="299"/>
        <v>175.719668666236</v>
      </c>
      <c r="AI521" s="32">
        <f t="shared" si="300"/>
        <v>1.5707963267948966</v>
      </c>
      <c r="AJ521" s="32" t="str">
        <f t="shared" si="286"/>
        <v>1+1.73979869966571i</v>
      </c>
      <c r="AK521" s="32">
        <f t="shared" si="301"/>
        <v>2.0067136106974743</v>
      </c>
      <c r="AL521" s="32">
        <f t="shared" si="302"/>
        <v>1.0491280451315605</v>
      </c>
      <c r="AM521" s="32" t="str">
        <f t="shared" si="287"/>
        <v>1+175.719668666236i</v>
      </c>
      <c r="AN521" s="32">
        <f t="shared" si="303"/>
        <v>175.72251408448426</v>
      </c>
      <c r="AO521" s="32">
        <f t="shared" si="304"/>
        <v>1.5651055056567822</v>
      </c>
      <c r="AP521" s="60" t="str">
        <f t="shared" si="305"/>
        <v>-0.106816465740613+0.188311498443326i</v>
      </c>
      <c r="AQ521" s="51">
        <f t="shared" si="306"/>
        <v>-13.290959863474027</v>
      </c>
      <c r="AR521" s="63">
        <f t="shared" si="307"/>
        <v>119.5633308119733</v>
      </c>
      <c r="AS521" s="60" t="str">
        <f t="shared" si="308"/>
        <v>-0.00450687032875547-0.00500451725192677i</v>
      </c>
      <c r="AT521" s="66">
        <f t="shared" si="309"/>
        <v>-43.43354978454326</v>
      </c>
      <c r="AU521" s="63">
        <f t="shared" si="310"/>
        <v>-132.0049487969132</v>
      </c>
      <c r="AX521" s="32">
        <f t="shared" si="311"/>
        <v>0</v>
      </c>
      <c r="AY521" s="32">
        <f t="shared" si="312"/>
        <v>0</v>
      </c>
    </row>
    <row r="522" spans="14:51" x14ac:dyDescent="0.3">
      <c r="N522" s="11">
        <v>4</v>
      </c>
      <c r="O522" s="52">
        <f t="shared" si="314"/>
        <v>1096478.196143186</v>
      </c>
      <c r="P522" s="50" t="str">
        <f t="shared" si="279"/>
        <v>131.578947368421</v>
      </c>
      <c r="Q522" s="18" t="str">
        <f t="shared" si="280"/>
        <v>1+10334.0635374745i</v>
      </c>
      <c r="R522" s="18">
        <f t="shared" si="288"/>
        <v>10334.063585858177</v>
      </c>
      <c r="S522" s="18">
        <f t="shared" si="289"/>
        <v>1.5706995594397075</v>
      </c>
      <c r="T522" s="18" t="str">
        <f t="shared" si="281"/>
        <v>1+0.0227349397824438i</v>
      </c>
      <c r="U522" s="18">
        <f t="shared" si="290"/>
        <v>1.0002584053567916</v>
      </c>
      <c r="V522" s="18">
        <f t="shared" si="291"/>
        <v>2.2731023937266132E-2</v>
      </c>
      <c r="W522" s="32" t="str">
        <f t="shared" si="282"/>
        <v>1-5.51150055331971i</v>
      </c>
      <c r="X522" s="18">
        <f t="shared" si="292"/>
        <v>5.6014853699035463</v>
      </c>
      <c r="Y522" s="18">
        <f t="shared" si="293"/>
        <v>-1.3913101012931706</v>
      </c>
      <c r="Z522" s="32" t="str">
        <f t="shared" si="283"/>
        <v>0.230550761844854+2.33271843594453i</v>
      </c>
      <c r="AA522" s="18">
        <f t="shared" si="294"/>
        <v>2.3440838199993483</v>
      </c>
      <c r="AB522" s="18">
        <f t="shared" si="295"/>
        <v>1.4722827431273917</v>
      </c>
      <c r="AC522" s="68" t="str">
        <f t="shared" si="296"/>
        <v>-0.00901789040658736+0.0290671583971576i</v>
      </c>
      <c r="AD522" s="66">
        <f t="shared" si="297"/>
        <v>-30.332848867356752</v>
      </c>
      <c r="AE522" s="63">
        <f t="shared" si="298"/>
        <v>107.23615186750244</v>
      </c>
      <c r="AF522" s="32" t="str">
        <f t="shared" si="284"/>
        <v>-0.434440565864413</v>
      </c>
      <c r="AG522" s="32" t="str">
        <f t="shared" si="285"/>
        <v>179.812705552056i</v>
      </c>
      <c r="AH522" s="32">
        <f t="shared" si="299"/>
        <v>179.812705552056</v>
      </c>
      <c r="AI522" s="32">
        <f t="shared" si="300"/>
        <v>1.5707963267948966</v>
      </c>
      <c r="AJ522" s="32" t="str">
        <f t="shared" si="286"/>
        <v>1+1.78032381734709i</v>
      </c>
      <c r="AK522" s="32">
        <f t="shared" si="301"/>
        <v>2.0419483085066861</v>
      </c>
      <c r="AL522" s="32">
        <f t="shared" si="302"/>
        <v>1.0590181574693143</v>
      </c>
      <c r="AM522" s="32" t="str">
        <f t="shared" si="287"/>
        <v>1+179.812705552056i</v>
      </c>
      <c r="AN522" s="32">
        <f t="shared" si="303"/>
        <v>179.81548620169062</v>
      </c>
      <c r="AO522" s="32">
        <f t="shared" si="304"/>
        <v>1.56523504185893</v>
      </c>
      <c r="AP522" s="60" t="str">
        <f t="shared" si="305"/>
        <v>-0.103161942058316+0.186077735172776i</v>
      </c>
      <c r="AQ522" s="51">
        <f t="shared" si="306"/>
        <v>-13.442153143552781</v>
      </c>
      <c r="AR522" s="63">
        <f t="shared" si="307"/>
        <v>119.00409099378697</v>
      </c>
      <c r="AS522" s="60" t="str">
        <f t="shared" si="308"/>
        <v>-0.00447844791483882-0.00467665313326155i</v>
      </c>
      <c r="AT522" s="66">
        <f t="shared" si="309"/>
        <v>-43.775002010909525</v>
      </c>
      <c r="AU522" s="63">
        <f t="shared" si="310"/>
        <v>-133.7597571387106</v>
      </c>
      <c r="AX522" s="32">
        <f t="shared" si="311"/>
        <v>0</v>
      </c>
      <c r="AY522" s="32">
        <f t="shared" si="312"/>
        <v>0</v>
      </c>
    </row>
    <row r="523" spans="14:51" x14ac:dyDescent="0.3">
      <c r="N523" s="11">
        <v>5</v>
      </c>
      <c r="O523" s="52">
        <f t="shared" si="314"/>
        <v>1122018.4543019643</v>
      </c>
      <c r="P523" s="50" t="str">
        <f t="shared" si="279"/>
        <v>131.578947368421</v>
      </c>
      <c r="Q523" s="18" t="str">
        <f t="shared" si="280"/>
        <v>1+10574.7747996817i</v>
      </c>
      <c r="R523" s="18">
        <f t="shared" si="288"/>
        <v>10574.77484696403</v>
      </c>
      <c r="S523" s="18">
        <f t="shared" si="289"/>
        <v>1.570701762133619</v>
      </c>
      <c r="T523" s="18" t="str">
        <f t="shared" si="281"/>
        <v>1+0.0232645045592997i</v>
      </c>
      <c r="U523" s="18">
        <f t="shared" si="290"/>
        <v>1.0002705819788911</v>
      </c>
      <c r="V523" s="18">
        <f t="shared" si="291"/>
        <v>2.3260308716894725E-2</v>
      </c>
      <c r="W523" s="32" t="str">
        <f t="shared" si="282"/>
        <v>1-5.63987989316356i</v>
      </c>
      <c r="X523" s="18">
        <f t="shared" si="292"/>
        <v>5.7278482180754926</v>
      </c>
      <c r="Y523" s="18">
        <f t="shared" si="293"/>
        <v>-1.3953114056765701</v>
      </c>
      <c r="Z523" s="32" t="str">
        <f t="shared" si="283"/>
        <v>0.194287736451733+2.38705442846615i</v>
      </c>
      <c r="AA523" s="18">
        <f t="shared" si="294"/>
        <v>2.3949481349280606</v>
      </c>
      <c r="AB523" s="18">
        <f t="shared" si="295"/>
        <v>1.4895830964369754</v>
      </c>
      <c r="AC523" s="68" t="str">
        <f t="shared" si="296"/>
        <v>-0.00822766469646675+0.0286068462014988i</v>
      </c>
      <c r="AD523" s="66">
        <f t="shared" si="297"/>
        <v>-30.525436738431843</v>
      </c>
      <c r="AE523" s="63">
        <f t="shared" si="298"/>
        <v>106.04585636403064</v>
      </c>
      <c r="AF523" s="32" t="str">
        <f t="shared" si="284"/>
        <v>-0.434440565864413</v>
      </c>
      <c r="AG523" s="32" t="str">
        <f t="shared" si="285"/>
        <v>184.001081514461i</v>
      </c>
      <c r="AH523" s="32">
        <f t="shared" si="299"/>
        <v>184.00108151446099</v>
      </c>
      <c r="AI523" s="32">
        <f t="shared" si="300"/>
        <v>1.5707963267948966</v>
      </c>
      <c r="AJ523" s="32" t="str">
        <f t="shared" si="286"/>
        <v>1+1.8217928862818i</v>
      </c>
      <c r="AK523" s="32">
        <f t="shared" si="301"/>
        <v>2.0782033876661283</v>
      </c>
      <c r="AL523" s="32">
        <f t="shared" si="302"/>
        <v>1.0687904937857662</v>
      </c>
      <c r="AM523" s="32" t="str">
        <f t="shared" si="287"/>
        <v>1+184.001081514461i</v>
      </c>
      <c r="AN523" s="32">
        <f t="shared" si="303"/>
        <v>184.003798869728</v>
      </c>
      <c r="AO523" s="32">
        <f t="shared" si="304"/>
        <v>1.5653616296374728</v>
      </c>
      <c r="AP523" s="60" t="str">
        <f t="shared" si="305"/>
        <v>-0.0995939368770891+0.183800601873428i</v>
      </c>
      <c r="AQ523" s="51">
        <f t="shared" si="306"/>
        <v>-13.595025281028777</v>
      </c>
      <c r="AR523" s="63">
        <f t="shared" si="307"/>
        <v>118.45143031232016</v>
      </c>
      <c r="AS523" s="60" t="str">
        <f t="shared" si="308"/>
        <v>-0.0044385300311103-0.00436131815806801i</v>
      </c>
      <c r="AT523" s="66">
        <f t="shared" si="309"/>
        <v>-44.120462019460625</v>
      </c>
      <c r="AU523" s="63">
        <f t="shared" si="310"/>
        <v>-135.50271332364915</v>
      </c>
      <c r="AX523" s="32">
        <f t="shared" si="311"/>
        <v>0</v>
      </c>
      <c r="AY523" s="32">
        <f t="shared" si="312"/>
        <v>0</v>
      </c>
    </row>
    <row r="524" spans="14:51" x14ac:dyDescent="0.3">
      <c r="N524" s="11">
        <v>6</v>
      </c>
      <c r="O524" s="52">
        <f t="shared" si="314"/>
        <v>1148153.6214968837</v>
      </c>
      <c r="P524" s="50" t="str">
        <f t="shared" si="279"/>
        <v>131.578947368421</v>
      </c>
      <c r="Q524" s="18" t="str">
        <f t="shared" si="280"/>
        <v>1+10821.0929474614i</v>
      </c>
      <c r="R524" s="18">
        <f t="shared" si="288"/>
        <v>10821.092993667455</v>
      </c>
      <c r="S524" s="18">
        <f t="shared" si="289"/>
        <v>1.5707039146880966</v>
      </c>
      <c r="T524" s="18" t="str">
        <f t="shared" si="281"/>
        <v>1+0.023806404484415i</v>
      </c>
      <c r="U524" s="18">
        <f t="shared" si="290"/>
        <v>1.0002833323086391</v>
      </c>
      <c r="V524" s="18">
        <f t="shared" si="291"/>
        <v>2.3801908627052743E-2</v>
      </c>
      <c r="W524" s="32" t="str">
        <f t="shared" si="282"/>
        <v>1-5.7712495719794i</v>
      </c>
      <c r="X524" s="18">
        <f t="shared" si="292"/>
        <v>5.8572452246830515</v>
      </c>
      <c r="Y524" s="18">
        <f t="shared" si="293"/>
        <v>-1.3992271230669169</v>
      </c>
      <c r="Z524" s="32" t="str">
        <f t="shared" si="283"/>
        <v>0.156315687323899+2.44265606884216i</v>
      </c>
      <c r="AA524" s="18">
        <f t="shared" si="294"/>
        <v>2.4476526029555292</v>
      </c>
      <c r="AB524" s="18">
        <f t="shared" si="295"/>
        <v>1.5068893248512076</v>
      </c>
      <c r="AC524" s="68" t="str">
        <f t="shared" si="296"/>
        <v>-0.00746486932464486+0.0281324132950582i</v>
      </c>
      <c r="AD524" s="66">
        <f t="shared" si="297"/>
        <v>-30.720361209532335</v>
      </c>
      <c r="AE524" s="63">
        <f t="shared" si="298"/>
        <v>104.86083649312287</v>
      </c>
      <c r="AF524" s="32" t="str">
        <f t="shared" si="284"/>
        <v>-0.434440565864413</v>
      </c>
      <c r="AG524" s="32" t="str">
        <f t="shared" si="285"/>
        <v>188.287017285828i</v>
      </c>
      <c r="AH524" s="32">
        <f t="shared" si="299"/>
        <v>188.287017285828</v>
      </c>
      <c r="AI524" s="32">
        <f t="shared" si="300"/>
        <v>1.5707963267948966</v>
      </c>
      <c r="AJ524" s="32" t="str">
        <f t="shared" si="286"/>
        <v>1+1.86422789391909i</v>
      </c>
      <c r="AK524" s="32">
        <f t="shared" si="301"/>
        <v>2.1155012740402697</v>
      </c>
      <c r="AL524" s="32">
        <f t="shared" si="302"/>
        <v>1.0784427688279508</v>
      </c>
      <c r="AM524" s="32" t="str">
        <f t="shared" si="287"/>
        <v>1+188.287017285828i</v>
      </c>
      <c r="AN524" s="32">
        <f t="shared" si="303"/>
        <v>188.28967278741999</v>
      </c>
      <c r="AO524" s="32">
        <f t="shared" si="304"/>
        <v>1.5654853360946888</v>
      </c>
      <c r="AP524" s="60" t="str">
        <f t="shared" si="305"/>
        <v>-0.0961130622479459+0.181483983111751i</v>
      </c>
      <c r="AQ524" s="51">
        <f t="shared" si="306"/>
        <v>-13.749535910001114</v>
      </c>
      <c r="AR524" s="63">
        <f t="shared" si="307"/>
        <v>117.90548354760065</v>
      </c>
      <c r="AS524" s="60" t="str">
        <f t="shared" si="308"/>
        <v>-0.00438811096926077-0.00405864660865815i</v>
      </c>
      <c r="AT524" s="66">
        <f t="shared" si="309"/>
        <v>-44.469897119533435</v>
      </c>
      <c r="AU524" s="63">
        <f t="shared" si="310"/>
        <v>-137.23367995927643</v>
      </c>
      <c r="AX524" s="32">
        <f t="shared" si="311"/>
        <v>0</v>
      </c>
      <c r="AY524" s="32">
        <f t="shared" si="312"/>
        <v>0</v>
      </c>
    </row>
    <row r="525" spans="14:51" x14ac:dyDescent="0.3">
      <c r="N525" s="11">
        <v>7</v>
      </c>
      <c r="O525" s="52">
        <f t="shared" si="314"/>
        <v>1174897.5549395324</v>
      </c>
      <c r="P525" s="50" t="str">
        <f t="shared" si="279"/>
        <v>131.578947368421</v>
      </c>
      <c r="Q525" s="18" t="str">
        <f t="shared" si="280"/>
        <v>1+11073.1485819559i</v>
      </c>
      <c r="R525" s="18">
        <f t="shared" si="288"/>
        <v>11073.148627110177</v>
      </c>
      <c r="S525" s="18">
        <f t="shared" si="289"/>
        <v>1.5707060182444532</v>
      </c>
      <c r="T525" s="18" t="str">
        <f t="shared" si="281"/>
        <v>1+0.0243609268803031i</v>
      </c>
      <c r="U525" s="18">
        <f t="shared" si="290"/>
        <v>1.000296683368723</v>
      </c>
      <c r="V525" s="18">
        <f t="shared" si="291"/>
        <v>2.4356109559511365E-2</v>
      </c>
      <c r="W525" s="32" t="str">
        <f t="shared" si="282"/>
        <v>1-5.90567924370983i</v>
      </c>
      <c r="X525" s="18">
        <f t="shared" si="292"/>
        <v>5.9897451806888338</v>
      </c>
      <c r="Y525" s="18">
        <f t="shared" si="293"/>
        <v>-1.4030588490776859</v>
      </c>
      <c r="Z525" s="32" t="str">
        <f t="shared" si="283"/>
        <v>0.116554070654149+2.49955283779824i</v>
      </c>
      <c r="AA525" s="18">
        <f t="shared" si="294"/>
        <v>2.502268818558727</v>
      </c>
      <c r="AB525" s="18">
        <f t="shared" si="295"/>
        <v>1.5242001107323122</v>
      </c>
      <c r="AC525" s="68" t="str">
        <f t="shared" si="296"/>
        <v>-0.00672948482329278+0.0276450999363108i</v>
      </c>
      <c r="AD525" s="66">
        <f t="shared" si="297"/>
        <v>-30.917630198929885</v>
      </c>
      <c r="AE525" s="63">
        <f t="shared" si="298"/>
        <v>103.68109264294425</v>
      </c>
      <c r="AF525" s="32" t="str">
        <f t="shared" si="284"/>
        <v>-0.434440565864413</v>
      </c>
      <c r="AG525" s="32" t="str">
        <f t="shared" si="285"/>
        <v>192.672785326033i</v>
      </c>
      <c r="AH525" s="32">
        <f t="shared" si="299"/>
        <v>192.67278532603299</v>
      </c>
      <c r="AI525" s="32">
        <f t="shared" si="300"/>
        <v>1.5707963267948966</v>
      </c>
      <c r="AJ525" s="32" t="str">
        <f t="shared" si="286"/>
        <v>1+1.90765133986172i</v>
      </c>
      <c r="AK525" s="32">
        <f t="shared" si="301"/>
        <v>2.1538648134170852</v>
      </c>
      <c r="AL525" s="32">
        <f t="shared" si="302"/>
        <v>1.0879729054366336</v>
      </c>
      <c r="AM525" s="32" t="str">
        <f t="shared" si="287"/>
        <v>1+192.672785326033i</v>
      </c>
      <c r="AN525" s="32">
        <f t="shared" si="303"/>
        <v>192.67538038185262</v>
      </c>
      <c r="AO525" s="32">
        <f t="shared" si="304"/>
        <v>1.5656062268062254</v>
      </c>
      <c r="AP525" s="60" t="str">
        <f t="shared" si="305"/>
        <v>-0.0927197205371615+0.179131709336373i</v>
      </c>
      <c r="AQ525" s="51">
        <f t="shared" si="306"/>
        <v>-13.905644428487591</v>
      </c>
      <c r="AR525" s="63">
        <f t="shared" si="307"/>
        <v>117.36637346929325</v>
      </c>
      <c r="AS525" s="60" t="str">
        <f t="shared" si="308"/>
        <v>-0.00432815805419143-0.00376871005966625i</v>
      </c>
      <c r="AT525" s="66">
        <f t="shared" si="309"/>
        <v>-44.82327462741749</v>
      </c>
      <c r="AU525" s="63">
        <f t="shared" si="310"/>
        <v>-138.95253388776251</v>
      </c>
      <c r="AX525" s="32">
        <f t="shared" si="311"/>
        <v>0</v>
      </c>
      <c r="AY525" s="32">
        <f t="shared" si="312"/>
        <v>0</v>
      </c>
    </row>
    <row r="526" spans="14:51" x14ac:dyDescent="0.3">
      <c r="N526" s="11">
        <v>8</v>
      </c>
      <c r="O526" s="52">
        <f t="shared" si="314"/>
        <v>1202264.4346174158</v>
      </c>
      <c r="P526" s="50" t="str">
        <f t="shared" si="279"/>
        <v>131.578947368421</v>
      </c>
      <c r="Q526" s="18" t="str">
        <f t="shared" si="280"/>
        <v>1+11331.0753463991i</v>
      </c>
      <c r="R526" s="18">
        <f t="shared" si="288"/>
        <v>11331.075390525539</v>
      </c>
      <c r="S526" s="18">
        <f t="shared" si="289"/>
        <v>1.5707080739180219</v>
      </c>
      <c r="T526" s="18" t="str">
        <f t="shared" si="281"/>
        <v>1+0.024928365762078i</v>
      </c>
      <c r="U526" s="18">
        <f t="shared" si="290"/>
        <v>1.0003106634538932</v>
      </c>
      <c r="V526" s="18">
        <f t="shared" si="291"/>
        <v>2.4923203996427893E-2</v>
      </c>
      <c r="W526" s="32" t="str">
        <f t="shared" si="282"/>
        <v>1-6.04324018474618i</v>
      </c>
      <c r="X526" s="18">
        <f t="shared" si="292"/>
        <v>6.1254185106432564</v>
      </c>
      <c r="Y526" s="18">
        <f t="shared" si="293"/>
        <v>-1.406808165052214</v>
      </c>
      <c r="Z526" s="32" t="str">
        <f t="shared" si="283"/>
        <v>0.074918546722602+2.55777490275441i</v>
      </c>
      <c r="AA526" s="18">
        <f t="shared" si="294"/>
        <v>2.5588718689694803</v>
      </c>
      <c r="AB526" s="18">
        <f t="shared" si="295"/>
        <v>1.5415141829285102</v>
      </c>
      <c r="AC526" s="68" t="str">
        <f t="shared" si="296"/>
        <v>-0.00602144275331483+0.0271461211677017i</v>
      </c>
      <c r="AD526" s="66">
        <f t="shared" si="297"/>
        <v>-31.117251923957102</v>
      </c>
      <c r="AE526" s="63">
        <f t="shared" si="298"/>
        <v>102.50662373491696</v>
      </c>
      <c r="AF526" s="32" t="str">
        <f t="shared" si="284"/>
        <v>-0.434440565864413</v>
      </c>
      <c r="AG526" s="32" t="str">
        <f t="shared" si="285"/>
        <v>197.160711027344i</v>
      </c>
      <c r="AH526" s="32">
        <f t="shared" si="299"/>
        <v>197.16071102734401</v>
      </c>
      <c r="AI526" s="32">
        <f t="shared" si="300"/>
        <v>1.5707963267948966</v>
      </c>
      <c r="AJ526" s="32" t="str">
        <f t="shared" si="286"/>
        <v>1+1.95208624779549i</v>
      </c>
      <c r="AK526" s="32">
        <f t="shared" si="301"/>
        <v>2.1933172864025567</v>
      </c>
      <c r="AL526" s="32">
        <f t="shared" si="302"/>
        <v>1.0973790313009006</v>
      </c>
      <c r="AM526" s="32" t="str">
        <f t="shared" si="287"/>
        <v>1+197.160711027344i</v>
      </c>
      <c r="AN526" s="32">
        <f t="shared" si="303"/>
        <v>197.16324701325004</v>
      </c>
      <c r="AO526" s="32">
        <f t="shared" si="304"/>
        <v>1.5657243658557958</v>
      </c>
      <c r="AP526" s="60" t="str">
        <f t="shared" si="305"/>
        <v>-0.0894141132675547+0.176747545343603i</v>
      </c>
      <c r="AQ526" s="51">
        <f t="shared" si="306"/>
        <v>-14.063310093915316</v>
      </c>
      <c r="AR526" s="63">
        <f t="shared" si="307"/>
        <v>116.83421102463802</v>
      </c>
      <c r="AS526" s="60" t="str">
        <f t="shared" si="308"/>
        <v>-0.00425960831761231-0.00349152157893907i</v>
      </c>
      <c r="AT526" s="66">
        <f t="shared" si="309"/>
        <v>-45.180562017872418</v>
      </c>
      <c r="AU526" s="63">
        <f t="shared" si="310"/>
        <v>-140.65916524044502</v>
      </c>
      <c r="AX526" s="32">
        <f t="shared" si="311"/>
        <v>0</v>
      </c>
      <c r="AY526" s="32">
        <f t="shared" si="312"/>
        <v>0</v>
      </c>
    </row>
    <row r="527" spans="14:51" x14ac:dyDescent="0.3">
      <c r="N527" s="11">
        <v>9</v>
      </c>
      <c r="O527" s="52">
        <f t="shared" si="314"/>
        <v>1230268.770812382</v>
      </c>
      <c r="P527" s="50" t="str">
        <f t="shared" si="279"/>
        <v>131.578947368421</v>
      </c>
      <c r="Q527" s="18" t="str">
        <f t="shared" si="280"/>
        <v>1+11595.0099969754i</v>
      </c>
      <c r="R527" s="18">
        <f t="shared" si="288"/>
        <v>11595.010040097395</v>
      </c>
      <c r="S527" s="18">
        <f t="shared" si="289"/>
        <v>1.5707100827987481</v>
      </c>
      <c r="T527" s="18" t="str">
        <f t="shared" si="281"/>
        <v>1+0.0255090219933458i</v>
      </c>
      <c r="U527" s="18">
        <f t="shared" si="290"/>
        <v>1.000325302190771</v>
      </c>
      <c r="V527" s="18">
        <f t="shared" si="291"/>
        <v>2.5503491158940472E-2</v>
      </c>
      <c r="W527" s="32" t="str">
        <f t="shared" si="282"/>
        <v>1-6.1840053317202i</v>
      </c>
      <c r="X527" s="18">
        <f t="shared" si="292"/>
        <v>6.2643373107411655</v>
      </c>
      <c r="Y527" s="18">
        <f t="shared" si="293"/>
        <v>-1.4104766370707007</v>
      </c>
      <c r="Z527" s="32" t="str">
        <f t="shared" si="283"/>
        <v>0.031320801000826+2.61735313382017i</v>
      </c>
      <c r="AA527" s="18">
        <f t="shared" si="294"/>
        <v>2.6175405287585516</v>
      </c>
      <c r="AB527" s="18">
        <f t="shared" si="295"/>
        <v>1.5588303044477321</v>
      </c>
      <c r="AC527" s="68" t="str">
        <f t="shared" si="296"/>
        <v>-0.00534062817680474+0.0266366649824808i</v>
      </c>
      <c r="AD527" s="66">
        <f t="shared" si="297"/>
        <v>-31.319234947291449</v>
      </c>
      <c r="AE527" s="63">
        <f t="shared" si="298"/>
        <v>101.33742799533921</v>
      </c>
      <c r="AF527" s="32" t="str">
        <f t="shared" si="284"/>
        <v>-0.434440565864413</v>
      </c>
      <c r="AG527" s="32" t="str">
        <f t="shared" si="285"/>
        <v>201.753173947372i</v>
      </c>
      <c r="AH527" s="32">
        <f t="shared" si="299"/>
        <v>201.75317394737201</v>
      </c>
      <c r="AI527" s="32">
        <f t="shared" si="300"/>
        <v>1.5707963267948966</v>
      </c>
      <c r="AJ527" s="32" t="str">
        <f t="shared" si="286"/>
        <v>1+1.99755617769675i</v>
      </c>
      <c r="AK527" s="32">
        <f t="shared" si="301"/>
        <v>2.2338824237310364</v>
      </c>
      <c r="AL527" s="32">
        <f t="shared" si="302"/>
        <v>1.1066594751235772</v>
      </c>
      <c r="AM527" s="32" t="str">
        <f t="shared" si="287"/>
        <v>1+201.753173947372i</v>
      </c>
      <c r="AN527" s="32">
        <f t="shared" si="303"/>
        <v>201.75565220790853</v>
      </c>
      <c r="AO527" s="32">
        <f t="shared" si="304"/>
        <v>1.5658398158690896</v>
      </c>
      <c r="AP527" s="60" t="str">
        <f t="shared" si="305"/>
        <v>-0.0861962505228113+0.174335179771083i</v>
      </c>
      <c r="AQ527" s="51">
        <f t="shared" si="306"/>
        <v>-14.222492114364126</v>
      </c>
      <c r="AR527" s="63">
        <f t="shared" si="307"/>
        <v>116.30909556009695</v>
      </c>
      <c r="AS527" s="60" t="str">
        <f t="shared" si="308"/>
        <v>-0.00418336565394586-0.00322704002121588i</v>
      </c>
      <c r="AT527" s="66">
        <f t="shared" si="309"/>
        <v>-45.541727061655564</v>
      </c>
      <c r="AU527" s="63">
        <f t="shared" si="310"/>
        <v>-142.3534764445638</v>
      </c>
      <c r="AX527" s="32">
        <f t="shared" si="311"/>
        <v>0</v>
      </c>
      <c r="AY527" s="32">
        <f t="shared" si="312"/>
        <v>0</v>
      </c>
    </row>
    <row r="528" spans="14:51" x14ac:dyDescent="0.3">
      <c r="N528" s="11">
        <v>10</v>
      </c>
      <c r="O528" s="52">
        <f t="shared" si="314"/>
        <v>1258925.4117941677</v>
      </c>
      <c r="P528" s="50" t="str">
        <f t="shared" si="279"/>
        <v>131.578947368421</v>
      </c>
      <c r="Q528" s="18" t="str">
        <f t="shared" si="280"/>
        <v>1+11865.0924753302i</v>
      </c>
      <c r="R528" s="18">
        <f t="shared" si="288"/>
        <v>11865.092517470623</v>
      </c>
      <c r="S528" s="18">
        <f t="shared" si="289"/>
        <v>1.5707120459517669</v>
      </c>
      <c r="T528" s="18" t="str">
        <f t="shared" si="281"/>
        <v>1+0.0261032034457264i</v>
      </c>
      <c r="U528" s="18">
        <f t="shared" si="290"/>
        <v>1.0003406306004616</v>
      </c>
      <c r="V528" s="18">
        <f t="shared" si="291"/>
        <v>2.6097277158872834E-2</v>
      </c>
      <c r="W528" s="32" t="str">
        <f t="shared" si="282"/>
        <v>1-6.3280493201761i</v>
      </c>
      <c r="X528" s="18">
        <f t="shared" si="292"/>
        <v>6.4065753877232412</v>
      </c>
      <c r="Y528" s="18">
        <f t="shared" si="293"/>
        <v>-1.4140658150520824</v>
      </c>
      <c r="Z528" s="32" t="str">
        <f t="shared" si="283"/>
        <v>-0.0143316431751099+2.67831912016225i</v>
      </c>
      <c r="AA528" s="18">
        <f t="shared" si="294"/>
        <v>2.6783574640855514</v>
      </c>
      <c r="AB528" s="18">
        <f t="shared" si="295"/>
        <v>1.5761472598795476</v>
      </c>
      <c r="AC528" s="68" t="str">
        <f t="shared" si="296"/>
        <v>-0.00468688214578548+0.0261178907271656i</v>
      </c>
      <c r="AD528" s="66">
        <f t="shared" si="297"/>
        <v>-31.52358821327795</v>
      </c>
      <c r="AE528" s="63">
        <f t="shared" si="298"/>
        <v>100.17350373617312</v>
      </c>
      <c r="AF528" s="32" t="str">
        <f t="shared" si="284"/>
        <v>-0.434440565864413</v>
      </c>
      <c r="AG528" s="32" t="str">
        <f t="shared" si="285"/>
        <v>206.452609070745i</v>
      </c>
      <c r="AH528" s="32">
        <f t="shared" si="299"/>
        <v>206.45260907074501</v>
      </c>
      <c r="AI528" s="32">
        <f t="shared" si="300"/>
        <v>1.5707963267948966</v>
      </c>
      <c r="AJ528" s="32" t="str">
        <f t="shared" si="286"/>
        <v>1+2.04408523832421i</v>
      </c>
      <c r="AK528" s="32">
        <f t="shared" si="301"/>
        <v>2.2755844219749224</v>
      </c>
      <c r="AL528" s="32">
        <f t="shared" si="302"/>
        <v>1.1158127622527183</v>
      </c>
      <c r="AM528" s="32" t="str">
        <f t="shared" si="287"/>
        <v>1+206.452609070745i</v>
      </c>
      <c r="AN528" s="32">
        <f t="shared" si="303"/>
        <v>206.45503091985401</v>
      </c>
      <c r="AO528" s="32">
        <f t="shared" si="304"/>
        <v>1.5659526380469144</v>
      </c>
      <c r="AP528" s="60" t="str">
        <f t="shared" si="305"/>
        <v>-0.083065960805807+0.171898215627579i</v>
      </c>
      <c r="AQ528" s="51">
        <f t="shared" si="306"/>
        <v>-14.383149735326748</v>
      </c>
      <c r="AR528" s="63">
        <f t="shared" si="307"/>
        <v>115.79111507355049</v>
      </c>
      <c r="AS528" s="60" t="str">
        <f t="shared" si="308"/>
        <v>-0.00410029844333261-0.00297517436519037i</v>
      </c>
      <c r="AT528" s="66">
        <f t="shared" si="309"/>
        <v>-45.906737948604686</v>
      </c>
      <c r="AU528" s="63">
        <f t="shared" si="310"/>
        <v>-144.03538119027641</v>
      </c>
      <c r="AX528" s="32">
        <f t="shared" si="311"/>
        <v>0</v>
      </c>
      <c r="AY528" s="32">
        <f t="shared" si="312"/>
        <v>0</v>
      </c>
    </row>
    <row r="529" spans="14:51" x14ac:dyDescent="0.3">
      <c r="N529" s="11">
        <v>11</v>
      </c>
      <c r="O529" s="52">
        <f t="shared" si="314"/>
        <v>1288249.5516931366</v>
      </c>
      <c r="P529" s="50" t="str">
        <f t="shared" si="279"/>
        <v>131.578947368421</v>
      </c>
      <c r="Q529" s="18" t="str">
        <f t="shared" si="280"/>
        <v>1+12141.4659827685i</v>
      </c>
      <c r="R529" s="18">
        <f t="shared" si="288"/>
        <v>12141.46602394969</v>
      </c>
      <c r="S529" s="18">
        <f t="shared" si="289"/>
        <v>1.570713964417968</v>
      </c>
      <c r="T529" s="18" t="str">
        <f t="shared" si="281"/>
        <v>1+0.0267112251620907i</v>
      </c>
      <c r="U529" s="18">
        <f t="shared" si="290"/>
        <v>1.0003566811641036</v>
      </c>
      <c r="V529" s="18">
        <f t="shared" si="291"/>
        <v>2.670487515359735E-2</v>
      </c>
      <c r="W529" s="32" t="str">
        <f t="shared" si="282"/>
        <v>1-6.4754485241432i</v>
      </c>
      <c r="X529" s="18">
        <f t="shared" si="292"/>
        <v>6.5522082986446897</v>
      </c>
      <c r="Y529" s="18">
        <f t="shared" si="293"/>
        <v>-1.417577231945347</v>
      </c>
      <c r="Z529" s="32" t="str">
        <f t="shared" si="283"/>
        <v>-0.0621356207600401+2.74070518675359i</v>
      </c>
      <c r="AA529" s="18">
        <f t="shared" si="294"/>
        <v>2.7414094469935106</v>
      </c>
      <c r="AB529" s="18">
        <f t="shared" si="295"/>
        <v>1.5934638426583332</v>
      </c>
      <c r="AC529" s="68" t="str">
        <f t="shared" si="296"/>
        <v>-0.00406000418659312+0.025590927728316i</v>
      </c>
      <c r="AD529" s="66">
        <f t="shared" si="297"/>
        <v>-31.730321074134675</v>
      </c>
      <c r="AE529" s="63">
        <f t="shared" si="298"/>
        <v>99.014850139986692</v>
      </c>
      <c r="AF529" s="32" t="str">
        <f t="shared" si="284"/>
        <v>-0.434440565864413</v>
      </c>
      <c r="AG529" s="32" t="str">
        <f t="shared" si="285"/>
        <v>211.261508100172i</v>
      </c>
      <c r="AH529" s="32">
        <f t="shared" si="299"/>
        <v>211.26150810017199</v>
      </c>
      <c r="AI529" s="32">
        <f t="shared" si="300"/>
        <v>1.5707963267948966</v>
      </c>
      <c r="AJ529" s="32" t="str">
        <f t="shared" si="286"/>
        <v>1+2.0916981000017i</v>
      </c>
      <c r="AK529" s="32">
        <f t="shared" si="301"/>
        <v>2.3184479596382404</v>
      </c>
      <c r="AL529" s="32">
        <f t="shared" si="302"/>
        <v>1.1248376098346036</v>
      </c>
      <c r="AM529" s="32" t="str">
        <f t="shared" si="287"/>
        <v>1+211.261508100172i</v>
      </c>
      <c r="AN529" s="32">
        <f t="shared" si="303"/>
        <v>211.26387482188963</v>
      </c>
      <c r="AO529" s="32">
        <f t="shared" si="304"/>
        <v>1.566062892197587</v>
      </c>
      <c r="AP529" s="60" t="str">
        <f t="shared" si="305"/>
        <v>-0.0800229012460116+0.169440161856108i</v>
      </c>
      <c r="AQ529" s="51">
        <f t="shared" si="306"/>
        <v>-14.5452423217987</v>
      </c>
      <c r="AR529" s="63">
        <f t="shared" si="307"/>
        <v>115.28034649386701</v>
      </c>
      <c r="AS529" s="60" t="str">
        <f t="shared" si="308"/>
        <v>-0.00401123762225169-0.00273578804890967i</v>
      </c>
      <c r="AT529" s="66">
        <f t="shared" si="309"/>
        <v>-46.275563395933368</v>
      </c>
      <c r="AU529" s="63">
        <f t="shared" si="310"/>
        <v>-145.70480336614625</v>
      </c>
      <c r="AX529" s="32">
        <f t="shared" si="311"/>
        <v>0</v>
      </c>
      <c r="AY529" s="32">
        <f t="shared" si="312"/>
        <v>0</v>
      </c>
    </row>
    <row r="530" spans="14:51" x14ac:dyDescent="0.3">
      <c r="N530" s="11">
        <v>12</v>
      </c>
      <c r="O530" s="52">
        <f t="shared" si="314"/>
        <v>1318256.7385564097</v>
      </c>
      <c r="P530" s="50" t="str">
        <f t="shared" si="279"/>
        <v>131.578947368421</v>
      </c>
      <c r="Q530" s="18" t="str">
        <f t="shared" si="280"/>
        <v>1+12424.2770561822i</v>
      </c>
      <c r="R530" s="18">
        <f t="shared" si="288"/>
        <v>12424.277096425989</v>
      </c>
      <c r="S530" s="18">
        <f t="shared" si="289"/>
        <v>1.5707158392145475</v>
      </c>
      <c r="T530" s="18" t="str">
        <f t="shared" si="281"/>
        <v>1+0.0273334095236008i</v>
      </c>
      <c r="U530" s="18">
        <f t="shared" si="290"/>
        <v>1.0003734878914898</v>
      </c>
      <c r="V530" s="18">
        <f t="shared" si="291"/>
        <v>2.7326605504104186E-2</v>
      </c>
      <c r="W530" s="32" t="str">
        <f t="shared" si="282"/>
        <v>1-6.6262810966305i</v>
      </c>
      <c r="X530" s="18">
        <f t="shared" si="292"/>
        <v>6.7013133915347289</v>
      </c>
      <c r="Y530" s="18">
        <f t="shared" si="293"/>
        <v>-1.4210124030050659</v>
      </c>
      <c r="Z530" s="32" t="str">
        <f t="shared" si="283"/>
        <v>-0.11219253039961+2.80454441151247i</v>
      </c>
      <c r="AA530" s="18">
        <f t="shared" si="294"/>
        <v>2.8067875801391335</v>
      </c>
      <c r="AB530" s="18">
        <f t="shared" si="295"/>
        <v>1.6107788422614306</v>
      </c>
      <c r="AC530" s="68" t="str">
        <f t="shared" si="296"/>
        <v>-0.00345975476152197+0.0250568741307775i</v>
      </c>
      <c r="AD530" s="66">
        <f t="shared" si="297"/>
        <v>-31.939443305952242</v>
      </c>
      <c r="AE530" s="63">
        <f t="shared" si="298"/>
        <v>97.861468043978888</v>
      </c>
      <c r="AF530" s="32" t="str">
        <f t="shared" si="284"/>
        <v>-0.434440565864413</v>
      </c>
      <c r="AG530" s="32" t="str">
        <f t="shared" si="285"/>
        <v>216.18242077757i</v>
      </c>
      <c r="AH530" s="32">
        <f t="shared" si="299"/>
        <v>216.18242077757</v>
      </c>
      <c r="AI530" s="32">
        <f t="shared" si="300"/>
        <v>1.5707963267948966</v>
      </c>
      <c r="AJ530" s="32" t="str">
        <f t="shared" si="286"/>
        <v>1+2.14042000769871i</v>
      </c>
      <c r="AK530" s="32">
        <f t="shared" si="301"/>
        <v>2.3624982136198418</v>
      </c>
      <c r="AL530" s="32">
        <f t="shared" si="302"/>
        <v>1.1337329215432437</v>
      </c>
      <c r="AM530" s="32" t="str">
        <f t="shared" si="287"/>
        <v>1+216.18242077757i</v>
      </c>
      <c r="AN530" s="32">
        <f t="shared" si="303"/>
        <v>216.18473362670713</v>
      </c>
      <c r="AO530" s="32">
        <f t="shared" si="304"/>
        <v>1.5661706367685895</v>
      </c>
      <c r="AP530" s="60" t="str">
        <f t="shared" si="305"/>
        <v>-0.0770665680561369+0.166964425917748i</v>
      </c>
      <c r="AQ530" s="51">
        <f t="shared" si="306"/>
        <v>-14.708729435559313</v>
      </c>
      <c r="AR530" s="63">
        <f t="shared" si="307"/>
        <v>114.77685598469239</v>
      </c>
      <c r="AS530" s="60" t="str">
        <f t="shared" si="308"/>
        <v>-0.00391697517875216-0.00250870326304733i</v>
      </c>
      <c r="AT530" s="66">
        <f t="shared" si="309"/>
        <v>-46.648172741511551</v>
      </c>
      <c r="AU530" s="63">
        <f t="shared" si="310"/>
        <v>-147.36167597132874</v>
      </c>
      <c r="AX530" s="32">
        <f t="shared" si="311"/>
        <v>0</v>
      </c>
      <c r="AY530" s="32">
        <f t="shared" si="312"/>
        <v>0</v>
      </c>
    </row>
    <row r="531" spans="14:51" x14ac:dyDescent="0.3">
      <c r="N531" s="11">
        <v>13</v>
      </c>
      <c r="O531" s="52">
        <f t="shared" si="314"/>
        <v>1348962.8825916562</v>
      </c>
      <c r="P531" s="50" t="str">
        <f t="shared" ref="P531:P560" si="315">COMPLEX(Adc,0)</f>
        <v>131.578947368421</v>
      </c>
      <c r="Q531" s="18" t="str">
        <f t="shared" ref="Q531:Q560" si="316">IMSUM(COMPLEX(1,0),IMDIV(COMPLEX(0,2*PI()*O531),COMPLEX(wp_lf,0)))</f>
        <v>1+12713.6756457458i</v>
      </c>
      <c r="R531" s="18">
        <f t="shared" si="288"/>
        <v>12713.675685073529</v>
      </c>
      <c r="S531" s="18">
        <f t="shared" si="289"/>
        <v>1.5707176713355471</v>
      </c>
      <c r="T531" s="18" t="str">
        <f t="shared" ref="T531:T560" si="317">IMSUM(COMPLEX(1,0),IMDIV(COMPLEX(0,2*PI()*O531),COMPLEX(wz_esr,0)))</f>
        <v>1+0.0279700864206407i</v>
      </c>
      <c r="U531" s="18">
        <f t="shared" si="290"/>
        <v>1.0003910863929057</v>
      </c>
      <c r="V531" s="18">
        <f t="shared" si="291"/>
        <v>2.7962795936321741E-2</v>
      </c>
      <c r="W531" s="32" t="str">
        <f t="shared" ref="W531:W560" si="318">IMSUB(COMPLEX(1,0),IMDIV(COMPLEX(0,2*PI()*O531),COMPLEX(wz_rhp,0)))</f>
        <v>1-6.78062701106441i</v>
      </c>
      <c r="X531" s="18">
        <f t="shared" si="292"/>
        <v>6.853969846970168</v>
      </c>
      <c r="Y531" s="18">
        <f t="shared" si="293"/>
        <v>-1.4243728251461028</v>
      </c>
      <c r="Z531" s="32" t="str">
        <f t="shared" ref="Z531:Z560" si="319">IMSUM(COMPLEX(1,0),IMDIV(COMPLEX(0,2*PI()*O531),COMPLEX(Q*(wsl/2),0)),IMDIV(IMPOWER(COMPLEX(0,2*PI()*O531),2),IMPOWER(COMPLEX(wsl/2,0),2)))</f>
        <v>-0.16460854951039+2.86987064284086i</v>
      </c>
      <c r="AA531" s="18">
        <f t="shared" si="294"/>
        <v>2.8745875323621171</v>
      </c>
      <c r="AB531" s="18">
        <f t="shared" si="295"/>
        <v>1.6280910314363868</v>
      </c>
      <c r="AC531" s="68" t="str">
        <f t="shared" si="296"/>
        <v>-0.00288585769166878+0.0245167959333578i</v>
      </c>
      <c r="AD531" s="66">
        <f t="shared" si="297"/>
        <v>-32.150965114463311</v>
      </c>
      <c r="AE531" s="63">
        <f t="shared" si="298"/>
        <v>96.713360717989943</v>
      </c>
      <c r="AF531" s="32" t="str">
        <f t="shared" ref="AF531:AF560" si="320">COMPLEX(Adc_ea,0)</f>
        <v>-0.434440565864413</v>
      </c>
      <c r="AG531" s="32" t="str">
        <f t="shared" ref="AG531:AG560" si="321">IMDIV(COMPLEX(0,2*PI()*O531),COMPLEX(wp0_ea,0))</f>
        <v>221.217956235976i</v>
      </c>
      <c r="AH531" s="32">
        <f t="shared" si="299"/>
        <v>221.217956235976</v>
      </c>
      <c r="AI531" s="32">
        <f t="shared" si="300"/>
        <v>1.5707963267948966</v>
      </c>
      <c r="AJ531" s="32" t="str">
        <f t="shared" ref="AJ531:AJ560" si="322">IMSUM(COMPLEX(1,0),IMDIV(COMPLEX(0,2*PI()*O531),COMPLEX(wp1_ea,0)))</f>
        <v>1+2.19027679441561i</v>
      </c>
      <c r="AK531" s="32">
        <f t="shared" si="301"/>
        <v>2.4077608760330662</v>
      </c>
      <c r="AL531" s="32">
        <f t="shared" si="302"/>
        <v>1.142497781940476</v>
      </c>
      <c r="AM531" s="32" t="str">
        <f t="shared" ref="AM531:AM560" si="323">IMSUM(COMPLEX(1,0),IMDIV(COMPLEX(0,2*PI()*O531),COMPLEX(wz_ea,0)))</f>
        <v>1+221.217956235976i</v>
      </c>
      <c r="AN531" s="32">
        <f t="shared" si="303"/>
        <v>221.22021643878347</v>
      </c>
      <c r="AO531" s="32">
        <f t="shared" si="304"/>
        <v>1.566275928877507</v>
      </c>
      <c r="AP531" s="60" t="str">
        <f t="shared" si="305"/>
        <v>-0.0741963071440785+0.164474307374677i</v>
      </c>
      <c r="AQ531" s="51">
        <f t="shared" si="306"/>
        <v>-14.8735709075505</v>
      </c>
      <c r="AR531" s="63">
        <f t="shared" si="307"/>
        <v>114.28069926936666</v>
      </c>
      <c r="AS531" s="60" t="str">
        <f t="shared" si="308"/>
        <v>-0.00381826304652016-0.00229370516627922i</v>
      </c>
      <c r="AT531" s="66">
        <f t="shared" si="309"/>
        <v>-47.024536022013812</v>
      </c>
      <c r="AU531" s="63">
        <f t="shared" si="310"/>
        <v>-149.00594001264332</v>
      </c>
      <c r="AX531" s="32">
        <f t="shared" si="311"/>
        <v>0</v>
      </c>
      <c r="AY531" s="32">
        <f t="shared" si="312"/>
        <v>0</v>
      </c>
    </row>
    <row r="532" spans="14:51" x14ac:dyDescent="0.3">
      <c r="N532" s="11">
        <v>14</v>
      </c>
      <c r="O532" s="52">
        <f t="shared" si="314"/>
        <v>1380384.2646028849</v>
      </c>
      <c r="P532" s="50" t="str">
        <f t="shared" si="315"/>
        <v>131.578947368421</v>
      </c>
      <c r="Q532" s="18" t="str">
        <f t="shared" si="316"/>
        <v>1+13009.8151944221i</v>
      </c>
      <c r="R532" s="18">
        <f t="shared" ref="R532:R560" si="324">IMABS(Q532)</f>
        <v>13009.815232854622</v>
      </c>
      <c r="S532" s="18">
        <f t="shared" ref="S532:S560" si="325">IMARGUMENT(Q532)</f>
        <v>1.5707194617523816</v>
      </c>
      <c r="T532" s="18" t="str">
        <f t="shared" si="317"/>
        <v>1+0.0286215934277286i</v>
      </c>
      <c r="U532" s="18">
        <f t="shared" ref="U532:U560" si="326">IMABS(T532)</f>
        <v>1.0004095139543316</v>
      </c>
      <c r="V532" s="18">
        <f t="shared" ref="V532:V560" si="327">IMARGUMENT(T532)</f>
        <v>2.8613781705733966E-2</v>
      </c>
      <c r="W532" s="32" t="str">
        <f t="shared" si="318"/>
        <v>1-6.93856810369179i</v>
      </c>
      <c r="X532" s="18">
        <f t="shared" ref="X532:X560" si="328">IMABS(W532)</f>
        <v>7.0102587205872151</v>
      </c>
      <c r="Y532" s="18">
        <f t="shared" ref="Y532:Y560" si="329">IMARGUMENT(W532)</f>
        <v>-1.4276599763726647</v>
      </c>
      <c r="Z532" s="32" t="str">
        <f t="shared" si="319"/>
        <v>-0.21949485949648+2.93671851757131i</v>
      </c>
      <c r="AA532" s="18">
        <f t="shared" ref="AA532:AA560" si="330">IMABS(Z532)</f>
        <v>2.9449097855098407</v>
      </c>
      <c r="AB532" s="18">
        <f t="shared" ref="AB532:AB560" si="331">IMARGUMENT(Z532)</f>
        <v>1.6453991535512316</v>
      </c>
      <c r="AC532" s="68" t="str">
        <f t="shared" ref="AC532:AC560" si="332">(IMDIV(IMPRODUCT(P532,T532,W532),IMPRODUCT(Q532,Z532)))</f>
        <v>-0.00233800252725024+0.0239717262070271i</v>
      </c>
      <c r="AD532" s="66">
        <f t="shared" ref="AD532:AD560" si="333">20*LOG(IMABS(AC532))</f>
        <v>-32.3648971306229</v>
      </c>
      <c r="AE532" s="63">
        <f t="shared" ref="AE532:AE560" si="334">(180/PI())*IMARGUMENT(AC532)</f>
        <v>95.57053463139124</v>
      </c>
      <c r="AF532" s="32" t="str">
        <f t="shared" si="320"/>
        <v>-0.434440565864413</v>
      </c>
      <c r="AG532" s="32" t="str">
        <f t="shared" si="321"/>
        <v>226.370784382945i</v>
      </c>
      <c r="AH532" s="32">
        <f t="shared" ref="AH532:AH560" si="335">IMABS(AG532)</f>
        <v>226.370784382945</v>
      </c>
      <c r="AI532" s="32">
        <f t="shared" ref="AI532:AI560" si="336">IMARGUMENT(AG532)</f>
        <v>1.5707963267948966</v>
      </c>
      <c r="AJ532" s="32" t="str">
        <f t="shared" si="322"/>
        <v>1+2.24129489488064i</v>
      </c>
      <c r="AK532" s="32">
        <f t="shared" ref="AK532:AK560" si="337">IMABS(AJ532)</f>
        <v>2.4542621713700474</v>
      </c>
      <c r="AL532" s="32">
        <f t="shared" ref="AL532:AL560" si="338">IMARGUMENT(AJ532)</f>
        <v>1.1511314505193759</v>
      </c>
      <c r="AM532" s="32" t="str">
        <f t="shared" si="323"/>
        <v>1+226.370784382945i</v>
      </c>
      <c r="AN532" s="32">
        <f t="shared" ref="AN532:AN560" si="339">IMABS(AM532)</f>
        <v>226.37299313776319</v>
      </c>
      <c r="AO532" s="32">
        <f t="shared" ref="AO532:AO560" si="340">IMARGUMENT(AM532)</f>
        <v>1.5663788243422661</v>
      </c>
      <c r="AP532" s="60" t="str">
        <f t="shared" ref="AP532:AP560" si="341">IMPRODUCT(AF532,IMDIV(AM532,IMPRODUCT(AG532,AJ532)))</f>
        <v>-0.0714113247926417+0.161972992443328i</v>
      </c>
      <c r="AQ532" s="51">
        <f t="shared" ref="AQ532:AQ560" si="342">20*LOG(IMABS(AP532))</f>
        <v>-15.039726905301105</v>
      </c>
      <c r="AR532" s="63">
        <f t="shared" ref="AR532:AR560" si="343">(180/PI())*IMARGUMENT(AP532)</f>
        <v>113.79192197394268</v>
      </c>
      <c r="AS532" s="60" t="str">
        <f t="shared" ref="AS532:AS560" si="344">IMPRODUCT(AC532,AP532)</f>
        <v>-0.00371581236994484-0.00209054599168908i</v>
      </c>
      <c r="AT532" s="66">
        <f t="shared" ref="AT532:AT560" si="345">20*LOG(IMABS(AS532))</f>
        <v>-47.404624035924002</v>
      </c>
      <c r="AU532" s="63">
        <f t="shared" ref="AU532:AU560" si="346">(180/PI())*IMARGUMENT(AS532)</f>
        <v>-150.63754339466601</v>
      </c>
      <c r="AX532" s="32">
        <f t="shared" ref="AX532:AX560" si="347">SUM((AT533&lt;0)*(AT532&gt;0))*O532</f>
        <v>0</v>
      </c>
      <c r="AY532" s="32">
        <f t="shared" ref="AY532:AY560" si="348">IF(AX532&gt;0,AU532,0)</f>
        <v>0</v>
      </c>
    </row>
    <row r="533" spans="14:51" x14ac:dyDescent="0.3">
      <c r="N533" s="11">
        <v>15</v>
      </c>
      <c r="O533" s="52">
        <f t="shared" si="314"/>
        <v>1412537.5446227565</v>
      </c>
      <c r="P533" s="50" t="str">
        <f t="shared" si="315"/>
        <v>131.578947368421</v>
      </c>
      <c r="Q533" s="18" t="str">
        <f t="shared" si="316"/>
        <v>1+13312.8527193198i</v>
      </c>
      <c r="R533" s="18">
        <f t="shared" si="324"/>
        <v>13312.852756877492</v>
      </c>
      <c r="S533" s="18">
        <f t="shared" si="325"/>
        <v>1.5707212114143541</v>
      </c>
      <c r="T533" s="18" t="str">
        <f t="shared" si="317"/>
        <v>1+0.0292882759825037i</v>
      </c>
      <c r="U533" s="18">
        <f t="shared" si="326"/>
        <v>1.0004288096161702</v>
      </c>
      <c r="V533" s="18">
        <f t="shared" si="327"/>
        <v>2.9279905765338829E-2</v>
      </c>
      <c r="W533" s="32" t="str">
        <f t="shared" si="318"/>
        <v>1-7.10018811697058i</v>
      </c>
      <c r="X533" s="18">
        <f t="shared" si="328"/>
        <v>7.1702629865556693</v>
      </c>
      <c r="Y533" s="18">
        <f t="shared" si="329"/>
        <v>-1.4308753152770604</v>
      </c>
      <c r="Z533" s="32" t="str">
        <f t="shared" si="319"/>
        <v>-0.27696788158009+3.00512347933185i</v>
      </c>
      <c r="AA533" s="18">
        <f t="shared" si="330"/>
        <v>3.0178598929470741</v>
      </c>
      <c r="AB533" s="18">
        <f t="shared" si="331"/>
        <v>1.6627019101610649</v>
      </c>
      <c r="AC533" s="68" t="str">
        <f t="shared" si="332"/>
        <v>-0.00181584685399245+0.0234226644801614i</v>
      </c>
      <c r="AD533" s="66">
        <f t="shared" si="333"/>
        <v>-32.581250396105162</v>
      </c>
      <c r="AE533" s="63">
        <f t="shared" si="334"/>
        <v>94.433000203780495</v>
      </c>
      <c r="AF533" s="32" t="str">
        <f t="shared" si="320"/>
        <v>-0.434440565864413</v>
      </c>
      <c r="AG533" s="32" t="str">
        <f t="shared" si="321"/>
        <v>231.643637316165i</v>
      </c>
      <c r="AH533" s="32">
        <f t="shared" si="335"/>
        <v>231.64363731616501</v>
      </c>
      <c r="AI533" s="32">
        <f t="shared" si="336"/>
        <v>1.5707963267948966</v>
      </c>
      <c r="AJ533" s="32" t="str">
        <f t="shared" si="322"/>
        <v>1+2.293501359566i</v>
      </c>
      <c r="AK533" s="32">
        <f t="shared" si="337"/>
        <v>2.5020288740002763</v>
      </c>
      <c r="AL533" s="32">
        <f t="shared" si="338"/>
        <v>1.1596333554819775</v>
      </c>
      <c r="AM533" s="32" t="str">
        <f t="shared" si="323"/>
        <v>1+231.643637316165i</v>
      </c>
      <c r="AN533" s="32">
        <f t="shared" si="339"/>
        <v>231.64579579405924</v>
      </c>
      <c r="AO533" s="32">
        <f t="shared" si="340"/>
        <v>1.5664793777106836</v>
      </c>
      <c r="AP533" s="60" t="str">
        <f t="shared" si="341"/>
        <v>-0.0687106983264665+0.159463549481895i</v>
      </c>
      <c r="AQ533" s="51">
        <f t="shared" si="342"/>
        <v>-15.207157995384911</v>
      </c>
      <c r="AR533" s="63">
        <f t="shared" si="343"/>
        <v>113.31055998539054</v>
      </c>
      <c r="AS533" s="60" t="str">
        <f t="shared" si="344"/>
        <v>-0.0036102931109383-0.00189894901775158i</v>
      </c>
      <c r="AT533" s="66">
        <f t="shared" si="345"/>
        <v>-47.78840839149008</v>
      </c>
      <c r="AU533" s="63">
        <f t="shared" si="346"/>
        <v>-152.25643981082894</v>
      </c>
      <c r="AX533" s="32">
        <f t="shared" si="347"/>
        <v>0</v>
      </c>
      <c r="AY533" s="32">
        <f t="shared" si="348"/>
        <v>0</v>
      </c>
    </row>
    <row r="534" spans="14:51" x14ac:dyDescent="0.3">
      <c r="N534" s="11">
        <v>16</v>
      </c>
      <c r="O534" s="52">
        <f t="shared" si="314"/>
        <v>1445439.7707459298</v>
      </c>
      <c r="P534" s="50" t="str">
        <f t="shared" si="315"/>
        <v>131.578947368421</v>
      </c>
      <c r="Q534" s="18" t="str">
        <f t="shared" si="316"/>
        <v>1+13622.9488949458i</v>
      </c>
      <c r="R534" s="18">
        <f t="shared" si="324"/>
        <v>13622.948931648572</v>
      </c>
      <c r="S534" s="18">
        <f t="shared" si="325"/>
        <v>1.570722921249158</v>
      </c>
      <c r="T534" s="18" t="str">
        <f t="shared" si="317"/>
        <v>1+0.0299704875688807i</v>
      </c>
      <c r="U534" s="18">
        <f t="shared" si="326"/>
        <v>1.0004490142556572</v>
      </c>
      <c r="V534" s="18">
        <f t="shared" si="327"/>
        <v>2.9961518936989017E-2</v>
      </c>
      <c r="W534" s="32" t="str">
        <f t="shared" si="318"/>
        <v>1-7.26557274397109i</v>
      </c>
      <c r="X534" s="18">
        <f t="shared" si="328"/>
        <v>7.3340675820403778</v>
      </c>
      <c r="Y534" s="18">
        <f t="shared" si="329"/>
        <v>-1.434020280603729</v>
      </c>
      <c r="Z534" s="32" t="str">
        <f t="shared" si="319"/>
        <v>-0.33714952374659+3.07512179733864i</v>
      </c>
      <c r="AA534" s="18">
        <f t="shared" si="330"/>
        <v>3.0935487501944725</v>
      </c>
      <c r="AB534" s="18">
        <f t="shared" si="331"/>
        <v>1.6799979488833472</v>
      </c>
      <c r="AC534" s="68" t="str">
        <f t="shared" si="332"/>
        <v>-0.00131901852645542+0.0228705762750673i</v>
      </c>
      <c r="AD534" s="66">
        <f t="shared" si="333"/>
        <v>-32.800036338886677</v>
      </c>
      <c r="AE534" s="63">
        <f t="shared" si="334"/>
        <v>93.300772534443922</v>
      </c>
      <c r="AF534" s="32" t="str">
        <f t="shared" si="320"/>
        <v>-0.434440565864413</v>
      </c>
      <c r="AG534" s="32" t="str">
        <f t="shared" si="321"/>
        <v>237.039310772057i</v>
      </c>
      <c r="AH534" s="32">
        <f t="shared" si="335"/>
        <v>237.03931077205701</v>
      </c>
      <c r="AI534" s="32">
        <f t="shared" si="336"/>
        <v>1.5707963267948966</v>
      </c>
      <c r="AJ534" s="32" t="str">
        <f t="shared" si="322"/>
        <v>1+2.34692386903027i</v>
      </c>
      <c r="AK534" s="32">
        <f t="shared" si="337"/>
        <v>2.5510883259942241</v>
      </c>
      <c r="AL534" s="32">
        <f t="shared" si="338"/>
        <v>1.1680030873001919</v>
      </c>
      <c r="AM534" s="32" t="str">
        <f t="shared" si="323"/>
        <v>1+237.039310772057i</v>
      </c>
      <c r="AN534" s="32">
        <f t="shared" si="339"/>
        <v>237.04142011743815</v>
      </c>
      <c r="AO534" s="32">
        <f t="shared" si="340"/>
        <v>1.566577642289348</v>
      </c>
      <c r="AP534" s="60" t="str">
        <f t="shared" si="341"/>
        <v>-0.0660933866927551+0.156948925370918i</v>
      </c>
      <c r="AQ534" s="51">
        <f t="shared" si="342"/>
        <v>-15.375825200934933</v>
      </c>
      <c r="AR534" s="63">
        <f t="shared" si="343"/>
        <v>112.83663982218351</v>
      </c>
      <c r="AS534" s="60" t="str">
        <f t="shared" si="344"/>
        <v>-0.0035023339674615-0.00171861238190568i</v>
      </c>
      <c r="AT534" s="66">
        <f t="shared" si="345"/>
        <v>-48.175861539821618</v>
      </c>
      <c r="AU534" s="63">
        <f t="shared" si="346"/>
        <v>-153.86258764337259</v>
      </c>
      <c r="AX534" s="32">
        <f t="shared" si="347"/>
        <v>0</v>
      </c>
      <c r="AY534" s="32">
        <f t="shared" si="348"/>
        <v>0</v>
      </c>
    </row>
    <row r="535" spans="14:51" x14ac:dyDescent="0.3">
      <c r="N535" s="11">
        <v>17</v>
      </c>
      <c r="O535" s="52">
        <f t="shared" si="314"/>
        <v>1479108.3881682095</v>
      </c>
      <c r="P535" s="50" t="str">
        <f t="shared" si="315"/>
        <v>131.578947368421</v>
      </c>
      <c r="Q535" s="18" t="str">
        <f t="shared" si="316"/>
        <v>1+13940.2681383968i</v>
      </c>
      <c r="R535" s="18">
        <f t="shared" si="324"/>
        <v>13940.268174264113</v>
      </c>
      <c r="S535" s="18">
        <f t="shared" si="325"/>
        <v>1.5707245921633703</v>
      </c>
      <c r="T535" s="18" t="str">
        <f t="shared" si="317"/>
        <v>1+0.0306685899044731i</v>
      </c>
      <c r="U535" s="18">
        <f t="shared" si="326"/>
        <v>1.0004701706731334</v>
      </c>
      <c r="V535" s="18">
        <f t="shared" si="327"/>
        <v>3.0658980086160224E-2</v>
      </c>
      <c r="W535" s="32" t="str">
        <f t="shared" si="318"/>
        <v>1-7.43480967381166i</v>
      </c>
      <c r="X535" s="18">
        <f t="shared" si="328"/>
        <v>7.5017594526753149</v>
      </c>
      <c r="Y535" s="18">
        <f t="shared" si="329"/>
        <v>-1.4370962908743092</v>
      </c>
      <c r="Z535" s="32" t="str">
        <f t="shared" si="319"/>
        <v>-0.40016743932772+3.14675058562642i</v>
      </c>
      <c r="AA535" s="18">
        <f t="shared" si="330"/>
        <v>3.1720928781544724</v>
      </c>
      <c r="AB535" s="18">
        <f t="shared" si="331"/>
        <v>1.697285851672631</v>
      </c>
      <c r="AC535" s="68" t="str">
        <f t="shared" si="332"/>
        <v>-0.000847117821349029+0.022316392780014i</v>
      </c>
      <c r="AD535" s="66">
        <f t="shared" si="333"/>
        <v>-33.021266739150214</v>
      </c>
      <c r="AE535" s="63">
        <f t="shared" si="334"/>
        <v>92.173872105631929</v>
      </c>
      <c r="AF535" s="32" t="str">
        <f t="shared" si="320"/>
        <v>-0.434440565864413</v>
      </c>
      <c r="AG535" s="32" t="str">
        <f t="shared" si="321"/>
        <v>242.560665608105i</v>
      </c>
      <c r="AH535" s="32">
        <f t="shared" si="335"/>
        <v>242.56066560810501</v>
      </c>
      <c r="AI535" s="32">
        <f t="shared" si="336"/>
        <v>1.5707963267948966</v>
      </c>
      <c r="AJ535" s="32" t="str">
        <f t="shared" si="322"/>
        <v>1+2.4015907485951i</v>
      </c>
      <c r="AK535" s="32">
        <f t="shared" si="337"/>
        <v>2.6014684552647513</v>
      </c>
      <c r="AL535" s="32">
        <f t="shared" si="338"/>
        <v>1.1762403921065592</v>
      </c>
      <c r="AM535" s="32" t="str">
        <f t="shared" si="323"/>
        <v>1+242.560665608105i</v>
      </c>
      <c r="AN535" s="32">
        <f t="shared" si="339"/>
        <v>242.5627269393361</v>
      </c>
      <c r="AO535" s="32">
        <f t="shared" si="340"/>
        <v>1.5666736701718451</v>
      </c>
      <c r="AP535" s="60" t="str">
        <f t="shared" si="341"/>
        <v>-0.063558240889752+0.154431942741128i</v>
      </c>
      <c r="AQ535" s="51">
        <f t="shared" si="342"/>
        <v>-15.545690054270828</v>
      </c>
      <c r="AR535" s="63">
        <f t="shared" si="343"/>
        <v>112.37017901459859</v>
      </c>
      <c r="AS535" s="60" t="str">
        <f t="shared" si="344"/>
        <v>-0.00339252257344034-0.00154921271898401i</v>
      </c>
      <c r="AT535" s="66">
        <f t="shared" si="345"/>
        <v>-48.566956793421042</v>
      </c>
      <c r="AU535" s="63">
        <f t="shared" si="346"/>
        <v>-155.45594887976952</v>
      </c>
      <c r="AX535" s="32">
        <f t="shared" si="347"/>
        <v>0</v>
      </c>
      <c r="AY535" s="32">
        <f t="shared" si="348"/>
        <v>0</v>
      </c>
    </row>
    <row r="536" spans="14:51" x14ac:dyDescent="0.3">
      <c r="N536" s="11">
        <v>18</v>
      </c>
      <c r="O536" s="52">
        <f t="shared" si="314"/>
        <v>1513561.2484362102</v>
      </c>
      <c r="P536" s="50" t="str">
        <f t="shared" si="315"/>
        <v>131.578947368421</v>
      </c>
      <c r="Q536" s="18" t="str">
        <f t="shared" si="316"/>
        <v>1+14264.9786965362i</v>
      </c>
      <c r="R536" s="18">
        <f t="shared" si="324"/>
        <v>14264.978731587076</v>
      </c>
      <c r="S536" s="18">
        <f t="shared" si="325"/>
        <v>1.5707262250429321</v>
      </c>
      <c r="T536" s="18" t="str">
        <f t="shared" si="317"/>
        <v>1+0.0313829531323796i</v>
      </c>
      <c r="U536" s="18">
        <f t="shared" si="326"/>
        <v>1.0004923236823504</v>
      </c>
      <c r="V536" s="18">
        <f t="shared" si="327"/>
        <v>3.1372656300181608E-2</v>
      </c>
      <c r="W536" s="32" t="str">
        <f t="shared" si="318"/>
        <v>1-7.60798863815263i</v>
      </c>
      <c r="X536" s="18">
        <f t="shared" si="328"/>
        <v>7.673427599075886</v>
      </c>
      <c r="Y536" s="18">
        <f t="shared" si="329"/>
        <v>-1.4401047440697061</v>
      </c>
      <c r="Z536" s="32" t="str">
        <f t="shared" si="319"/>
        <v>-0.46615529777138+3.22004782272688i</v>
      </c>
      <c r="AA536" s="18">
        <f t="shared" si="330"/>
        <v>3.2536147193987865</v>
      </c>
      <c r="AB536" s="18">
        <f t="shared" si="331"/>
        <v>1.7145641235834863</v>
      </c>
      <c r="AC536" s="68" t="str">
        <f t="shared" si="332"/>
        <v>-0.000399719505977963+0.0217610106412307i</v>
      </c>
      <c r="AD536" s="66">
        <f t="shared" si="333"/>
        <v>-33.24495368580763</v>
      </c>
      <c r="AE536" s="63">
        <f t="shared" si="334"/>
        <v>91.052325454796573</v>
      </c>
      <c r="AF536" s="32" t="str">
        <f t="shared" si="320"/>
        <v>-0.434440565864413</v>
      </c>
      <c r="AG536" s="32" t="str">
        <f t="shared" si="321"/>
        <v>248.21062931973i</v>
      </c>
      <c r="AH536" s="32">
        <f t="shared" si="335"/>
        <v>248.21062931973</v>
      </c>
      <c r="AI536" s="32">
        <f t="shared" si="336"/>
        <v>1.5707963267948966</v>
      </c>
      <c r="AJ536" s="32" t="str">
        <f t="shared" si="322"/>
        <v>1+2.45753098336366i</v>
      </c>
      <c r="AK536" s="32">
        <f t="shared" si="337"/>
        <v>2.6531977940199551</v>
      </c>
      <c r="AL536" s="32">
        <f t="shared" si="338"/>
        <v>1.1843451649588237</v>
      </c>
      <c r="AM536" s="32" t="str">
        <f t="shared" si="323"/>
        <v>1+248.21062931973i</v>
      </c>
      <c r="AN536" s="32">
        <f t="shared" si="339"/>
        <v>248.21264372971902</v>
      </c>
      <c r="AO536" s="32">
        <f t="shared" si="340"/>
        <v>1.5667675122663407</v>
      </c>
      <c r="AP536" s="60" t="str">
        <f t="shared" si="341"/>
        <v>-0.061104014184314+0.151915297999258i</v>
      </c>
      <c r="AQ536" s="51">
        <f t="shared" si="342"/>
        <v>-15.716714644723108</v>
      </c>
      <c r="AR536" s="63">
        <f t="shared" si="343"/>
        <v>111.91118649220677</v>
      </c>
      <c r="AS536" s="60" t="str">
        <f t="shared" si="344"/>
        <v>-0.00328140594996456-0.00139040861075353i</v>
      </c>
      <c r="AT536" s="66">
        <f t="shared" si="345"/>
        <v>-48.961668330530735</v>
      </c>
      <c r="AU536" s="63">
        <f t="shared" si="346"/>
        <v>-157.03648805299656</v>
      </c>
      <c r="AX536" s="32">
        <f t="shared" si="347"/>
        <v>0</v>
      </c>
      <c r="AY536" s="32">
        <f t="shared" si="348"/>
        <v>0</v>
      </c>
    </row>
    <row r="537" spans="14:51" x14ac:dyDescent="0.3">
      <c r="N537" s="11">
        <v>19</v>
      </c>
      <c r="O537" s="52">
        <f t="shared" si="314"/>
        <v>1548816.6189124861</v>
      </c>
      <c r="P537" s="50" t="str">
        <f t="shared" si="315"/>
        <v>131.578947368421</v>
      </c>
      <c r="Q537" s="18" t="str">
        <f t="shared" si="316"/>
        <v>1+14597.2527351997i</v>
      </c>
      <c r="R537" s="18">
        <f t="shared" si="324"/>
        <v>14597.252769452718</v>
      </c>
      <c r="S537" s="18">
        <f t="shared" si="325"/>
        <v>1.5707278207536177</v>
      </c>
      <c r="T537" s="18" t="str">
        <f t="shared" si="317"/>
        <v>1+0.0321139560174395i</v>
      </c>
      <c r="U537" s="18">
        <f t="shared" si="326"/>
        <v>1.0005155202050042</v>
      </c>
      <c r="V537" s="18">
        <f t="shared" si="327"/>
        <v>3.2102923069970389E-2</v>
      </c>
      <c r="W537" s="32" t="str">
        <f t="shared" si="318"/>
        <v>1-7.7852014587732i</v>
      </c>
      <c r="X537" s="18">
        <f t="shared" si="328"/>
        <v>7.8491631244155178</v>
      </c>
      <c r="Y537" s="18">
        <f t="shared" si="329"/>
        <v>-1.4430470173653076</v>
      </c>
      <c r="Z537" s="32" t="str">
        <f t="shared" si="319"/>
        <v>-0.53525306817248+3.29505237180532i</v>
      </c>
      <c r="AA537" s="18">
        <f t="shared" si="330"/>
        <v>3.3382429480084159</v>
      </c>
      <c r="AB537" s="18">
        <f t="shared" si="331"/>
        <v>1.7318311821079315</v>
      </c>
      <c r="AC537" s="68" t="str">
        <f t="shared" si="332"/>
        <v>0.0000236251810952955+0.0212052918597967i</v>
      </c>
      <c r="AD537" s="66">
        <f t="shared" si="333"/>
        <v>-33.471109524000269</v>
      </c>
      <c r="AE537" s="63">
        <f t="shared" si="334"/>
        <v>89.936165811068392</v>
      </c>
      <c r="AF537" s="32" t="str">
        <f t="shared" si="320"/>
        <v>-0.434440565864413</v>
      </c>
      <c r="AG537" s="32" t="str">
        <f t="shared" si="321"/>
        <v>253.992197592476i</v>
      </c>
      <c r="AH537" s="32">
        <f t="shared" si="335"/>
        <v>253.992197592476</v>
      </c>
      <c r="AI537" s="32">
        <f t="shared" si="336"/>
        <v>1.5707963267948966</v>
      </c>
      <c r="AJ537" s="32" t="str">
        <f t="shared" si="322"/>
        <v>1+2.51477423358887i</v>
      </c>
      <c r="AK537" s="32">
        <f t="shared" si="337"/>
        <v>2.7063054975228664</v>
      </c>
      <c r="AL537" s="32">
        <f t="shared" si="338"/>
        <v>1.1923174430196581</v>
      </c>
      <c r="AM537" s="32" t="str">
        <f t="shared" si="323"/>
        <v>1+253.992197592476i</v>
      </c>
      <c r="AN537" s="32">
        <f t="shared" si="339"/>
        <v>253.99416614925508</v>
      </c>
      <c r="AO537" s="32">
        <f t="shared" si="340"/>
        <v>1.5668592183225407</v>
      </c>
      <c r="AP537" s="60" t="str">
        <f t="shared" si="341"/>
        <v>-0.0587293720672199+0.149401560099894i</v>
      </c>
      <c r="AQ537" s="51">
        <f t="shared" si="342"/>
        <v>-15.888861661764981</v>
      </c>
      <c r="AR537" s="63">
        <f t="shared" si="343"/>
        <v>111.45966297619236</v>
      </c>
      <c r="AS537" s="60" t="str">
        <f t="shared" si="344"/>
        <v>-0.00316949117827791-0.00124184383651471i</v>
      </c>
      <c r="AT537" s="66">
        <f t="shared" si="345"/>
        <v>-49.359971185765247</v>
      </c>
      <c r="AU537" s="63">
        <f t="shared" si="346"/>
        <v>-158.60417121273926</v>
      </c>
      <c r="AX537" s="32">
        <f t="shared" si="347"/>
        <v>0</v>
      </c>
      <c r="AY537" s="32">
        <f t="shared" si="348"/>
        <v>0</v>
      </c>
    </row>
    <row r="538" spans="14:51" x14ac:dyDescent="0.3">
      <c r="N538" s="11">
        <v>20</v>
      </c>
      <c r="O538" s="52">
        <f t="shared" si="314"/>
        <v>1584893.1924611153</v>
      </c>
      <c r="P538" s="50" t="str">
        <f t="shared" si="315"/>
        <v>131.578947368421</v>
      </c>
      <c r="Q538" s="18" t="str">
        <f t="shared" si="316"/>
        <v>1+14937.2664304809i</v>
      </c>
      <c r="R538" s="18">
        <f t="shared" si="324"/>
        <v>14937.266463954227</v>
      </c>
      <c r="S538" s="18">
        <f t="shared" si="325"/>
        <v>1.5707293801414939</v>
      </c>
      <c r="T538" s="18" t="str">
        <f t="shared" si="317"/>
        <v>1+0.0328619861470581i</v>
      </c>
      <c r="U538" s="18">
        <f t="shared" si="326"/>
        <v>1.0005398093696869</v>
      </c>
      <c r="V538" s="18">
        <f t="shared" si="327"/>
        <v>3.2850164475303097E-2</v>
      </c>
      <c r="W538" s="32" t="str">
        <f t="shared" si="318"/>
        <v>1-7.9665420962565i</v>
      </c>
      <c r="X538" s="18">
        <f t="shared" si="328"/>
        <v>8.0290592830933143</v>
      </c>
      <c r="Y538" s="18">
        <f t="shared" si="329"/>
        <v>-1.4459244669156981</v>
      </c>
      <c r="Z538" s="32" t="str">
        <f t="shared" si="319"/>
        <v>-0.60760731616613+3.37180400126646i</v>
      </c>
      <c r="AA538" s="18">
        <f t="shared" si="330"/>
        <v>3.4261127934752986</v>
      </c>
      <c r="AB538" s="18">
        <f t="shared" si="331"/>
        <v>1.7490853471705408</v>
      </c>
      <c r="AC538" s="68" t="str">
        <f t="shared" si="332"/>
        <v>0.000423386638275411+0.0206500637789975i</v>
      </c>
      <c r="AD538" s="66">
        <f t="shared" si="333"/>
        <v>-33.699746794002664</v>
      </c>
      <c r="AE538" s="63">
        <f t="shared" si="334"/>
        <v>88.825433691418638</v>
      </c>
      <c r="AF538" s="32" t="str">
        <f t="shared" si="320"/>
        <v>-0.434440565864413</v>
      </c>
      <c r="AG538" s="32" t="str">
        <f t="shared" si="321"/>
        <v>259.908435890369i</v>
      </c>
      <c r="AH538" s="32">
        <f t="shared" si="335"/>
        <v>259.90843589036899</v>
      </c>
      <c r="AI538" s="32">
        <f t="shared" si="336"/>
        <v>1.5707963267948966</v>
      </c>
      <c r="AJ538" s="32" t="str">
        <f t="shared" si="322"/>
        <v>1+2.57335085039969i</v>
      </c>
      <c r="AK538" s="32">
        <f t="shared" si="337"/>
        <v>2.760821363154959</v>
      </c>
      <c r="AL538" s="32">
        <f t="shared" si="338"/>
        <v>1.2001573986900556</v>
      </c>
      <c r="AM538" s="32" t="str">
        <f t="shared" si="323"/>
        <v>1+259.908435890369i</v>
      </c>
      <c r="AN538" s="32">
        <f t="shared" si="339"/>
        <v>259.91035963766058</v>
      </c>
      <c r="AO538" s="32">
        <f t="shared" si="340"/>
        <v>1.5669488369580364</v>
      </c>
      <c r="AP538" s="60" t="str">
        <f t="shared" si="341"/>
        <v>-0.0564329019019616+0.146893170009732i</v>
      </c>
      <c r="AQ538" s="51">
        <f t="shared" si="342"/>
        <v>-16.062094433584232</v>
      </c>
      <c r="AR538" s="63">
        <f t="shared" si="343"/>
        <v>111.01560137428864</v>
      </c>
      <c r="AS538" s="60" t="str">
        <f t="shared" si="344"/>
        <v>-0.00305724626602449-0.00110315041807338i</v>
      </c>
      <c r="AT538" s="66">
        <f t="shared" si="345"/>
        <v>-49.761841227586885</v>
      </c>
      <c r="AU538" s="63">
        <f t="shared" si="346"/>
        <v>-160.1589649342927</v>
      </c>
      <c r="AX538" s="32">
        <f t="shared" si="347"/>
        <v>0</v>
      </c>
      <c r="AY538" s="32">
        <f t="shared" si="348"/>
        <v>0</v>
      </c>
    </row>
    <row r="539" spans="14:51" x14ac:dyDescent="0.3">
      <c r="N539" s="11">
        <v>21</v>
      </c>
      <c r="O539" s="52">
        <f t="shared" si="314"/>
        <v>1621810.0973589318</v>
      </c>
      <c r="P539" s="50" t="str">
        <f t="shared" si="315"/>
        <v>131.578947368421</v>
      </c>
      <c r="Q539" s="18" t="str">
        <f t="shared" si="316"/>
        <v>1+15285.2000621416i</v>
      </c>
      <c r="R539" s="18">
        <f t="shared" si="324"/>
        <v>15285.200094852979</v>
      </c>
      <c r="S539" s="18">
        <f t="shared" si="325"/>
        <v>1.5707309040333686</v>
      </c>
      <c r="T539" s="18" t="str">
        <f t="shared" si="317"/>
        <v>1+0.0336274401367116i</v>
      </c>
      <c r="U539" s="18">
        <f t="shared" si="326"/>
        <v>1.000565242615467</v>
      </c>
      <c r="V539" s="18">
        <f t="shared" si="327"/>
        <v>3.3614773373659798E-2</v>
      </c>
      <c r="W539" s="32" t="str">
        <f t="shared" si="318"/>
        <v>1-8.15210669980888i</v>
      </c>
      <c r="X539" s="18">
        <f t="shared" si="328"/>
        <v>8.2132115305201303</v>
      </c>
      <c r="Y539" s="18">
        <f t="shared" si="329"/>
        <v>-1.4487384276853985</v>
      </c>
      <c r="Z539" s="32" t="str">
        <f t="shared" si="319"/>
        <v>-0.68337151481304+3.45034340584016i</v>
      </c>
      <c r="AA539" s="18">
        <f t="shared" si="330"/>
        <v>3.5173663791937493</v>
      </c>
      <c r="AB539" s="18">
        <f t="shared" si="331"/>
        <v>1.7663248318608866</v>
      </c>
      <c r="AC539" s="68" t="str">
        <f t="shared" si="332"/>
        <v>0.000800055097515825+0.0200961191485727i</v>
      </c>
      <c r="AD539" s="66">
        <f t="shared" si="333"/>
        <v>-33.930878162010544</v>
      </c>
      <c r="AE539" s="63">
        <f t="shared" si="334"/>
        <v>87.720177452143417</v>
      </c>
      <c r="AF539" s="32" t="str">
        <f t="shared" si="320"/>
        <v>-0.434440565864413</v>
      </c>
      <c r="AG539" s="32" t="str">
        <f t="shared" si="321"/>
        <v>265.962481081265i</v>
      </c>
      <c r="AH539" s="32">
        <f t="shared" si="335"/>
        <v>265.96248108126503</v>
      </c>
      <c r="AI539" s="32">
        <f t="shared" si="336"/>
        <v>1.5707963267948966</v>
      </c>
      <c r="AJ539" s="32" t="str">
        <f t="shared" si="322"/>
        <v>1+2.63329189189371i</v>
      </c>
      <c r="AK539" s="32">
        <f t="shared" si="337"/>
        <v>2.8167758497816533</v>
      </c>
      <c r="AL539" s="32">
        <f t="shared" si="338"/>
        <v>1.2078653327319595</v>
      </c>
      <c r="AM539" s="32" t="str">
        <f t="shared" si="323"/>
        <v>1+265.962481081265i</v>
      </c>
      <c r="AN539" s="32">
        <f t="shared" si="339"/>
        <v>265.96436103903517</v>
      </c>
      <c r="AO539" s="32">
        <f t="shared" si="340"/>
        <v>1.5670364156840528</v>
      </c>
      <c r="AP539" s="60" t="str">
        <f t="shared" si="341"/>
        <v>-0.0542131222296697+0.144392440809631i</v>
      </c>
      <c r="AQ539" s="51">
        <f t="shared" si="342"/>
        <v>-16.236376961247046</v>
      </c>
      <c r="AR539" s="63">
        <f t="shared" si="343"/>
        <v>110.57898717629816</v>
      </c>
      <c r="AS539" s="60" t="str">
        <f t="shared" si="344"/>
        <v>-0.00294510117945567-0.00097395145543108i</v>
      </c>
      <c r="AT539" s="66">
        <f t="shared" si="345"/>
        <v>-50.167255123257597</v>
      </c>
      <c r="AU539" s="63">
        <f t="shared" si="346"/>
        <v>-161.70083537155841</v>
      </c>
      <c r="AX539" s="32">
        <f t="shared" si="347"/>
        <v>0</v>
      </c>
      <c r="AY539" s="32">
        <f t="shared" si="348"/>
        <v>0</v>
      </c>
    </row>
    <row r="540" spans="14:51" x14ac:dyDescent="0.3">
      <c r="N540" s="11">
        <v>22</v>
      </c>
      <c r="O540" s="52">
        <f t="shared" si="314"/>
        <v>1659586.9074375622</v>
      </c>
      <c r="P540" s="50" t="str">
        <f t="shared" si="315"/>
        <v>131.578947368421</v>
      </c>
      <c r="Q540" s="18" t="str">
        <f t="shared" si="316"/>
        <v>1+15641.2381091989i</v>
      </c>
      <c r="R540" s="18">
        <f t="shared" si="324"/>
        <v>15641.238141165677</v>
      </c>
      <c r="S540" s="18">
        <f t="shared" si="325"/>
        <v>1.5707323932372297</v>
      </c>
      <c r="T540" s="18" t="str">
        <f t="shared" si="317"/>
        <v>1+0.0344107238402377i</v>
      </c>
      <c r="U540" s="18">
        <f t="shared" si="326"/>
        <v>1.0005918738003068</v>
      </c>
      <c r="V540" s="18">
        <f t="shared" si="327"/>
        <v>3.4397151592668956E-2</v>
      </c>
      <c r="W540" s="32" t="str">
        <f t="shared" si="318"/>
        <v>1-8.34199365823944i</v>
      </c>
      <c r="X540" s="18">
        <f t="shared" si="328"/>
        <v>8.401717574050382</v>
      </c>
      <c r="Y540" s="18">
        <f t="shared" si="329"/>
        <v>-1.451490213322334</v>
      </c>
      <c r="Z540" s="32" t="str">
        <f t="shared" si="319"/>
        <v>-0.76270637013643+3.53071222815836i</v>
      </c>
      <c r="AA540" s="18">
        <f t="shared" si="330"/>
        <v>3.6121530760909981</v>
      </c>
      <c r="AB540" s="18">
        <f t="shared" si="331"/>
        <v>1.7835477339787267</v>
      </c>
      <c r="AC540" s="68" t="str">
        <f t="shared" si="332"/>
        <v>0.00115413890726387+0.019544216253257i</v>
      </c>
      <c r="AD540" s="66">
        <f t="shared" si="333"/>
        <v>-34.164516343357313</v>
      </c>
      <c r="AE540" s="63">
        <f t="shared" si="334"/>
        <v>86.620453791539205</v>
      </c>
      <c r="AF540" s="32" t="str">
        <f t="shared" si="320"/>
        <v>-0.434440565864413</v>
      </c>
      <c r="AG540" s="32" t="str">
        <f t="shared" si="321"/>
        <v>272.157543100062i</v>
      </c>
      <c r="AH540" s="32">
        <f t="shared" si="335"/>
        <v>272.15754310006201</v>
      </c>
      <c r="AI540" s="32">
        <f t="shared" si="336"/>
        <v>1.5707963267948966</v>
      </c>
      <c r="AJ540" s="32" t="str">
        <f t="shared" si="322"/>
        <v>1+2.69462913960457i</v>
      </c>
      <c r="AK540" s="32">
        <f t="shared" si="337"/>
        <v>2.8742000974194655</v>
      </c>
      <c r="AL540" s="32">
        <f t="shared" si="338"/>
        <v>1.2154416674127977</v>
      </c>
      <c r="AM540" s="32" t="str">
        <f t="shared" si="323"/>
        <v>1+272.157543100062i</v>
      </c>
      <c r="AN540" s="32">
        <f t="shared" si="339"/>
        <v>272.15938026506109</v>
      </c>
      <c r="AO540" s="32">
        <f t="shared" si="340"/>
        <v>1.567122000930613</v>
      </c>
      <c r="AP540" s="60" t="str">
        <f t="shared" si="341"/>
        <v>-0.0520684916993563+0.141901558379633i</v>
      </c>
      <c r="AQ540" s="51">
        <f t="shared" si="342"/>
        <v>-16.411673948620546</v>
      </c>
      <c r="AR540" s="63">
        <f t="shared" si="343"/>
        <v>110.1497988483239</v>
      </c>
      <c r="AS540" s="60" t="str">
        <f t="shared" si="344"/>
        <v>-0.00283344901575849-0.000853863752225826i</v>
      </c>
      <c r="AT540" s="66">
        <f t="shared" si="345"/>
        <v>-50.576190291977873</v>
      </c>
      <c r="AU540" s="63">
        <f t="shared" si="346"/>
        <v>-163.22974736013686</v>
      </c>
      <c r="AX540" s="32">
        <f t="shared" si="347"/>
        <v>0</v>
      </c>
      <c r="AY540" s="32">
        <f t="shared" si="348"/>
        <v>0</v>
      </c>
    </row>
    <row r="541" spans="14:51" x14ac:dyDescent="0.3">
      <c r="N541" s="11">
        <v>23</v>
      </c>
      <c r="O541" s="52">
        <f t="shared" si="314"/>
        <v>1698243.6524617488</v>
      </c>
      <c r="P541" s="50" t="str">
        <f t="shared" si="315"/>
        <v>131.578947368421</v>
      </c>
      <c r="Q541" s="18" t="str">
        <f t="shared" si="316"/>
        <v>1+16005.569347738i</v>
      </c>
      <c r="R541" s="18">
        <f t="shared" si="324"/>
        <v>16005.569378977123</v>
      </c>
      <c r="S541" s="18">
        <f t="shared" si="325"/>
        <v>1.5707338485426725</v>
      </c>
      <c r="T541" s="18" t="str">
        <f t="shared" si="317"/>
        <v>1+0.0352122525650237i</v>
      </c>
      <c r="U541" s="18">
        <f t="shared" si="326"/>
        <v>1.0006197593145476</v>
      </c>
      <c r="V541" s="18">
        <f t="shared" si="327"/>
        <v>3.5197710126180878E-2</v>
      </c>
      <c r="W541" s="32" t="str">
        <f t="shared" si="318"/>
        <v>1-8.53630365212696i</v>
      </c>
      <c r="X541" s="18">
        <f t="shared" si="328"/>
        <v>8.5946774250879301</v>
      </c>
      <c r="Y541" s="18">
        <f t="shared" si="329"/>
        <v>-1.4541811160709179</v>
      </c>
      <c r="Z541" s="32" t="str">
        <f t="shared" si="319"/>
        <v>-0.84578016200105+3.61295308083444i</v>
      </c>
      <c r="AA541" s="18">
        <f t="shared" si="330"/>
        <v>3.7106298719685844</v>
      </c>
      <c r="AB541" s="18">
        <f t="shared" si="331"/>
        <v>1.8007520284626548</v>
      </c>
      <c r="AC541" s="68" t="str">
        <f t="shared" si="332"/>
        <v>0.00148616289850405+0.0189950790941289i</v>
      </c>
      <c r="AD541" s="66">
        <f t="shared" si="333"/>
        <v>-34.400674018760078</v>
      </c>
      <c r="AE541" s="63">
        <f t="shared" si="334"/>
        <v>85.526328199899453</v>
      </c>
      <c r="AF541" s="32" t="str">
        <f t="shared" si="320"/>
        <v>-0.434440565864413</v>
      </c>
      <c r="AG541" s="32" t="str">
        <f t="shared" si="321"/>
        <v>278.496906650642i</v>
      </c>
      <c r="AH541" s="32">
        <f t="shared" si="335"/>
        <v>278.49690665064202</v>
      </c>
      <c r="AI541" s="32">
        <f t="shared" si="336"/>
        <v>1.5707963267948966</v>
      </c>
      <c r="AJ541" s="32" t="str">
        <f t="shared" si="322"/>
        <v>1+2.75739511535289i</v>
      </c>
      <c r="AK541" s="32">
        <f t="shared" si="337"/>
        <v>2.9331259472058098</v>
      </c>
      <c r="AL541" s="32">
        <f t="shared" si="338"/>
        <v>1.2228869397016415</v>
      </c>
      <c r="AM541" s="32" t="str">
        <f t="shared" si="323"/>
        <v>1+278.496906650642i</v>
      </c>
      <c r="AN541" s="32">
        <f t="shared" si="339"/>
        <v>278.49870199693282</v>
      </c>
      <c r="AO541" s="32">
        <f t="shared" si="340"/>
        <v>1.5672056380711294</v>
      </c>
      <c r="AP541" s="60" t="str">
        <f t="shared" si="341"/>
        <v>-0.0499974175988504+0.139422582612489i</v>
      </c>
      <c r="AQ541" s="51">
        <f t="shared" si="342"/>
        <v>-16.587950828234174</v>
      </c>
      <c r="AR541" s="63">
        <f t="shared" si="343"/>
        <v>109.72800822400968</v>
      </c>
      <c r="AS541" s="60" t="str">
        <f t="shared" si="344"/>
        <v>-0.00272264729128837-0.000742500232300059i</v>
      </c>
      <c r="AT541" s="66">
        <f t="shared" si="345"/>
        <v>-50.988624846994256</v>
      </c>
      <c r="AU541" s="63">
        <f t="shared" si="346"/>
        <v>-164.74566357609086</v>
      </c>
      <c r="AX541" s="32">
        <f t="shared" si="347"/>
        <v>0</v>
      </c>
      <c r="AY541" s="32">
        <f t="shared" si="348"/>
        <v>0</v>
      </c>
    </row>
    <row r="542" spans="14:51" x14ac:dyDescent="0.3">
      <c r="N542" s="11">
        <v>24</v>
      </c>
      <c r="O542" s="52">
        <f t="shared" si="314"/>
        <v>1737800.8287493798</v>
      </c>
      <c r="P542" s="50" t="str">
        <f t="shared" si="315"/>
        <v>131.578947368421</v>
      </c>
      <c r="Q542" s="18" t="str">
        <f t="shared" si="316"/>
        <v>1+16378.3869510039i</v>
      </c>
      <c r="R542" s="18">
        <f t="shared" si="324"/>
        <v>16378.386981531934</v>
      </c>
      <c r="S542" s="18">
        <f t="shared" si="325"/>
        <v>1.5707352707213194</v>
      </c>
      <c r="T542" s="18" t="str">
        <f t="shared" si="317"/>
        <v>1+0.0360324512922086i</v>
      </c>
      <c r="U542" s="18">
        <f t="shared" si="326"/>
        <v>1.0006489581996902</v>
      </c>
      <c r="V542" s="18">
        <f t="shared" si="327"/>
        <v>3.601686933399631E-2</v>
      </c>
      <c r="W542" s="32" t="str">
        <f t="shared" si="318"/>
        <v>1-8.73513970720208i</v>
      </c>
      <c r="X542" s="18">
        <f t="shared" si="328"/>
        <v>8.7921934523950522</v>
      </c>
      <c r="Y542" s="18">
        <f t="shared" si="329"/>
        <v>-1.4568124067217987</v>
      </c>
      <c r="Z542" s="32" t="str">
        <f t="shared" si="319"/>
        <v>-0.9327691010573+3.69710956905702i</v>
      </c>
      <c r="AA542" s="18">
        <f t="shared" si="330"/>
        <v>3.8129617571515486</v>
      </c>
      <c r="AB542" s="18">
        <f t="shared" si="331"/>
        <v>1.8179355607674892</v>
      </c>
      <c r="AC542" s="68" t="str">
        <f t="shared" si="332"/>
        <v>0.00179666682955559+0.0184493976124924i</v>
      </c>
      <c r="AD542" s="66">
        <f t="shared" si="333"/>
        <v>-34.639363744250112</v>
      </c>
      <c r="AE542" s="63">
        <f t="shared" si="334"/>
        <v>84.437875353261049</v>
      </c>
      <c r="AF542" s="32" t="str">
        <f t="shared" si="320"/>
        <v>-0.434440565864413</v>
      </c>
      <c r="AG542" s="32" t="str">
        <f t="shared" si="321"/>
        <v>284.983932947468i</v>
      </c>
      <c r="AH542" s="32">
        <f t="shared" si="335"/>
        <v>284.98393294746802</v>
      </c>
      <c r="AI542" s="32">
        <f t="shared" si="336"/>
        <v>1.5707963267948966</v>
      </c>
      <c r="AJ542" s="32" t="str">
        <f t="shared" si="322"/>
        <v>1+2.82162309848978i</v>
      </c>
      <c r="AK542" s="32">
        <f t="shared" si="337"/>
        <v>2.9935859616739031</v>
      </c>
      <c r="AL542" s="32">
        <f t="shared" si="338"/>
        <v>1.2302017945438537</v>
      </c>
      <c r="AM542" s="32" t="str">
        <f t="shared" si="323"/>
        <v>1+284.983932947468i</v>
      </c>
      <c r="AN542" s="32">
        <f t="shared" si="339"/>
        <v>284.98568742694249</v>
      </c>
      <c r="AO542" s="32">
        <f t="shared" si="340"/>
        <v>1.5672873714464381</v>
      </c>
      <c r="AP542" s="60" t="str">
        <f t="shared" si="341"/>
        <v>-0.04799826396756+0.136957449102146i</v>
      </c>
      <c r="AQ542" s="51">
        <f t="shared" si="342"/>
        <v>-16.765173783270598</v>
      </c>
      <c r="AR542" s="63">
        <f t="shared" si="343"/>
        <v>109.31358089125067</v>
      </c>
      <c r="AS542" s="60" t="str">
        <f t="shared" si="344"/>
        <v>-0.00261301932322495-0.000639472150784508i</v>
      </c>
      <c r="AT542" s="66">
        <f t="shared" si="345"/>
        <v>-51.404537527520702</v>
      </c>
      <c r="AU542" s="63">
        <f t="shared" si="346"/>
        <v>-166.24854375548827</v>
      </c>
      <c r="AX542" s="32">
        <f t="shared" si="347"/>
        <v>0</v>
      </c>
      <c r="AY542" s="32">
        <f t="shared" si="348"/>
        <v>0</v>
      </c>
    </row>
    <row r="543" spans="14:51" x14ac:dyDescent="0.3">
      <c r="N543" s="11">
        <v>25</v>
      </c>
      <c r="O543" s="52">
        <f t="shared" si="314"/>
        <v>1778279.4100389241</v>
      </c>
      <c r="P543" s="50" t="str">
        <f t="shared" si="315"/>
        <v>131.578947368421</v>
      </c>
      <c r="Q543" s="18" t="str">
        <f t="shared" si="316"/>
        <v>1+16759.8885918247i</v>
      </c>
      <c r="R543" s="18">
        <f t="shared" si="324"/>
        <v>16759.888621657832</v>
      </c>
      <c r="S543" s="18">
        <f t="shared" si="325"/>
        <v>1.5707366605272282</v>
      </c>
      <c r="T543" s="18" t="str">
        <f t="shared" si="317"/>
        <v>1+0.0368717549020145i</v>
      </c>
      <c r="U543" s="18">
        <f t="shared" si="326"/>
        <v>1.0006795322727222</v>
      </c>
      <c r="V543" s="18">
        <f t="shared" si="327"/>
        <v>3.6855059145269348E-2</v>
      </c>
      <c r="W543" s="32" t="str">
        <f t="shared" si="318"/>
        <v>1-8.9386072489732i</v>
      </c>
      <c r="X543" s="18">
        <f t="shared" si="328"/>
        <v>8.9943704366340302</v>
      </c>
      <c r="Y543" s="18">
        <f t="shared" si="329"/>
        <v>-1.4593853345954924</v>
      </c>
      <c r="Z543" s="32" t="str">
        <f t="shared" si="319"/>
        <v>-1.02385770250775+3.78322631371015i</v>
      </c>
      <c r="AA543" s="18">
        <f t="shared" si="330"/>
        <v>3.9193221270690843</v>
      </c>
      <c r="AB543" s="18">
        <f t="shared" si="331"/>
        <v>1.8350960412497499</v>
      </c>
      <c r="AC543" s="68" t="str">
        <f t="shared" si="332"/>
        <v>0.00208620390440106+0.0179078279472918i</v>
      </c>
      <c r="AD543" s="66">
        <f t="shared" si="333"/>
        <v>-34.880597855497527</v>
      </c>
      <c r="AE543" s="63">
        <f t="shared" si="334"/>
        <v>83.355179447660561</v>
      </c>
      <c r="AF543" s="32" t="str">
        <f t="shared" si="320"/>
        <v>-0.434440565864413</v>
      </c>
      <c r="AG543" s="32" t="str">
        <f t="shared" si="321"/>
        <v>291.622061497751i</v>
      </c>
      <c r="AH543" s="32">
        <f t="shared" si="335"/>
        <v>291.62206149775102</v>
      </c>
      <c r="AI543" s="32">
        <f t="shared" si="336"/>
        <v>1.5707963267948966</v>
      </c>
      <c r="AJ543" s="32" t="str">
        <f t="shared" si="322"/>
        <v>1+2.88734714354209i</v>
      </c>
      <c r="AK543" s="32">
        <f t="shared" si="337"/>
        <v>3.0556134453364132</v>
      </c>
      <c r="AL543" s="32">
        <f t="shared" si="338"/>
        <v>1.2373869782382287</v>
      </c>
      <c r="AM543" s="32" t="str">
        <f t="shared" si="323"/>
        <v>1+291.622061497751i</v>
      </c>
      <c r="AN543" s="32">
        <f t="shared" si="339"/>
        <v>291.62377604063443</v>
      </c>
      <c r="AO543" s="32">
        <f t="shared" si="340"/>
        <v>1.5673672443882858</v>
      </c>
      <c r="AP543" s="60" t="str">
        <f t="shared" si="341"/>
        <v>-0.0460693592775424+0.134507971255036i</v>
      </c>
      <c r="AQ543" s="51">
        <f t="shared" si="342"/>
        <v>-16.943309765884667</v>
      </c>
      <c r="AR543" s="63">
        <f t="shared" si="343"/>
        <v>108.90647657300198</v>
      </c>
      <c r="AS543" s="60" t="str">
        <f t="shared" si="344"/>
        <v>-0.00250485568397252-0.000544391104778879i</v>
      </c>
      <c r="AT543" s="66">
        <f t="shared" si="345"/>
        <v>-51.823907621382197</v>
      </c>
      <c r="AU543" s="63">
        <f t="shared" si="346"/>
        <v>-167.73834397933746</v>
      </c>
      <c r="AX543" s="32">
        <f t="shared" si="347"/>
        <v>0</v>
      </c>
      <c r="AY543" s="32">
        <f t="shared" si="348"/>
        <v>0</v>
      </c>
    </row>
    <row r="544" spans="14:51" x14ac:dyDescent="0.3">
      <c r="N544" s="11">
        <v>26</v>
      </c>
      <c r="O544" s="52">
        <f t="shared" si="314"/>
        <v>1819700.8586099846</v>
      </c>
      <c r="P544" s="50" t="str">
        <f t="shared" si="315"/>
        <v>131.578947368421</v>
      </c>
      <c r="Q544" s="18" t="str">
        <f t="shared" si="316"/>
        <v>1+17150.2765474204i</v>
      </c>
      <c r="R544" s="18">
        <f t="shared" si="324"/>
        <v>17150.276576574448</v>
      </c>
      <c r="S544" s="18">
        <f t="shared" si="325"/>
        <v>1.5707380186972923</v>
      </c>
      <c r="T544" s="18" t="str">
        <f t="shared" si="317"/>
        <v>1+0.037730608404325i</v>
      </c>
      <c r="U544" s="18">
        <f t="shared" si="326"/>
        <v>1.0007115462562428</v>
      </c>
      <c r="V544" s="18">
        <f t="shared" si="327"/>
        <v>3.7712719265599368E-2</v>
      </c>
      <c r="W544" s="32" t="str">
        <f t="shared" si="318"/>
        <v>1-9.14681415862424i</v>
      </c>
      <c r="X544" s="18">
        <f t="shared" si="328"/>
        <v>9.2013156261704694</v>
      </c>
      <c r="Y544" s="18">
        <f t="shared" si="329"/>
        <v>-1.4619011275572542</v>
      </c>
      <c r="Z544" s="32" t="str">
        <f t="shared" si="319"/>
        <v>-1.11923917748858+3.87134897503175i</v>
      </c>
      <c r="AA544" s="18">
        <f t="shared" si="330"/>
        <v>4.0298932024192267</v>
      </c>
      <c r="AB544" s="18">
        <f t="shared" si="331"/>
        <v>1.8522310406138667</v>
      </c>
      <c r="AC544" s="68" t="str">
        <f t="shared" si="332"/>
        <v>0.00235533935864032+0.0173709927183928i</v>
      </c>
      <c r="AD544" s="66">
        <f t="shared" si="333"/>
        <v>-35.124388367285967</v>
      </c>
      <c r="AE544" s="63">
        <f t="shared" si="334"/>
        <v>82.278334471038647</v>
      </c>
      <c r="AF544" s="32" t="str">
        <f t="shared" si="320"/>
        <v>-0.434440565864413</v>
      </c>
      <c r="AG544" s="32" t="str">
        <f t="shared" si="321"/>
        <v>298.414811925116i</v>
      </c>
      <c r="AH544" s="32">
        <f t="shared" si="335"/>
        <v>298.414811925116</v>
      </c>
      <c r="AI544" s="32">
        <f t="shared" si="336"/>
        <v>1.5707963267948966</v>
      </c>
      <c r="AJ544" s="32" t="str">
        <f t="shared" si="322"/>
        <v>1+2.95460209826848i</v>
      </c>
      <c r="AK544" s="32">
        <f t="shared" si="337"/>
        <v>3.1192424655823898</v>
      </c>
      <c r="AL544" s="32">
        <f t="shared" si="338"/>
        <v>1.2444433319378625</v>
      </c>
      <c r="AM544" s="32" t="str">
        <f t="shared" si="323"/>
        <v>1+298.414811925116i</v>
      </c>
      <c r="AN544" s="32">
        <f t="shared" si="339"/>
        <v>298.41648744046017</v>
      </c>
      <c r="AO544" s="32">
        <f t="shared" si="340"/>
        <v>1.5674452992422845</v>
      </c>
      <c r="AP544" s="60" t="str">
        <f t="shared" si="341"/>
        <v>-0.0442090036742509+0.132075842773839i</v>
      </c>
      <c r="AQ544" s="51">
        <f t="shared" si="342"/>
        <v>-17.122326512051089</v>
      </c>
      <c r="AR544" s="63">
        <f t="shared" si="343"/>
        <v>108.50664950096602</v>
      </c>
      <c r="AS544" s="60" t="str">
        <f t="shared" si="344"/>
        <v>-0.00239841570946019-0.000456870850101999i</v>
      </c>
      <c r="AT544" s="66">
        <f t="shared" si="345"/>
        <v>-52.246714879337048</v>
      </c>
      <c r="AU544" s="63">
        <f t="shared" si="346"/>
        <v>-169.21501602799538</v>
      </c>
      <c r="AX544" s="32">
        <f t="shared" si="347"/>
        <v>0</v>
      </c>
      <c r="AY544" s="32">
        <f t="shared" si="348"/>
        <v>0</v>
      </c>
    </row>
    <row r="545" spans="14:51" x14ac:dyDescent="0.3">
      <c r="N545" s="11">
        <v>27</v>
      </c>
      <c r="O545" s="52">
        <f t="shared" si="314"/>
        <v>1862087.1366628683</v>
      </c>
      <c r="P545" s="50" t="str">
        <f t="shared" si="315"/>
        <v>131.578947368421</v>
      </c>
      <c r="Q545" s="18" t="str">
        <f t="shared" si="316"/>
        <v>1+17549.7578066523i</v>
      </c>
      <c r="R545" s="18">
        <f t="shared" si="324"/>
        <v>17549.757835142722</v>
      </c>
      <c r="S545" s="18">
        <f t="shared" si="325"/>
        <v>1.5707393459516317</v>
      </c>
      <c r="T545" s="18" t="str">
        <f t="shared" si="317"/>
        <v>1+0.0386094671746351i</v>
      </c>
      <c r="U545" s="18">
        <f t="shared" si="326"/>
        <v>1.0007450679146559</v>
      </c>
      <c r="V545" s="18">
        <f t="shared" si="327"/>
        <v>3.859029938782637E-2</v>
      </c>
      <c r="W545" s="32" t="str">
        <f t="shared" si="318"/>
        <v>1-9.35987083021456i</v>
      </c>
      <c r="X545" s="18">
        <f t="shared" si="328"/>
        <v>9.4131387941696367</v>
      </c>
      <c r="Y545" s="18">
        <f t="shared" si="329"/>
        <v>-1.4643609920607235</v>
      </c>
      <c r="Z545" s="32" t="str">
        <f t="shared" si="319"/>
        <v>-1.21911584289619+3.96152427682327i</v>
      </c>
      <c r="AA545" s="18">
        <f t="shared" si="330"/>
        <v>4.1448664676031024</v>
      </c>
      <c r="AB545" s="18">
        <f t="shared" si="331"/>
        <v>1.8693379864645876</v>
      </c>
      <c r="AC545" s="68" t="str">
        <f t="shared" si="332"/>
        <v>0.00260464910668578+0.0168394813294092i</v>
      </c>
      <c r="AD545" s="66">
        <f t="shared" si="333"/>
        <v>-35.370746868938319</v>
      </c>
      <c r="AE545" s="63">
        <f t="shared" si="334"/>
        <v>81.207444410326943</v>
      </c>
      <c r="AF545" s="32" t="str">
        <f t="shared" si="320"/>
        <v>-0.434440565864413</v>
      </c>
      <c r="AG545" s="32" t="str">
        <f t="shared" si="321"/>
        <v>305.36578583575i</v>
      </c>
      <c r="AH545" s="32">
        <f t="shared" si="335"/>
        <v>305.36578583574999</v>
      </c>
      <c r="AI545" s="32">
        <f t="shared" si="336"/>
        <v>1.5707963267948966</v>
      </c>
      <c r="AJ545" s="32" t="str">
        <f t="shared" si="322"/>
        <v>1+3.02342362213614i</v>
      </c>
      <c r="AK545" s="32">
        <f t="shared" si="337"/>
        <v>3.1845078738936756</v>
      </c>
      <c r="AL545" s="32">
        <f t="shared" si="338"/>
        <v>1.2513717852934028</v>
      </c>
      <c r="AM545" s="32" t="str">
        <f t="shared" si="323"/>
        <v>1+305.36578583575i</v>
      </c>
      <c r="AN545" s="32">
        <f t="shared" si="339"/>
        <v>305.36742321191554</v>
      </c>
      <c r="AO545" s="32">
        <f t="shared" si="340"/>
        <v>1.5675215773903444</v>
      </c>
      <c r="AP545" s="60" t="str">
        <f t="shared" si="341"/>
        <v>-0.0424154757727264+0.129662640465417i</v>
      </c>
      <c r="AQ545" s="51">
        <f t="shared" si="342"/>
        <v>-17.302192553149276</v>
      </c>
      <c r="AR545" s="63">
        <f t="shared" si="343"/>
        <v>108.11404878109319</v>
      </c>
      <c r="AS545" s="60" t="str">
        <f t="shared" si="344"/>
        <v>-0.00229392904432037-0.000376528931694067i</v>
      </c>
      <c r="AT545" s="66">
        <f t="shared" si="345"/>
        <v>-52.672939422087602</v>
      </c>
      <c r="AU545" s="63">
        <f t="shared" si="346"/>
        <v>-170.67850680857987</v>
      </c>
      <c r="AX545" s="32">
        <f t="shared" si="347"/>
        <v>0</v>
      </c>
      <c r="AY545" s="32">
        <f t="shared" si="348"/>
        <v>0</v>
      </c>
    </row>
    <row r="546" spans="14:51" x14ac:dyDescent="0.3">
      <c r="N546" s="11">
        <v>28</v>
      </c>
      <c r="O546" s="52">
        <f t="shared" si="314"/>
        <v>1905460.7179632513</v>
      </c>
      <c r="P546" s="50" t="str">
        <f t="shared" si="315"/>
        <v>131.578947368421</v>
      </c>
      <c r="Q546" s="18" t="str">
        <f t="shared" si="316"/>
        <v>1+17958.5441797719i</v>
      </c>
      <c r="R546" s="18">
        <f t="shared" si="324"/>
        <v>17958.544207613799</v>
      </c>
      <c r="S546" s="18">
        <f t="shared" si="325"/>
        <v>1.5707406429939741</v>
      </c>
      <c r="T546" s="18" t="str">
        <f t="shared" si="317"/>
        <v>1+0.0395087971954982i</v>
      </c>
      <c r="U546" s="18">
        <f t="shared" si="326"/>
        <v>1.0007801681967099</v>
      </c>
      <c r="V546" s="18">
        <f t="shared" si="327"/>
        <v>3.948825940653751E-2</v>
      </c>
      <c r="W546" s="32" t="str">
        <f t="shared" si="318"/>
        <v>1-9.57789022921168i</v>
      </c>
      <c r="X546" s="18">
        <f t="shared" si="328"/>
        <v>9.6299522970172884</v>
      </c>
      <c r="Y546" s="18">
        <f t="shared" si="329"/>
        <v>-1.4667661132180083</v>
      </c>
      <c r="Z546" s="32" t="str">
        <f t="shared" si="319"/>
        <v>-1.32369955052868+4.05380003122336i</v>
      </c>
      <c r="AA546" s="18">
        <f t="shared" si="330"/>
        <v>4.2644431281488959</v>
      </c>
      <c r="AB546" s="18">
        <f t="shared" si="331"/>
        <v>1.886414161003328</v>
      </c>
      <c r="AC546" s="68" t="str">
        <f t="shared" si="332"/>
        <v>0.00283471844352736+0.0163138502850949i</v>
      </c>
      <c r="AD546" s="66">
        <f t="shared" si="333"/>
        <v>-35.61968441653709</v>
      </c>
      <c r="AE546" s="63">
        <f t="shared" si="334"/>
        <v>80.142623391689838</v>
      </c>
      <c r="AF546" s="32" t="str">
        <f t="shared" si="320"/>
        <v>-0.434440565864413</v>
      </c>
      <c r="AG546" s="32" t="str">
        <f t="shared" si="321"/>
        <v>312.478668728031i</v>
      </c>
      <c r="AH546" s="32">
        <f t="shared" si="335"/>
        <v>312.47866872803098</v>
      </c>
      <c r="AI546" s="32">
        <f t="shared" si="336"/>
        <v>1.5707963267948966</v>
      </c>
      <c r="AJ546" s="32" t="str">
        <f t="shared" si="322"/>
        <v>1+3.09384820522803i</v>
      </c>
      <c r="AK546" s="32">
        <f t="shared" si="337"/>
        <v>3.2514453273879149</v>
      </c>
      <c r="AL546" s="32">
        <f t="shared" si="338"/>
        <v>1.2581733502547934</v>
      </c>
      <c r="AM546" s="32" t="str">
        <f t="shared" si="323"/>
        <v>1+312.478668728031i</v>
      </c>
      <c r="AN546" s="32">
        <f t="shared" si="339"/>
        <v>312.48026883315771</v>
      </c>
      <c r="AO546" s="32">
        <f t="shared" si="340"/>
        <v>1.5675961192725971</v>
      </c>
      <c r="AP546" s="60" t="str">
        <f t="shared" si="341"/>
        <v>-0.0406870390089792+0.127269827327036i</v>
      </c>
      <c r="AQ546" s="51">
        <f t="shared" si="342"/>
        <v>-17.482877224490863</v>
      </c>
      <c r="AR546" s="63">
        <f t="shared" si="343"/>
        <v>107.72861874997157</v>
      </c>
      <c r="AS546" s="60" t="str">
        <f t="shared" si="344"/>
        <v>-0.00219159720871442-0.000302988136107811i</v>
      </c>
      <c r="AT546" s="66">
        <f t="shared" si="345"/>
        <v>-53.102561641027947</v>
      </c>
      <c r="AU546" s="63">
        <f t="shared" si="346"/>
        <v>-172.12875785833862</v>
      </c>
      <c r="AX546" s="32">
        <f t="shared" si="347"/>
        <v>0</v>
      </c>
      <c r="AY546" s="32">
        <f t="shared" si="348"/>
        <v>0</v>
      </c>
    </row>
    <row r="547" spans="14:51" x14ac:dyDescent="0.3">
      <c r="N547" s="11">
        <v>29</v>
      </c>
      <c r="O547" s="52">
        <f t="shared" si="314"/>
        <v>1949844.5997580495</v>
      </c>
      <c r="P547" s="50" t="str">
        <f t="shared" si="315"/>
        <v>131.578947368421</v>
      </c>
      <c r="Q547" s="18" t="str">
        <f t="shared" si="316"/>
        <v>1+18376.8524107248i</v>
      </c>
      <c r="R547" s="18">
        <f t="shared" si="324"/>
        <v>18376.852437932943</v>
      </c>
      <c r="S547" s="18">
        <f t="shared" si="325"/>
        <v>1.5707419105120282</v>
      </c>
      <c r="T547" s="18" t="str">
        <f t="shared" si="317"/>
        <v>1+0.0404290753035946i</v>
      </c>
      <c r="U547" s="18">
        <f t="shared" si="326"/>
        <v>1.0008169213846776</v>
      </c>
      <c r="V547" s="18">
        <f t="shared" si="327"/>
        <v>4.0407069636282822E-2</v>
      </c>
      <c r="W547" s="32" t="str">
        <f t="shared" si="318"/>
        <v>1-9.80098795238656i</v>
      </c>
      <c r="X547" s="18">
        <f t="shared" si="328"/>
        <v>9.8518711340956173</v>
      </c>
      <c r="Y547" s="18">
        <f t="shared" si="329"/>
        <v>-1.4691176548939979</v>
      </c>
      <c r="Z547" s="32" t="str">
        <f t="shared" si="319"/>
        <v>-1.43321213645158+4.14822516405834i</v>
      </c>
      <c r="AA547" s="18">
        <f t="shared" si="330"/>
        <v>4.3888345878830917</v>
      </c>
      <c r="AB547" s="18">
        <f t="shared" si="331"/>
        <v>1.9034566998975539</v>
      </c>
      <c r="AC547" s="68" t="str">
        <f t="shared" si="332"/>
        <v>0.00304614079429229+0.015794623519651i</v>
      </c>
      <c r="AD547" s="66">
        <f t="shared" si="333"/>
        <v>-35.871211422811584</v>
      </c>
      <c r="AE547" s="63">
        <f t="shared" si="334"/>
        <v>79.083995752382734</v>
      </c>
      <c r="AF547" s="32" t="str">
        <f t="shared" si="320"/>
        <v>-0.434440565864413</v>
      </c>
      <c r="AG547" s="32" t="str">
        <f t="shared" si="321"/>
        <v>319.757231946612i</v>
      </c>
      <c r="AH547" s="32">
        <f t="shared" si="335"/>
        <v>319.75723194661202</v>
      </c>
      <c r="AI547" s="32">
        <f t="shared" si="336"/>
        <v>1.5707963267948966</v>
      </c>
      <c r="AJ547" s="32" t="str">
        <f t="shared" si="322"/>
        <v>1+3.16591318759022i</v>
      </c>
      <c r="AK547" s="32">
        <f t="shared" si="337"/>
        <v>3.3200913106957866</v>
      </c>
      <c r="AL547" s="32">
        <f t="shared" si="338"/>
        <v>1.2648491150451726</v>
      </c>
      <c r="AM547" s="32" t="str">
        <f t="shared" si="323"/>
        <v>1+319.757231946612i</v>
      </c>
      <c r="AN547" s="32">
        <f t="shared" si="339"/>
        <v>319.75879562907949</v>
      </c>
      <c r="AO547" s="32">
        <f t="shared" si="340"/>
        <v>1.5676689644088193</v>
      </c>
      <c r="AP547" s="60" t="str">
        <f t="shared" si="341"/>
        <v>-0.0390219475498246+0.124898755867519i</v>
      </c>
      <c r="AQ547" s="51">
        <f t="shared" si="342"/>
        <v>-17.664350670995759</v>
      </c>
      <c r="AR547" s="63">
        <f t="shared" si="343"/>
        <v>107.35029932132439</v>
      </c>
      <c r="AS547" s="60" t="str">
        <f t="shared" si="344"/>
        <v>-0.00209159517330452-0.000235877775148644i</v>
      </c>
      <c r="AT547" s="66">
        <f t="shared" si="345"/>
        <v>-53.535562093807343</v>
      </c>
      <c r="AU547" s="63">
        <f t="shared" si="346"/>
        <v>-173.56570492629288</v>
      </c>
      <c r="AX547" s="32">
        <f t="shared" si="347"/>
        <v>0</v>
      </c>
      <c r="AY547" s="32">
        <f t="shared" si="348"/>
        <v>0</v>
      </c>
    </row>
    <row r="548" spans="14:51" x14ac:dyDescent="0.3">
      <c r="N548" s="11">
        <v>30</v>
      </c>
      <c r="O548" s="52">
        <f t="shared" si="314"/>
        <v>1995262.31496888</v>
      </c>
      <c r="P548" s="50" t="str">
        <f t="shared" si="315"/>
        <v>131.578947368421</v>
      </c>
      <c r="Q548" s="18" t="str">
        <f t="shared" si="316"/>
        <v>1+18804.9042920724i</v>
      </c>
      <c r="R548" s="18">
        <f t="shared" si="324"/>
        <v>18804.904318661207</v>
      </c>
      <c r="S548" s="18">
        <f t="shared" si="325"/>
        <v>1.5707431491778492</v>
      </c>
      <c r="T548" s="18" t="str">
        <f t="shared" si="317"/>
        <v>1+0.0413707894425593i</v>
      </c>
      <c r="U548" s="18">
        <f t="shared" si="326"/>
        <v>1.000855405250479</v>
      </c>
      <c r="V548" s="18">
        <f t="shared" si="327"/>
        <v>4.1347211033503257E-2</v>
      </c>
      <c r="W548" s="32" t="str">
        <f t="shared" si="318"/>
        <v>1-10.0292822891053i</v>
      </c>
      <c r="X548" s="18">
        <f t="shared" si="328"/>
        <v>10.079013008948905</v>
      </c>
      <c r="Y548" s="18">
        <f t="shared" si="329"/>
        <v>-1.4714167598228645</v>
      </c>
      <c r="Z548" s="32" t="str">
        <f t="shared" si="319"/>
        <v>-1.54788589154238+4.24484974078359i</v>
      </c>
      <c r="AA548" s="18">
        <f t="shared" si="330"/>
        <v>4.5182629466495712</v>
      </c>
      <c r="AB548" s="18">
        <f t="shared" si="331"/>
        <v>1.9204625923438516</v>
      </c>
      <c r="AC548" s="68" t="str">
        <f t="shared" si="332"/>
        <v>0.00323951650491282+0.0152822927335553i</v>
      </c>
      <c r="AD548" s="66">
        <f t="shared" si="333"/>
        <v>-36.12533754559842</v>
      </c>
      <c r="AE548" s="63">
        <f t="shared" si="334"/>
        <v>78.03169604315724</v>
      </c>
      <c r="AF548" s="32" t="str">
        <f t="shared" si="320"/>
        <v>-0.434440565864413</v>
      </c>
      <c r="AG548" s="32" t="str">
        <f t="shared" si="321"/>
        <v>327.20533468206i</v>
      </c>
      <c r="AH548" s="32">
        <f t="shared" si="335"/>
        <v>327.20533468206003</v>
      </c>
      <c r="AI548" s="32">
        <f t="shared" si="336"/>
        <v>1.5707963267948966</v>
      </c>
      <c r="AJ548" s="32" t="str">
        <f t="shared" si="322"/>
        <v>1+3.2396567790303i</v>
      </c>
      <c r="AK548" s="32">
        <f t="shared" si="337"/>
        <v>3.3904831581821755</v>
      </c>
      <c r="AL548" s="32">
        <f t="shared" si="338"/>
        <v>1.2714002383184673</v>
      </c>
      <c r="AM548" s="32" t="str">
        <f t="shared" si="323"/>
        <v>1+327.20533468206i</v>
      </c>
      <c r="AN548" s="32">
        <f t="shared" si="339"/>
        <v>327.20686277093716</v>
      </c>
      <c r="AO548" s="32">
        <f t="shared" si="340"/>
        <v>1.5677401514193725</v>
      </c>
      <c r="AP548" s="60" t="str">
        <f t="shared" si="341"/>
        <v>-0.0374184517674796+0.122550671622619i</v>
      </c>
      <c r="AQ548" s="51">
        <f t="shared" si="342"/>
        <v>-17.846583850223119</v>
      </c>
      <c r="AR548" s="63">
        <f t="shared" si="343"/>
        <v>106.97902632195557</v>
      </c>
      <c r="AS548" s="60" t="str">
        <f t="shared" si="344"/>
        <v>-0.00199407293051971-0.000174834810137418i</v>
      </c>
      <c r="AT548" s="66">
        <f t="shared" si="345"/>
        <v>-53.971921395821518</v>
      </c>
      <c r="AU548" s="63">
        <f t="shared" si="346"/>
        <v>-174.98927763488717</v>
      </c>
      <c r="AX548" s="32">
        <f t="shared" si="347"/>
        <v>0</v>
      </c>
      <c r="AY548" s="32">
        <f t="shared" si="348"/>
        <v>0</v>
      </c>
    </row>
    <row r="549" spans="14:51" x14ac:dyDescent="0.3">
      <c r="N549" s="11">
        <v>31</v>
      </c>
      <c r="O549" s="52">
        <f t="shared" si="314"/>
        <v>2041737.9446695296</v>
      </c>
      <c r="P549" s="50" t="str">
        <f t="shared" si="315"/>
        <v>131.578947368421</v>
      </c>
      <c r="Q549" s="18" t="str">
        <f t="shared" si="316"/>
        <v>1+19242.9267825879i</v>
      </c>
      <c r="R549" s="18">
        <f t="shared" si="324"/>
        <v>19242.926808571472</v>
      </c>
      <c r="S549" s="18">
        <f t="shared" si="325"/>
        <v>1.570744359648194</v>
      </c>
      <c r="T549" s="18" t="str">
        <f t="shared" si="317"/>
        <v>1+0.0423344389216934i</v>
      </c>
      <c r="U549" s="18">
        <f t="shared" si="326"/>
        <v>1.0008957012190705</v>
      </c>
      <c r="V549" s="18">
        <f t="shared" si="327"/>
        <v>4.2309175422150749E-2</v>
      </c>
      <c r="W549" s="32" t="str">
        <f t="shared" si="318"/>
        <v>1-10.2628942840469i</v>
      </c>
      <c r="X549" s="18">
        <f t="shared" si="328"/>
        <v>10.31149839186927</v>
      </c>
      <c r="Y549" s="18">
        <f t="shared" si="329"/>
        <v>-1.4736645497447833</v>
      </c>
      <c r="Z549" s="32" t="str">
        <f t="shared" si="319"/>
        <v>-1.66796405421013+4.34372499302861i</v>
      </c>
      <c r="AA549" s="18">
        <f t="shared" si="330"/>
        <v>4.6529615194194864</v>
      </c>
      <c r="AB549" s="18">
        <f t="shared" si="331"/>
        <v>1.9374286823354059</v>
      </c>
      <c r="AC549" s="68" t="str">
        <f t="shared" si="332"/>
        <v>0.00341545166745188+0.0147773177377381i</v>
      </c>
      <c r="AD549" s="66">
        <f t="shared" si="333"/>
        <v>-36.38207157579523</v>
      </c>
      <c r="AE549" s="63">
        <f t="shared" si="334"/>
        <v>76.985868960713404</v>
      </c>
      <c r="AF549" s="32" t="str">
        <f t="shared" si="320"/>
        <v>-0.434440565864413</v>
      </c>
      <c r="AG549" s="32" t="str">
        <f t="shared" si="321"/>
        <v>334.82692601703i</v>
      </c>
      <c r="AH549" s="32">
        <f t="shared" si="335"/>
        <v>334.82692601703002</v>
      </c>
      <c r="AI549" s="32">
        <f t="shared" si="336"/>
        <v>1.5707963267948966</v>
      </c>
      <c r="AJ549" s="32" t="str">
        <f t="shared" si="322"/>
        <v>1+3.31511807937653i</v>
      </c>
      <c r="AK549" s="32">
        <f t="shared" si="337"/>
        <v>3.4626590765204028</v>
      </c>
      <c r="AL549" s="32">
        <f t="shared" si="338"/>
        <v>1.2778279435099558</v>
      </c>
      <c r="AM549" s="32" t="str">
        <f t="shared" si="323"/>
        <v>1+334.82692601703i</v>
      </c>
      <c r="AN549" s="32">
        <f t="shared" si="339"/>
        <v>334.82841932251461</v>
      </c>
      <c r="AO549" s="32">
        <f t="shared" si="340"/>
        <v>1.5678097180456645</v>
      </c>
      <c r="AP549" s="60" t="str">
        <f t="shared" si="341"/>
        <v>-0.0358748032879259+0.120226716826764i</v>
      </c>
      <c r="AQ549" s="51">
        <f t="shared" si="342"/>
        <v>-18.029548532953534</v>
      </c>
      <c r="AR549" s="63">
        <f t="shared" si="343"/>
        <v>106.6147318166104</v>
      </c>
      <c r="AS549" s="60" t="str">
        <f t="shared" si="344"/>
        <v>-0.00189915705182341-0.000119504826506296i</v>
      </c>
      <c r="AT549" s="66">
        <f t="shared" si="345"/>
        <v>-54.411620108748764</v>
      </c>
      <c r="AU549" s="63">
        <f t="shared" si="346"/>
        <v>-176.39939922267621</v>
      </c>
      <c r="AX549" s="32">
        <f t="shared" si="347"/>
        <v>0</v>
      </c>
      <c r="AY549" s="32">
        <f t="shared" si="348"/>
        <v>0</v>
      </c>
    </row>
    <row r="550" spans="14:51" x14ac:dyDescent="0.3">
      <c r="N550" s="11">
        <v>32</v>
      </c>
      <c r="O550" s="52">
        <f t="shared" si="314"/>
        <v>2089296.1308540432</v>
      </c>
      <c r="P550" s="50" t="str">
        <f t="shared" si="315"/>
        <v>131.578947368421</v>
      </c>
      <c r="Q550" s="18" t="str">
        <f t="shared" si="316"/>
        <v>1+19691.1521275939i</v>
      </c>
      <c r="R550" s="18">
        <f t="shared" si="324"/>
        <v>19691.152152986015</v>
      </c>
      <c r="S550" s="18">
        <f t="shared" si="325"/>
        <v>1.5707455425648698</v>
      </c>
      <c r="T550" s="18" t="str">
        <f t="shared" si="317"/>
        <v>1+0.0433205346807067i</v>
      </c>
      <c r="U550" s="18">
        <f t="shared" si="326"/>
        <v>1.0009378945394276</v>
      </c>
      <c r="V550" s="18">
        <f t="shared" si="327"/>
        <v>4.3293465722993432E-2</v>
      </c>
      <c r="W550" s="32" t="str">
        <f t="shared" si="318"/>
        <v>1-10.5019478013834i</v>
      </c>
      <c r="X550" s="18">
        <f t="shared" si="328"/>
        <v>10.549450583939507</v>
      </c>
      <c r="Y550" s="18">
        <f t="shared" si="329"/>
        <v>-1.475862125561086</v>
      </c>
      <c r="Z550" s="32" t="str">
        <f t="shared" si="319"/>
        <v>-1.79370132633708+4.44490334576097i</v>
      </c>
      <c r="AA550" s="18">
        <f t="shared" si="330"/>
        <v>4.7931753776865351</v>
      </c>
      <c r="AB550" s="18">
        <f t="shared" si="331"/>
        <v>1.954351671135542</v>
      </c>
      <c r="AC550" s="68" t="str">
        <f t="shared" si="332"/>
        <v>0.00357455697404833+0.0142801268050263i</v>
      </c>
      <c r="AD550" s="66">
        <f t="shared" si="333"/>
        <v>-36.641421325747643</v>
      </c>
      <c r="AE550" s="63">
        <f t="shared" si="334"/>
        <v>75.946669210205187</v>
      </c>
      <c r="AF550" s="32" t="str">
        <f t="shared" si="320"/>
        <v>-0.434440565864413</v>
      </c>
      <c r="AG550" s="32" t="str">
        <f t="shared" si="321"/>
        <v>342.626047020135i</v>
      </c>
      <c r="AH550" s="32">
        <f t="shared" si="335"/>
        <v>342.62604702013499</v>
      </c>
      <c r="AI550" s="32">
        <f t="shared" si="336"/>
        <v>1.5707963267948966</v>
      </c>
      <c r="AJ550" s="32" t="str">
        <f t="shared" si="322"/>
        <v>1+3.39233709920926i</v>
      </c>
      <c r="AK550" s="32">
        <f t="shared" si="337"/>
        <v>3.5366581676310607</v>
      </c>
      <c r="AL550" s="32">
        <f t="shared" si="338"/>
        <v>1.2841335133872858</v>
      </c>
      <c r="AM550" s="32" t="str">
        <f t="shared" si="323"/>
        <v>1+342.626047020135i</v>
      </c>
      <c r="AN550" s="32">
        <f t="shared" si="339"/>
        <v>342.62750633398332</v>
      </c>
      <c r="AO550" s="32">
        <f t="shared" si="340"/>
        <v>1.5678777011701464</v>
      </c>
      <c r="AP550" s="60" t="str">
        <f t="shared" si="341"/>
        <v>-0.0343892596242522+0.117927934206011i</v>
      </c>
      <c r="AQ550" s="51">
        <f t="shared" si="342"/>
        <v>-18.213217301522601</v>
      </c>
      <c r="AR550" s="63">
        <f t="shared" si="343"/>
        <v>106.25734442132546</v>
      </c>
      <c r="AS550" s="60" t="str">
        <f t="shared" si="344"/>
        <v>-0.00180695222213886-0.0000695428685140832i</v>
      </c>
      <c r="AT550" s="66">
        <f t="shared" si="345"/>
        <v>-54.854638627270269</v>
      </c>
      <c r="AU550" s="63">
        <f t="shared" si="346"/>
        <v>-177.79598636846933</v>
      </c>
      <c r="AX550" s="32">
        <f t="shared" si="347"/>
        <v>0</v>
      </c>
      <c r="AY550" s="32">
        <f t="shared" si="348"/>
        <v>0</v>
      </c>
    </row>
    <row r="551" spans="14:51" x14ac:dyDescent="0.3">
      <c r="N551" s="11">
        <v>33</v>
      </c>
      <c r="O551" s="52">
        <f t="shared" si="314"/>
        <v>2137962.0895022359</v>
      </c>
      <c r="P551" s="50" t="str">
        <f t="shared" si="315"/>
        <v>131.578947368421</v>
      </c>
      <c r="Q551" s="18" t="str">
        <f t="shared" si="316"/>
        <v>1+20149.8179821011i</v>
      </c>
      <c r="R551" s="18">
        <f t="shared" si="324"/>
        <v>20149.818006915222</v>
      </c>
      <c r="S551" s="18">
        <f t="shared" si="325"/>
        <v>1.5707466985550749</v>
      </c>
      <c r="T551" s="18" t="str">
        <f t="shared" si="317"/>
        <v>1+0.0443295995606224i</v>
      </c>
      <c r="U551" s="18">
        <f t="shared" si="326"/>
        <v>1.0009820744634768</v>
      </c>
      <c r="V551" s="18">
        <f t="shared" si="327"/>
        <v>4.4300596186571575E-2</v>
      </c>
      <c r="W551" s="32" t="str">
        <f t="shared" si="318"/>
        <v>1-10.7465695904539i</v>
      </c>
      <c r="X551" s="18">
        <f t="shared" si="328"/>
        <v>10.792995782565121</v>
      </c>
      <c r="Y551" s="18">
        <f t="shared" si="329"/>
        <v>-1.4780105675061161</v>
      </c>
      <c r="Z551" s="32" t="str">
        <f t="shared" si="319"/>
        <v>-1.92536441353521+4.54843844508247i</v>
      </c>
      <c r="AA551" s="18">
        <f t="shared" si="330"/>
        <v>4.9391619140915024</v>
      </c>
      <c r="AB551" s="18">
        <f t="shared" si="331"/>
        <v>1.9712281209484266</v>
      </c>
      <c r="AC551" s="68" t="str">
        <f t="shared" si="332"/>
        <v>0.00371744659397472+0.0137911170297972i</v>
      </c>
      <c r="AD551" s="66">
        <f t="shared" si="333"/>
        <v>-36.903393519008013</v>
      </c>
      <c r="AE551" s="63">
        <f t="shared" si="334"/>
        <v>74.914261298405592</v>
      </c>
      <c r="AF551" s="32" t="str">
        <f t="shared" si="320"/>
        <v>-0.434440565864413</v>
      </c>
      <c r="AG551" s="32" t="str">
        <f t="shared" si="321"/>
        <v>350.606832888559i</v>
      </c>
      <c r="AH551" s="32">
        <f t="shared" si="335"/>
        <v>350.60683288855898</v>
      </c>
      <c r="AI551" s="32">
        <f t="shared" si="336"/>
        <v>1.5707963267948966</v>
      </c>
      <c r="AJ551" s="32" t="str">
        <f t="shared" si="322"/>
        <v>1+3.47135478107485i</v>
      </c>
      <c r="AK551" s="32">
        <f t="shared" si="337"/>
        <v>3.6125204519962542</v>
      </c>
      <c r="AL551" s="32">
        <f t="shared" si="338"/>
        <v>1.2903182848074766</v>
      </c>
      <c r="AM551" s="32" t="str">
        <f t="shared" si="323"/>
        <v>1+350.606832888559i</v>
      </c>
      <c r="AN551" s="32">
        <f t="shared" si="339"/>
        <v>350.60825898450526</v>
      </c>
      <c r="AO551" s="32">
        <f t="shared" si="340"/>
        <v>1.5679441368358553</v>
      </c>
      <c r="AP551" s="60" t="str">
        <f t="shared" si="341"/>
        <v>-0.0329600884081178+0.115655270859979i</v>
      </c>
      <c r="AQ551" s="51">
        <f t="shared" si="342"/>
        <v>-18.397563546091934</v>
      </c>
      <c r="AR551" s="63">
        <f t="shared" si="343"/>
        <v>105.90678960494964</v>
      </c>
      <c r="AS551" s="60" t="str">
        <f t="shared" si="344"/>
        <v>-0.00171754274393273-0.0000246141438151621i</v>
      </c>
      <c r="AT551" s="66">
        <f t="shared" si="345"/>
        <v>-55.300957065099929</v>
      </c>
      <c r="AU551" s="63">
        <f t="shared" si="346"/>
        <v>-179.17894909664477</v>
      </c>
      <c r="AX551" s="32">
        <f t="shared" si="347"/>
        <v>0</v>
      </c>
      <c r="AY551" s="32">
        <f t="shared" si="348"/>
        <v>0</v>
      </c>
    </row>
    <row r="552" spans="14:51" x14ac:dyDescent="0.3">
      <c r="N552" s="11">
        <v>34</v>
      </c>
      <c r="O552" s="52">
        <f t="shared" si="314"/>
        <v>2187761.6239495561</v>
      </c>
      <c r="P552" s="50" t="str">
        <f t="shared" si="315"/>
        <v>131.578947368421</v>
      </c>
      <c r="Q552" s="18" t="str">
        <f t="shared" si="316"/>
        <v>1+20619.1675368168i</v>
      </c>
      <c r="R552" s="18">
        <f t="shared" si="324"/>
        <v>20619.167561066079</v>
      </c>
      <c r="S552" s="18">
        <f t="shared" si="325"/>
        <v>1.5707478282317306</v>
      </c>
      <c r="T552" s="18" t="str">
        <f t="shared" si="317"/>
        <v>1+0.045362168580997i</v>
      </c>
      <c r="U552" s="18">
        <f t="shared" si="326"/>
        <v>1.0010283344333319</v>
      </c>
      <c r="V552" s="18">
        <f t="shared" si="327"/>
        <v>4.5331092629780724E-2</v>
      </c>
      <c r="W552" s="32" t="str">
        <f t="shared" si="318"/>
        <v>1-10.996889352969i</v>
      </c>
      <c r="X552" s="18">
        <f t="shared" si="328"/>
        <v>11.042263148532683</v>
      </c>
      <c r="Y552" s="18">
        <f t="shared" si="329"/>
        <v>-1.4801109353342123</v>
      </c>
      <c r="Z552" s="32" t="str">
        <f t="shared" si="319"/>
        <v>-2.06323259086489+4.65438518667326i</v>
      </c>
      <c r="AA552" s="18">
        <f t="shared" si="330"/>
        <v>5.0911914312791779</v>
      </c>
      <c r="AB552" s="18">
        <f t="shared" si="331"/>
        <v>1.9880544597682637</v>
      </c>
      <c r="AC552" s="68" t="str">
        <f t="shared" si="332"/>
        <v>0.00384473706896441+0.0133106546976581i</v>
      </c>
      <c r="AD552" s="66">
        <f t="shared" si="333"/>
        <v>-37.167993682406184</v>
      </c>
      <c r="AE552" s="63">
        <f t="shared" si="334"/>
        <v>73.88881925869147</v>
      </c>
      <c r="AF552" s="32" t="str">
        <f t="shared" si="320"/>
        <v>-0.434440565864413</v>
      </c>
      <c r="AG552" s="32" t="str">
        <f t="shared" si="321"/>
        <v>358.773515140613i</v>
      </c>
      <c r="AH552" s="32">
        <f t="shared" si="335"/>
        <v>358.77351514061297</v>
      </c>
      <c r="AI552" s="32">
        <f t="shared" si="336"/>
        <v>1.5707963267948966</v>
      </c>
      <c r="AJ552" s="32" t="str">
        <f t="shared" si="322"/>
        <v>1+3.55221302119418i</v>
      </c>
      <c r="AK552" s="32">
        <f t="shared" si="337"/>
        <v>3.6902868923623653</v>
      </c>
      <c r="AL552" s="32">
        <f t="shared" si="338"/>
        <v>1.2963836436839302</v>
      </c>
      <c r="AM552" s="32" t="str">
        <f t="shared" si="323"/>
        <v>1+358.773515140613i</v>
      </c>
      <c r="AN552" s="32">
        <f t="shared" si="339"/>
        <v>358.77490877477987</v>
      </c>
      <c r="AO552" s="32">
        <f t="shared" si="340"/>
        <v>1.5680090602655139</v>
      </c>
      <c r="AP552" s="60" t="str">
        <f t="shared" si="341"/>
        <v>-0.0315855712339767+0.113409582203211i</v>
      </c>
      <c r="AQ552" s="51">
        <f t="shared" si="342"/>
        <v>-18.582561459044602</v>
      </c>
      <c r="AR552" s="63">
        <f t="shared" si="343"/>
        <v>105.56298997860756</v>
      </c>
      <c r="AS552" s="60" t="str">
        <f t="shared" si="344"/>
        <v>-0.0016309940046803+0.0000156053925487053i</v>
      </c>
      <c r="AT552" s="66">
        <f t="shared" si="345"/>
        <v>-55.750555141450775</v>
      </c>
      <c r="AU552" s="63">
        <f t="shared" si="346"/>
        <v>179.45180923729905</v>
      </c>
      <c r="AX552" s="32">
        <f t="shared" si="347"/>
        <v>0</v>
      </c>
      <c r="AY552" s="32">
        <f t="shared" si="348"/>
        <v>0</v>
      </c>
    </row>
    <row r="553" spans="14:51" x14ac:dyDescent="0.3">
      <c r="N553" s="11">
        <v>35</v>
      </c>
      <c r="O553" s="52">
        <f t="shared" si="314"/>
        <v>2238721.1385683389</v>
      </c>
      <c r="P553" s="50" t="str">
        <f t="shared" si="315"/>
        <v>131.578947368421</v>
      </c>
      <c r="Q553" s="18" t="str">
        <f t="shared" si="316"/>
        <v>1+21099.4496470873i</v>
      </c>
      <c r="R553" s="18">
        <f t="shared" si="324"/>
        <v>21099.449670784597</v>
      </c>
      <c r="S553" s="18">
        <f t="shared" si="325"/>
        <v>1.5707489321938062</v>
      </c>
      <c r="T553" s="18" t="str">
        <f t="shared" si="317"/>
        <v>1+0.0464187892235922i</v>
      </c>
      <c r="U553" s="18">
        <f t="shared" si="326"/>
        <v>1.0010767722772236</v>
      </c>
      <c r="V553" s="18">
        <f t="shared" si="327"/>
        <v>4.6385492676029441E-2</v>
      </c>
      <c r="W553" s="32" t="str">
        <f t="shared" si="318"/>
        <v>1-11.2530398117799i</v>
      </c>
      <c r="X553" s="18">
        <f t="shared" si="328"/>
        <v>11.297384874629323</v>
      </c>
      <c r="Y553" s="18">
        <f t="shared" si="329"/>
        <v>-1.4821642685203089</v>
      </c>
      <c r="Z553" s="32" t="str">
        <f t="shared" si="319"/>
        <v>-2.20759829521452+4.76279974489808i</v>
      </c>
      <c r="AA553" s="18">
        <f t="shared" si="330"/>
        <v>5.2495477560486368</v>
      </c>
      <c r="AB553" s="18">
        <f t="shared" si="331"/>
        <v>2.004826987377732</v>
      </c>
      <c r="AC553" s="68" t="str">
        <f t="shared" si="332"/>
        <v>0.00395704622272295+0.0128390756677301i</v>
      </c>
      <c r="AD553" s="66">
        <f t="shared" si="333"/>
        <v>-37.435226041353722</v>
      </c>
      <c r="AE553" s="63">
        <f t="shared" si="334"/>
        <v>72.870526309605381</v>
      </c>
      <c r="AF553" s="32" t="str">
        <f t="shared" si="320"/>
        <v>-0.434440565864413</v>
      </c>
      <c r="AG553" s="32" t="str">
        <f t="shared" si="321"/>
        <v>367.13042385932i</v>
      </c>
      <c r="AH553" s="32">
        <f t="shared" si="335"/>
        <v>367.13042385931999</v>
      </c>
      <c r="AI553" s="32">
        <f t="shared" si="336"/>
        <v>1.5707963267948966</v>
      </c>
      <c r="AJ553" s="32" t="str">
        <f t="shared" si="322"/>
        <v>1+3.63495469167644i</v>
      </c>
      <c r="AK553" s="32">
        <f t="shared" si="337"/>
        <v>3.7699994178435317</v>
      </c>
      <c r="AL553" s="32">
        <f t="shared" si="338"/>
        <v>1.3023310201658256</v>
      </c>
      <c r="AM553" s="32" t="str">
        <f t="shared" si="323"/>
        <v>1+367.13042385932i</v>
      </c>
      <c r="AN553" s="32">
        <f t="shared" si="339"/>
        <v>367.13178577061933</v>
      </c>
      <c r="AO553" s="32">
        <f t="shared" si="340"/>
        <v>1.5680725058801932</v>
      </c>
      <c r="AP553" s="60" t="str">
        <f t="shared" si="341"/>
        <v>-0.0302640071319583+0.111191635939222i</v>
      </c>
      <c r="AQ553" s="51">
        <f t="shared" si="342"/>
        <v>-18.768186027678585</v>
      </c>
      <c r="AR553" s="63">
        <f t="shared" si="343"/>
        <v>105.22586557296924</v>
      </c>
      <c r="AS553" s="60" t="str">
        <f t="shared" si="344"/>
        <v>-0.00154735390254835+0.0000514285654157478i</v>
      </c>
      <c r="AT553" s="66">
        <f t="shared" si="345"/>
        <v>-56.203412069032282</v>
      </c>
      <c r="AU553" s="63">
        <f t="shared" si="346"/>
        <v>178.09639188257464</v>
      </c>
      <c r="AX553" s="32">
        <f t="shared" si="347"/>
        <v>0</v>
      </c>
      <c r="AY553" s="32">
        <f t="shared" si="348"/>
        <v>0</v>
      </c>
    </row>
    <row r="554" spans="14:51" x14ac:dyDescent="0.3">
      <c r="N554" s="11">
        <v>36</v>
      </c>
      <c r="O554" s="52">
        <f t="shared" si="314"/>
        <v>2290867.6527677765</v>
      </c>
      <c r="P554" s="50" t="str">
        <f t="shared" si="315"/>
        <v>131.578947368421</v>
      </c>
      <c r="Q554" s="18" t="str">
        <f t="shared" si="316"/>
        <v>1+21590.9189648452i</v>
      </c>
      <c r="R554" s="18">
        <f t="shared" si="324"/>
        <v>21590.918988003083</v>
      </c>
      <c r="S554" s="18">
        <f t="shared" si="325"/>
        <v>1.5707500110266372</v>
      </c>
      <c r="T554" s="18" t="str">
        <f t="shared" si="317"/>
        <v>1+0.0475000217226596i</v>
      </c>
      <c r="U554" s="18">
        <f t="shared" si="326"/>
        <v>1.0011274904145091</v>
      </c>
      <c r="V554" s="18">
        <f t="shared" si="327"/>
        <v>4.7464345998930513E-2</v>
      </c>
      <c r="W554" s="32" t="str">
        <f t="shared" si="318"/>
        <v>1-11.5151567812508i</v>
      </c>
      <c r="X554" s="18">
        <f t="shared" si="328"/>
        <v>11.558496255862451</v>
      </c>
      <c r="Y554" s="18">
        <f t="shared" si="329"/>
        <v>-1.484171586472784</v>
      </c>
      <c r="Z554" s="32" t="str">
        <f t="shared" si="319"/>
        <v>-2.35876774559857+4.8737396025908i</v>
      </c>
      <c r="AA554" s="18">
        <f t="shared" si="330"/>
        <v>5.4145288799246503</v>
      </c>
      <c r="AB554" s="18">
        <f t="shared" si="331"/>
        <v>2.021541882456475</v>
      </c>
      <c r="AC554" s="68" t="str">
        <f t="shared" si="332"/>
        <v>0.00405499208137987+0.0123766857707147i</v>
      </c>
      <c r="AD554" s="66">
        <f t="shared" si="333"/>
        <v>-37.705093419284182</v>
      </c>
      <c r="AE554" s="63">
        <f t="shared" si="334"/>
        <v>71.859574449319709</v>
      </c>
      <c r="AF554" s="32" t="str">
        <f t="shared" si="320"/>
        <v>-0.434440565864413</v>
      </c>
      <c r="AG554" s="32" t="str">
        <f t="shared" si="321"/>
        <v>375.681989988308i</v>
      </c>
      <c r="AH554" s="32">
        <f t="shared" si="335"/>
        <v>375.68198998830798</v>
      </c>
      <c r="AI554" s="32">
        <f t="shared" si="336"/>
        <v>1.5707963267948966</v>
      </c>
      <c r="AJ554" s="32" t="str">
        <f t="shared" si="322"/>
        <v>1+3.71962366325057i</v>
      </c>
      <c r="AK554" s="32">
        <f t="shared" si="337"/>
        <v>3.8517009484399991</v>
      </c>
      <c r="AL554" s="32">
        <f t="shared" si="338"/>
        <v>1.3081618840310245</v>
      </c>
      <c r="AM554" s="32" t="str">
        <f t="shared" si="323"/>
        <v>1+375.681989988308i</v>
      </c>
      <c r="AN554" s="32">
        <f t="shared" si="339"/>
        <v>375.68332089883245</v>
      </c>
      <c r="AO554" s="32">
        <f t="shared" si="340"/>
        <v>1.5681345073175534</v>
      </c>
      <c r="AP554" s="60" t="str">
        <f t="shared" si="341"/>
        <v>-0.0289937156862023+0.109002116043077i</v>
      </c>
      <c r="AQ554" s="51">
        <f t="shared" si="342"/>
        <v>-18.954413025368343</v>
      </c>
      <c r="AR554" s="63">
        <f t="shared" si="343"/>
        <v>104.89533410326256</v>
      </c>
      <c r="AS554" s="60" t="str">
        <f t="shared" si="344"/>
        <v>-0.00146665422612547+0.0000831566090347593i</v>
      </c>
      <c r="AT554" s="66">
        <f t="shared" si="345"/>
        <v>-56.659506444652543</v>
      </c>
      <c r="AU554" s="63">
        <f t="shared" si="346"/>
        <v>176.75490855258226</v>
      </c>
      <c r="AX554" s="32">
        <f t="shared" si="347"/>
        <v>0</v>
      </c>
      <c r="AY554" s="32">
        <f t="shared" si="348"/>
        <v>0</v>
      </c>
    </row>
    <row r="555" spans="14:51" x14ac:dyDescent="0.3">
      <c r="N555" s="11">
        <v>37</v>
      </c>
      <c r="O555" s="52">
        <f t="shared" si="314"/>
        <v>2344228.8153199251</v>
      </c>
      <c r="P555" s="50" t="str">
        <f t="shared" si="315"/>
        <v>131.578947368421</v>
      </c>
      <c r="Q555" s="18" t="str">
        <f t="shared" si="316"/>
        <v>1+22093.8360736278i</v>
      </c>
      <c r="R555" s="18">
        <f t="shared" si="324"/>
        <v>22093.836096258547</v>
      </c>
      <c r="S555" s="18">
        <f t="shared" si="325"/>
        <v>1.5707510653022347</v>
      </c>
      <c r="T555" s="18" t="str">
        <f t="shared" si="317"/>
        <v>1+0.0486064393619812i</v>
      </c>
      <c r="U555" s="18">
        <f t="shared" si="326"/>
        <v>1.0011805960701845</v>
      </c>
      <c r="V555" s="18">
        <f t="shared" si="327"/>
        <v>4.8568214569452067E-2</v>
      </c>
      <c r="W555" s="32" t="str">
        <f t="shared" si="318"/>
        <v>1-11.7833792392682i</v>
      </c>
      <c r="X555" s="18">
        <f t="shared" si="328"/>
        <v>11.82573576131383</v>
      </c>
      <c r="Y555" s="18">
        <f t="shared" si="329"/>
        <v>-1.4861338887572184</v>
      </c>
      <c r="Z555" s="32" t="str">
        <f t="shared" si="319"/>
        <v>-2.51706159268883+4.98726358153235i</v>
      </c>
      <c r="AA555" s="18">
        <f t="shared" si="330"/>
        <v>5.5864476273449588</v>
      </c>
      <c r="AB555" s="18">
        <f t="shared" si="331"/>
        <v>2.0381952107501986</v>
      </c>
      <c r="AC555" s="68" t="str">
        <f t="shared" si="332"/>
        <v>0.00413919180253436+0.011923761226383i</v>
      </c>
      <c r="AD555" s="66">
        <f t="shared" si="333"/>
        <v>-37.97759714209721</v>
      </c>
      <c r="AE555" s="63">
        <f t="shared" si="334"/>
        <v>70.856163988902381</v>
      </c>
      <c r="AF555" s="32" t="str">
        <f t="shared" si="320"/>
        <v>-0.434440565864413</v>
      </c>
      <c r="AG555" s="32" t="str">
        <f t="shared" si="321"/>
        <v>384.432747681124i</v>
      </c>
      <c r="AH555" s="32">
        <f t="shared" si="335"/>
        <v>384.432747681124</v>
      </c>
      <c r="AI555" s="32">
        <f t="shared" si="336"/>
        <v>1.5707963267948966</v>
      </c>
      <c r="AJ555" s="32" t="str">
        <f t="shared" si="322"/>
        <v>1+3.80626482852598i</v>
      </c>
      <c r="AK555" s="32">
        <f t="shared" si="337"/>
        <v>3.9354354199851769</v>
      </c>
      <c r="AL555" s="32">
        <f t="shared" si="338"/>
        <v>1.3138777402923161</v>
      </c>
      <c r="AM555" s="32" t="str">
        <f t="shared" si="323"/>
        <v>1+384.432747681124i</v>
      </c>
      <c r="AN555" s="32">
        <f t="shared" si="339"/>
        <v>384.43404829652997</v>
      </c>
      <c r="AO555" s="32">
        <f t="shared" si="340"/>
        <v>1.5681950974496699</v>
      </c>
      <c r="AP555" s="60" t="str">
        <f t="shared" si="341"/>
        <v>-0.0277730398161195+0.106841626730892i</v>
      </c>
      <c r="AQ555" s="51">
        <f t="shared" si="342"/>
        <v>-19.14121900135595</v>
      </c>
      <c r="AR555" s="63">
        <f t="shared" si="343"/>
        <v>104.57131122203756</v>
      </c>
      <c r="AS555" s="60" t="str">
        <f t="shared" si="344"/>
        <v>-0.00138891198491584+0.000111078890235707i</v>
      </c>
      <c r="AT555" s="66">
        <f t="shared" si="345"/>
        <v>-57.118816143453152</v>
      </c>
      <c r="AU555" s="63">
        <f t="shared" si="346"/>
        <v>175.42747521093997</v>
      </c>
      <c r="AX555" s="32">
        <f t="shared" si="347"/>
        <v>0</v>
      </c>
      <c r="AY555" s="32">
        <f t="shared" si="348"/>
        <v>0</v>
      </c>
    </row>
    <row r="556" spans="14:51" x14ac:dyDescent="0.3">
      <c r="N556" s="11">
        <v>38</v>
      </c>
      <c r="O556" s="52">
        <f t="shared" si="314"/>
        <v>2398832.9190194933</v>
      </c>
      <c r="P556" s="50" t="str">
        <f t="shared" si="315"/>
        <v>131.578947368421</v>
      </c>
      <c r="Q556" s="18" t="str">
        <f t="shared" si="316"/>
        <v>1+22608.467626743i</v>
      </c>
      <c r="R556" s="18">
        <f t="shared" si="324"/>
        <v>22608.467648858608</v>
      </c>
      <c r="S556" s="18">
        <f t="shared" si="325"/>
        <v>1.5707520955795902</v>
      </c>
      <c r="T556" s="18" t="str">
        <f t="shared" si="317"/>
        <v>1+0.0497386287788346i</v>
      </c>
      <c r="U556" s="18">
        <f t="shared" si="326"/>
        <v>1.0012362014993259</v>
      </c>
      <c r="V556" s="18">
        <f t="shared" si="327"/>
        <v>4.9697672906466379E-2</v>
      </c>
      <c r="W556" s="32" t="str">
        <f t="shared" si="318"/>
        <v>1-12.0578494009296i</v>
      </c>
      <c r="X556" s="18">
        <f t="shared" si="328"/>
        <v>12.099245107670905</v>
      </c>
      <c r="Y556" s="18">
        <f t="shared" si="329"/>
        <v>-1.4880521553298895</v>
      </c>
      <c r="Z556" s="32" t="str">
        <f t="shared" si="319"/>
        <v>-2.68281559895781+5.10343187363906i</v>
      </c>
      <c r="AA556" s="18">
        <f t="shared" si="330"/>
        <v>5.765632352733431</v>
      </c>
      <c r="AB556" s="18">
        <f t="shared" si="331"/>
        <v>2.0547829342415085</v>
      </c>
      <c r="AC556" s="68" t="str">
        <f t="shared" si="332"/>
        <v>0.00421026061148128+0.0114805490844236i</v>
      </c>
      <c r="AD556" s="66">
        <f t="shared" si="333"/>
        <v>-38.252736948435697</v>
      </c>
      <c r="AE556" s="63">
        <f t="shared" si="334"/>
        <v>69.860503027827875</v>
      </c>
      <c r="AF556" s="32" t="str">
        <f t="shared" si="320"/>
        <v>-0.434440565864413</v>
      </c>
      <c r="AG556" s="32" t="str">
        <f t="shared" si="321"/>
        <v>393.387336705328i</v>
      </c>
      <c r="AH556" s="32">
        <f t="shared" si="335"/>
        <v>393.38733670532798</v>
      </c>
      <c r="AI556" s="32">
        <f t="shared" si="336"/>
        <v>1.5707963267948966</v>
      </c>
      <c r="AJ556" s="32" t="str">
        <f t="shared" si="322"/>
        <v>1+3.89492412579533i</v>
      </c>
      <c r="AK556" s="32">
        <f t="shared" si="337"/>
        <v>4.0212478095365514</v>
      </c>
      <c r="AL556" s="32">
        <f t="shared" si="338"/>
        <v>1.3194801250157984</v>
      </c>
      <c r="AM556" s="32" t="str">
        <f t="shared" si="323"/>
        <v>1+393.387336705328i</v>
      </c>
      <c r="AN556" s="32">
        <f t="shared" si="339"/>
        <v>393.38860771520967</v>
      </c>
      <c r="AO556" s="32">
        <f t="shared" si="340"/>
        <v>1.5682543084004519</v>
      </c>
      <c r="AP556" s="60" t="str">
        <f t="shared" si="341"/>
        <v>-0.0266003482384898+0.104710696397108i</v>
      </c>
      <c r="AQ556" s="51">
        <f t="shared" si="342"/>
        <v>-19.32858126932252</v>
      </c>
      <c r="AR556" s="63">
        <f t="shared" si="343"/>
        <v>104.2537107597542</v>
      </c>
      <c r="AS556" s="60" t="str">
        <f t="shared" si="344"/>
        <v>-0.00131413068809137+0.000135472717026776i</v>
      </c>
      <c r="AT556" s="66">
        <f t="shared" si="345"/>
        <v>-57.581318217758252</v>
      </c>
      <c r="AU556" s="63">
        <f t="shared" si="346"/>
        <v>174.11421378758203</v>
      </c>
      <c r="AX556" s="32">
        <f t="shared" si="347"/>
        <v>0</v>
      </c>
      <c r="AY556" s="32">
        <f t="shared" si="348"/>
        <v>0</v>
      </c>
    </row>
    <row r="557" spans="14:51" x14ac:dyDescent="0.3">
      <c r="N557" s="11">
        <v>39</v>
      </c>
      <c r="O557" s="52">
        <f t="shared" si="314"/>
        <v>2454708.915685033</v>
      </c>
      <c r="P557" s="50" t="str">
        <f t="shared" si="315"/>
        <v>131.578947368421</v>
      </c>
      <c r="Q557" s="18" t="str">
        <f t="shared" si="316"/>
        <v>1+23135.0864886523i</v>
      </c>
      <c r="R557" s="18">
        <f t="shared" si="324"/>
        <v>23135.086510264493</v>
      </c>
      <c r="S557" s="18">
        <f t="shared" si="325"/>
        <v>1.5707531024049697</v>
      </c>
      <c r="T557" s="18" t="str">
        <f t="shared" si="317"/>
        <v>1+0.0508971902750352i</v>
      </c>
      <c r="U557" s="18">
        <f t="shared" si="326"/>
        <v>1.0012944242219135</v>
      </c>
      <c r="V557" s="18">
        <f t="shared" si="327"/>
        <v>5.0853308330601324E-2</v>
      </c>
      <c r="W557" s="32" t="str">
        <f t="shared" si="318"/>
        <v>1-12.3387127939479i</v>
      </c>
      <c r="X557" s="18">
        <f t="shared" si="328"/>
        <v>12.379169334472067</v>
      </c>
      <c r="Y557" s="18">
        <f t="shared" si="329"/>
        <v>-1.4899273467798444</v>
      </c>
      <c r="Z557" s="32" t="str">
        <f t="shared" si="319"/>
        <v>-2.85638135087588+5.22230607287708i</v>
      </c>
      <c r="AA557" s="18">
        <f t="shared" si="330"/>
        <v>5.9524276678041499</v>
      </c>
      <c r="AB557" s="18">
        <f t="shared" si="331"/>
        <v>2.0713009212540863</v>
      </c>
      <c r="AC557" s="68" t="str">
        <f t="shared" si="332"/>
        <v>0.00426881074414998+0.0110472676927387i</v>
      </c>
      <c r="AD557" s="66">
        <f t="shared" si="333"/>
        <v>-38.530510906568288</v>
      </c>
      <c r="AE557" s="63">
        <f t="shared" si="334"/>
        <v>68.872806875707511</v>
      </c>
      <c r="AF557" s="32" t="str">
        <f t="shared" si="320"/>
        <v>-0.434440565864413</v>
      </c>
      <c r="AG557" s="32" t="str">
        <f t="shared" si="321"/>
        <v>402.550504902551i</v>
      </c>
      <c r="AH557" s="32">
        <f t="shared" si="335"/>
        <v>402.55050490255098</v>
      </c>
      <c r="AI557" s="32">
        <f t="shared" si="336"/>
        <v>1.5707963267948966</v>
      </c>
      <c r="AJ557" s="32" t="str">
        <f t="shared" si="322"/>
        <v>1+3.9856485633916i</v>
      </c>
      <c r="AK557" s="32">
        <f t="shared" si="337"/>
        <v>4.1091841612253788</v>
      </c>
      <c r="AL557" s="32">
        <f t="shared" si="338"/>
        <v>1.3249706013491716</v>
      </c>
      <c r="AM557" s="32" t="str">
        <f t="shared" si="323"/>
        <v>1+402.550504902551i</v>
      </c>
      <c r="AN557" s="32">
        <f t="shared" si="339"/>
        <v>402.55174698080577</v>
      </c>
      <c r="AO557" s="32">
        <f t="shared" si="340"/>
        <v>1.5683121715626676</v>
      </c>
      <c r="AP557" s="60" t="str">
        <f t="shared" si="341"/>
        <v>-0.0254740376285169+0.102609781502633i</v>
      </c>
      <c r="AQ557" s="51">
        <f t="shared" si="342"/>
        <v>-19.516477894886449</v>
      </c>
      <c r="AR557" s="63">
        <f t="shared" si="343"/>
        <v>103.94244495331968</v>
      </c>
      <c r="AS557" s="60" t="str">
        <f t="shared" si="344"/>
        <v>-0.00124230156967851+0.000156603224836197i</v>
      </c>
      <c r="AT557" s="66">
        <f t="shared" si="345"/>
        <v>-58.046988801454724</v>
      </c>
      <c r="AU557" s="63">
        <f t="shared" si="346"/>
        <v>172.81525182902718</v>
      </c>
      <c r="AX557" s="32">
        <f t="shared" si="347"/>
        <v>0</v>
      </c>
      <c r="AY557" s="32">
        <f t="shared" si="348"/>
        <v>0</v>
      </c>
    </row>
    <row r="558" spans="14:51" x14ac:dyDescent="0.3">
      <c r="N558" s="11">
        <v>40</v>
      </c>
      <c r="O558" s="52">
        <f t="shared" si="314"/>
        <v>2511886.431509587</v>
      </c>
      <c r="P558" s="50" t="str">
        <f t="shared" si="315"/>
        <v>131.578947368421</v>
      </c>
      <c r="Q558" s="18" t="str">
        <f t="shared" si="316"/>
        <v>1+23673.9718796472i</v>
      </c>
      <c r="R558" s="18">
        <f t="shared" si="324"/>
        <v>23673.971900767439</v>
      </c>
      <c r="S558" s="18">
        <f t="shared" si="325"/>
        <v>1.5707540863122058</v>
      </c>
      <c r="T558" s="18" t="str">
        <f t="shared" si="317"/>
        <v>1+0.0520827381352238i</v>
      </c>
      <c r="U558" s="18">
        <f t="shared" si="326"/>
        <v>1.0013553872685073</v>
      </c>
      <c r="V558" s="18">
        <f t="shared" si="327"/>
        <v>5.2035721221298542E-2</v>
      </c>
      <c r="W558" s="32" t="str">
        <f t="shared" si="318"/>
        <v>1-12.6261183358118i</v>
      </c>
      <c r="X558" s="18">
        <f t="shared" si="328"/>
        <v>12.665656881106599</v>
      </c>
      <c r="Y558" s="18">
        <f t="shared" si="329"/>
        <v>-1.491760404578504</v>
      </c>
      <c r="Z558" s="32" t="str">
        <f t="shared" si="319"/>
        <v>-3.03812700467326+5.34394920792036i</v>
      </c>
      <c r="AA558" s="18">
        <f t="shared" si="330"/>
        <v>6.1471952005249975</v>
      </c>
      <c r="AB558" s="18">
        <f t="shared" si="331"/>
        <v>2.0877449574133671</v>
      </c>
      <c r="AC558" s="68" t="str">
        <f t="shared" si="332"/>
        <v>0.00431545039722052+0.01062410719726i</v>
      </c>
      <c r="AD558" s="66">
        <f t="shared" si="333"/>
        <v>-38.81091533859616</v>
      </c>
      <c r="AE558" s="63">
        <f t="shared" si="334"/>
        <v>67.893297424700279</v>
      </c>
      <c r="AF558" s="32" t="str">
        <f t="shared" si="320"/>
        <v>-0.434440565864413</v>
      </c>
      <c r="AG558" s="32" t="str">
        <f t="shared" si="321"/>
        <v>411.927110705862i</v>
      </c>
      <c r="AH558" s="32">
        <f t="shared" si="335"/>
        <v>411.92711070586199</v>
      </c>
      <c r="AI558" s="32">
        <f t="shared" si="336"/>
        <v>1.5707963267948966</v>
      </c>
      <c r="AJ558" s="32" t="str">
        <f t="shared" si="322"/>
        <v>1+4.07848624461249i</v>
      </c>
      <c r="AK558" s="32">
        <f t="shared" si="337"/>
        <v>4.1992916125810185</v>
      </c>
      <c r="AL558" s="32">
        <f t="shared" si="338"/>
        <v>1.3303507557569134</v>
      </c>
      <c r="AM558" s="32" t="str">
        <f t="shared" si="323"/>
        <v>1+411.927110705862i</v>
      </c>
      <c r="AN558" s="32">
        <f t="shared" si="339"/>
        <v>411.92832451104829</v>
      </c>
      <c r="AO558" s="32">
        <f t="shared" si="340"/>
        <v>1.5683687176145811</v>
      </c>
      <c r="AP558" s="60" t="str">
        <f t="shared" si="341"/>
        <v>-0.0243925344980139+0.100539270399173i</v>
      </c>
      <c r="AQ558" s="51">
        <f t="shared" si="342"/>
        <v>-19.704887682161644</v>
      </c>
      <c r="AR558" s="63">
        <f t="shared" si="343"/>
        <v>103.63742466275012</v>
      </c>
      <c r="AS558" s="60" t="str">
        <f t="shared" si="344"/>
        <v>-0.00117340475894379+0.00017472333306061i</v>
      </c>
      <c r="AT558" s="66">
        <f t="shared" si="345"/>
        <v>-58.515803020757815</v>
      </c>
      <c r="AU558" s="63">
        <f t="shared" si="346"/>
        <v>171.53072208745039</v>
      </c>
      <c r="AX558" s="32">
        <f t="shared" si="347"/>
        <v>0</v>
      </c>
      <c r="AY558" s="32">
        <f t="shared" si="348"/>
        <v>0</v>
      </c>
    </row>
    <row r="559" spans="14:51" x14ac:dyDescent="0.3">
      <c r="N559" s="11">
        <v>41</v>
      </c>
      <c r="O559" s="52">
        <f t="shared" si="314"/>
        <v>2570395.782768866</v>
      </c>
      <c r="P559" s="50" t="str">
        <f t="shared" si="315"/>
        <v>131.578947368421</v>
      </c>
      <c r="Q559" s="18" t="str">
        <f t="shared" si="316"/>
        <v>1+24225.4095238945i</v>
      </c>
      <c r="R559" s="18">
        <f t="shared" si="324"/>
        <v>24225.409544533984</v>
      </c>
      <c r="S559" s="18">
        <f t="shared" si="325"/>
        <v>1.5707550478229788</v>
      </c>
      <c r="T559" s="18" t="str">
        <f t="shared" si="317"/>
        <v>1+0.053295900952568i</v>
      </c>
      <c r="U559" s="18">
        <f t="shared" si="326"/>
        <v>1.0014192194372673</v>
      </c>
      <c r="V559" s="18">
        <f t="shared" si="327"/>
        <v>5.3245525276963995E-2</v>
      </c>
      <c r="W559" s="32" t="str">
        <f t="shared" si="318"/>
        <v>1-12.9202184127438i</v>
      </c>
      <c r="X559" s="18">
        <f t="shared" si="328"/>
        <v>12.958859665611165</v>
      </c>
      <c r="Y559" s="18">
        <f t="shared" si="329"/>
        <v>-1.4935522513358235</v>
      </c>
      <c r="Z559" s="32" t="str">
        <f t="shared" si="319"/>
        <v>-3.22843806724862+5.46842577556918i</v>
      </c>
      <c r="AA559" s="18">
        <f t="shared" si="330"/>
        <v>6.3503143872543353</v>
      </c>
      <c r="AB559" s="18">
        <f t="shared" si="331"/>
        <v>2.1041107573789182</v>
      </c>
      <c r="AC559" s="68" t="str">
        <f t="shared" si="332"/>
        <v>0.00435078268678772+0.010211230077208i</v>
      </c>
      <c r="AD559" s="66">
        <f t="shared" si="333"/>
        <v>-39.093944752627706</v>
      </c>
      <c r="AE559" s="63">
        <f t="shared" si="334"/>
        <v>66.922202477508506</v>
      </c>
      <c r="AF559" s="32" t="str">
        <f t="shared" si="320"/>
        <v>-0.434440565864413</v>
      </c>
      <c r="AG559" s="32" t="str">
        <f t="shared" si="321"/>
        <v>421.522125715766i</v>
      </c>
      <c r="AH559" s="32">
        <f t="shared" si="335"/>
        <v>421.52212571576598</v>
      </c>
      <c r="AI559" s="32">
        <f t="shared" si="336"/>
        <v>1.5707963267948966</v>
      </c>
      <c r="AJ559" s="32" t="str">
        <f t="shared" si="322"/>
        <v>1+4.1734863932254i</v>
      </c>
      <c r="AK559" s="32">
        <f t="shared" si="337"/>
        <v>4.2916184213461426</v>
      </c>
      <c r="AL559" s="32">
        <f t="shared" si="338"/>
        <v>1.3356221944585611</v>
      </c>
      <c r="AM559" s="32" t="str">
        <f t="shared" si="323"/>
        <v>1+421.522125715766i</v>
      </c>
      <c r="AN559" s="32">
        <f t="shared" si="339"/>
        <v>421.52331189145161</v>
      </c>
      <c r="AO559" s="32">
        <f t="shared" si="340"/>
        <v>1.5684239765362098</v>
      </c>
      <c r="AP559" s="60" t="str">
        <f t="shared" si="341"/>
        <v>-0.0233542968087591+0.098499487077027i</v>
      </c>
      <c r="AQ559" s="51">
        <f t="shared" si="342"/>
        <v>-19.89379015950615</v>
      </c>
      <c r="AR559" s="63">
        <f t="shared" si="343"/>
        <v>103.33855957617352</v>
      </c>
      <c r="AS559" s="60" t="str">
        <f t="shared" si="344"/>
        <v>-0.00110741039524815+0.000190073765026556i</v>
      </c>
      <c r="AT559" s="66">
        <f t="shared" si="345"/>
        <v>-58.987734912133845</v>
      </c>
      <c r="AU559" s="63">
        <f t="shared" si="346"/>
        <v>170.26076205368201</v>
      </c>
      <c r="AX559" s="32">
        <f t="shared" si="347"/>
        <v>0</v>
      </c>
      <c r="AY559" s="32">
        <f t="shared" si="348"/>
        <v>0</v>
      </c>
    </row>
    <row r="560" spans="14:51" ht="15" thickBot="1" x14ac:dyDescent="0.35">
      <c r="N560" s="11">
        <v>42</v>
      </c>
      <c r="O560" s="52">
        <f t="shared" si="314"/>
        <v>2630267.9918953842</v>
      </c>
      <c r="P560" s="50" t="str">
        <f t="shared" si="315"/>
        <v>131.578947368421</v>
      </c>
      <c r="Q560" s="18" t="str">
        <f t="shared" si="316"/>
        <v>1+24789.6918009327i</v>
      </c>
      <c r="R560" s="18">
        <f t="shared" si="324"/>
        <v>24789.691821102369</v>
      </c>
      <c r="S560" s="18">
        <f t="shared" si="325"/>
        <v>1.5707559874470949</v>
      </c>
      <c r="T560" s="18" t="str">
        <f t="shared" si="317"/>
        <v>1+0.0545373219620519i</v>
      </c>
      <c r="U560" s="18">
        <f t="shared" si="326"/>
        <v>1.0014860555628284</v>
      </c>
      <c r="V560" s="18">
        <f t="shared" si="327"/>
        <v>5.448334777808353E-2</v>
      </c>
      <c r="W560" s="32" t="str">
        <f t="shared" si="318"/>
        <v>1-13.2211689604974i</v>
      </c>
      <c r="X560" s="18">
        <f t="shared" si="328"/>
        <v>13.258933165304812</v>
      </c>
      <c r="Y560" s="18">
        <f t="shared" si="329"/>
        <v>-1.4953037910620972</v>
      </c>
      <c r="Z560" s="32" t="str">
        <f t="shared" si="319"/>
        <v>-3.42771821388119+5.59580177494738i</v>
      </c>
      <c r="AA560" s="18">
        <f t="shared" si="330"/>
        <v>6.5621832996554668</v>
      </c>
      <c r="AB560" s="18">
        <f t="shared" si="331"/>
        <v>2.1203939772567235</v>
      </c>
      <c r="AC560" s="61" t="str">
        <f t="shared" si="332"/>
        <v>0.00437540461778735+0.00980877171941448i</v>
      </c>
      <c r="AD560" s="67">
        <f t="shared" si="333"/>
        <v>-39.379591783494575</v>
      </c>
      <c r="AE560" s="65">
        <f t="shared" si="334"/>
        <v>65.959755036266102</v>
      </c>
      <c r="AF560" s="32" t="str">
        <f t="shared" si="320"/>
        <v>-0.434440565864413</v>
      </c>
      <c r="AG560" s="32" t="str">
        <f t="shared" si="321"/>
        <v>431.340637336229i</v>
      </c>
      <c r="AH560" s="32">
        <f t="shared" si="335"/>
        <v>431.34063733622901</v>
      </c>
      <c r="AI560" s="32">
        <f t="shared" si="336"/>
        <v>1.5707963267948966</v>
      </c>
      <c r="AJ560" s="32" t="str">
        <f t="shared" si="322"/>
        <v>1+4.27069937956663i</v>
      </c>
      <c r="AK560" s="32">
        <f t="shared" si="337"/>
        <v>4.3862139927995765</v>
      </c>
      <c r="AL560" s="32">
        <f t="shared" si="338"/>
        <v>1.3407865400657082</v>
      </c>
      <c r="AM560" s="32" t="str">
        <f t="shared" si="323"/>
        <v>1+431.340637336229i</v>
      </c>
      <c r="AN560" s="32">
        <f t="shared" si="339"/>
        <v>431.34179651133303</v>
      </c>
      <c r="AO560" s="32">
        <f t="shared" si="340"/>
        <v>1.5684779776252149</v>
      </c>
      <c r="AP560" s="64" t="str">
        <f t="shared" si="341"/>
        <v>-0.0223578153388243+0.0964906948255873i</v>
      </c>
      <c r="AQ560" s="57">
        <f t="shared" si="342"/>
        <v>-20.083165564576532</v>
      </c>
      <c r="AR560" s="65">
        <f t="shared" si="343"/>
        <v>103.04575840342623</v>
      </c>
      <c r="AS560" s="64" t="str">
        <f t="shared" si="344"/>
        <v>-0.001044279687069+0.000202883124910034i</v>
      </c>
      <c r="AT560" s="67">
        <f t="shared" si="345"/>
        <v>-59.462757348071122</v>
      </c>
      <c r="AU560" s="65">
        <f t="shared" si="346"/>
        <v>169.00551343969229</v>
      </c>
      <c r="AX560" s="32">
        <f t="shared" si="347"/>
        <v>0</v>
      </c>
      <c r="AY560" s="32">
        <f t="shared" si="348"/>
        <v>0</v>
      </c>
    </row>
    <row r="561" spans="14:31" x14ac:dyDescent="0.3">
      <c r="N561" s="11"/>
      <c r="P561" s="50"/>
      <c r="Q561" s="18"/>
      <c r="R561" s="18"/>
      <c r="S561" s="18"/>
      <c r="T561" s="18"/>
      <c r="U561" s="18"/>
      <c r="V561" s="18"/>
      <c r="W561" s="32"/>
      <c r="X561" s="18"/>
      <c r="Y561" s="18"/>
      <c r="Z561" s="32"/>
      <c r="AA561" s="18"/>
      <c r="AB561" s="18"/>
      <c r="AC561" s="18"/>
      <c r="AD561" s="33"/>
      <c r="AE561" s="32"/>
    </row>
    <row r="562" spans="14:31" x14ac:dyDescent="0.3">
      <c r="N562" s="11"/>
      <c r="P562" s="50"/>
      <c r="Q562" s="18"/>
      <c r="R562" s="18"/>
      <c r="S562" s="18"/>
      <c r="T562" s="18"/>
      <c r="U562" s="18"/>
      <c r="V562" s="18"/>
      <c r="W562" s="32"/>
      <c r="X562" s="18"/>
      <c r="Y562" s="18"/>
      <c r="Z562" s="32"/>
      <c r="AA562" s="18"/>
      <c r="AB562" s="18"/>
      <c r="AC562" s="18"/>
      <c r="AD562" s="33"/>
      <c r="AE562" s="32"/>
    </row>
    <row r="563" spans="14:31" x14ac:dyDescent="0.3">
      <c r="N563" s="11"/>
      <c r="P563" s="50"/>
      <c r="Q563" s="18"/>
      <c r="R563" s="18"/>
      <c r="S563" s="18"/>
      <c r="T563" s="18"/>
      <c r="U563" s="18"/>
      <c r="V563" s="18"/>
      <c r="W563" s="32"/>
      <c r="X563" s="18"/>
      <c r="Y563" s="18"/>
      <c r="Z563" s="32"/>
      <c r="AA563" s="18"/>
      <c r="AB563" s="18"/>
      <c r="AC563" s="18"/>
      <c r="AD563" s="33"/>
      <c r="AE563" s="32"/>
    </row>
    <row r="564" spans="14:31" x14ac:dyDescent="0.3">
      <c r="N564" s="11"/>
      <c r="P564" s="50"/>
      <c r="Q564" s="18"/>
      <c r="R564" s="18"/>
      <c r="S564" s="18"/>
      <c r="T564" s="18"/>
      <c r="U564" s="18"/>
      <c r="V564" s="18"/>
      <c r="W564" s="32"/>
      <c r="X564" s="18"/>
      <c r="Y564" s="18"/>
      <c r="Z564" s="32"/>
      <c r="AA564" s="18"/>
      <c r="AB564" s="18"/>
      <c r="AC564" s="18"/>
      <c r="AD564" s="33"/>
      <c r="AE564" s="32"/>
    </row>
    <row r="565" spans="14:31" x14ac:dyDescent="0.3">
      <c r="N565" s="11"/>
      <c r="P565" s="50"/>
      <c r="Q565" s="18"/>
      <c r="R565" s="18"/>
      <c r="S565" s="18"/>
      <c r="T565" s="18"/>
      <c r="U565" s="18"/>
      <c r="V565" s="18"/>
      <c r="W565" s="32"/>
      <c r="X565" s="18"/>
      <c r="Y565" s="18"/>
      <c r="Z565" s="32"/>
      <c r="AA565" s="18"/>
      <c r="AB565" s="18"/>
      <c r="AC565" s="18"/>
      <c r="AD565" s="33"/>
      <c r="AE565" s="32"/>
    </row>
    <row r="566" spans="14:31" x14ac:dyDescent="0.3">
      <c r="N566" s="11"/>
      <c r="P566" s="50"/>
      <c r="Q566" s="18"/>
      <c r="R566" s="18"/>
      <c r="S566" s="18"/>
      <c r="T566" s="18"/>
      <c r="U566" s="18"/>
      <c r="V566" s="18"/>
      <c r="W566" s="32"/>
      <c r="X566" s="18"/>
      <c r="Y566" s="18"/>
      <c r="Z566" s="32"/>
      <c r="AA566" s="18"/>
      <c r="AB566" s="18"/>
      <c r="AC566" s="18"/>
      <c r="AD566" s="33"/>
      <c r="AE566" s="32"/>
    </row>
    <row r="567" spans="14:31" x14ac:dyDescent="0.3">
      <c r="N567" s="11"/>
      <c r="P567" s="50"/>
      <c r="Q567" s="18"/>
      <c r="R567" s="18"/>
      <c r="S567" s="18"/>
      <c r="T567" s="18"/>
      <c r="U567" s="18"/>
      <c r="V567" s="18"/>
      <c r="W567" s="32"/>
      <c r="X567" s="18"/>
      <c r="Y567" s="18"/>
      <c r="Z567" s="32"/>
      <c r="AA567" s="18"/>
      <c r="AB567" s="18"/>
      <c r="AC567" s="18"/>
      <c r="AD567" s="33"/>
      <c r="AE567" s="32"/>
    </row>
    <row r="568" spans="14:31" x14ac:dyDescent="0.3">
      <c r="N568" s="11"/>
      <c r="P568" s="50"/>
      <c r="Q568" s="18"/>
      <c r="R568" s="18"/>
      <c r="S568" s="18"/>
      <c r="T568" s="18"/>
      <c r="U568" s="18"/>
      <c r="V568" s="18"/>
      <c r="W568" s="32"/>
      <c r="X568" s="18"/>
      <c r="Y568" s="18"/>
      <c r="Z568" s="32"/>
      <c r="AA568" s="18"/>
      <c r="AB568" s="18"/>
      <c r="AC568" s="18"/>
      <c r="AD568" s="33"/>
      <c r="AE568" s="32"/>
    </row>
    <row r="569" spans="14:31" x14ac:dyDescent="0.3">
      <c r="N569" s="11"/>
      <c r="P569" s="50"/>
      <c r="Q569" s="18"/>
      <c r="R569" s="18"/>
      <c r="S569" s="18"/>
      <c r="T569" s="18"/>
      <c r="U569" s="18"/>
      <c r="V569" s="18"/>
      <c r="W569" s="32"/>
      <c r="X569" s="18"/>
      <c r="Y569" s="18"/>
      <c r="Z569" s="32"/>
      <c r="AA569" s="18"/>
      <c r="AB569" s="18"/>
      <c r="AC569" s="18"/>
      <c r="AD569" s="33"/>
      <c r="AE569" s="32"/>
    </row>
    <row r="570" spans="14:31" x14ac:dyDescent="0.3">
      <c r="N570" s="11"/>
      <c r="P570" s="50"/>
      <c r="Q570" s="18"/>
      <c r="R570" s="18"/>
      <c r="S570" s="18"/>
      <c r="T570" s="18"/>
      <c r="U570" s="18"/>
      <c r="V570" s="18"/>
      <c r="W570" s="32"/>
      <c r="X570" s="18"/>
      <c r="Y570" s="18"/>
      <c r="Z570" s="32"/>
      <c r="AA570" s="18"/>
      <c r="AB570" s="18"/>
      <c r="AC570" s="18"/>
      <c r="AD570" s="33"/>
      <c r="AE570" s="32"/>
    </row>
    <row r="571" spans="14:31" x14ac:dyDescent="0.3">
      <c r="N571" s="11"/>
      <c r="P571" s="50"/>
      <c r="Q571" s="18"/>
      <c r="R571" s="18"/>
      <c r="S571" s="18"/>
      <c r="T571" s="18"/>
      <c r="U571" s="18"/>
      <c r="V571" s="18"/>
      <c r="W571" s="32"/>
      <c r="X571" s="18"/>
      <c r="Y571" s="18"/>
      <c r="Z571" s="32"/>
      <c r="AA571" s="18"/>
      <c r="AB571" s="18"/>
      <c r="AC571" s="18"/>
      <c r="AD571" s="33"/>
      <c r="AE571" s="32"/>
    </row>
    <row r="572" spans="14:31" x14ac:dyDescent="0.3">
      <c r="N572" s="11"/>
      <c r="P572" s="50"/>
      <c r="Q572" s="18"/>
      <c r="R572" s="18"/>
      <c r="S572" s="18"/>
      <c r="T572" s="18"/>
      <c r="U572" s="18"/>
      <c r="V572" s="18"/>
      <c r="W572" s="32"/>
      <c r="X572" s="18"/>
      <c r="Y572" s="18"/>
      <c r="Z572" s="32"/>
      <c r="AA572" s="18"/>
      <c r="AB572" s="18"/>
      <c r="AC572" s="18"/>
      <c r="AD572" s="33"/>
      <c r="AE572" s="32"/>
    </row>
    <row r="573" spans="14:31" x14ac:dyDescent="0.3">
      <c r="N573" s="11"/>
      <c r="P573" s="50"/>
      <c r="Q573" s="18"/>
      <c r="R573" s="18"/>
      <c r="S573" s="18"/>
      <c r="T573" s="18"/>
      <c r="U573" s="18"/>
      <c r="V573" s="18"/>
      <c r="W573" s="32"/>
      <c r="X573" s="18"/>
      <c r="Y573" s="18"/>
      <c r="Z573" s="32"/>
      <c r="AA573" s="18"/>
      <c r="AB573" s="18"/>
      <c r="AC573" s="18"/>
      <c r="AD573" s="33"/>
      <c r="AE573" s="32"/>
    </row>
    <row r="574" spans="14:31" x14ac:dyDescent="0.3">
      <c r="N574" s="11"/>
      <c r="P574" s="50"/>
      <c r="Q574" s="18"/>
      <c r="R574" s="18"/>
      <c r="S574" s="18"/>
      <c r="T574" s="18"/>
      <c r="U574" s="18"/>
      <c r="V574" s="18"/>
      <c r="W574" s="32"/>
      <c r="X574" s="18"/>
      <c r="Y574" s="18"/>
      <c r="Z574" s="32"/>
      <c r="AA574" s="18"/>
      <c r="AB574" s="18"/>
      <c r="AC574" s="18"/>
      <c r="AD574" s="33"/>
      <c r="AE574" s="32"/>
    </row>
    <row r="575" spans="14:31" x14ac:dyDescent="0.3">
      <c r="N575" s="11"/>
      <c r="P575" s="50"/>
      <c r="Q575" s="18"/>
      <c r="R575" s="18"/>
      <c r="S575" s="18"/>
      <c r="T575" s="18"/>
      <c r="U575" s="18"/>
      <c r="V575" s="18"/>
      <c r="W575" s="32"/>
      <c r="X575" s="18"/>
      <c r="Y575" s="18"/>
      <c r="Z575" s="32"/>
      <c r="AA575" s="18"/>
      <c r="AB575" s="18"/>
      <c r="AC575" s="18"/>
      <c r="AD575" s="33"/>
      <c r="AE575" s="32"/>
    </row>
    <row r="576" spans="14:31" x14ac:dyDescent="0.3">
      <c r="N576" s="11"/>
      <c r="P576" s="50"/>
      <c r="Q576" s="18"/>
      <c r="R576" s="18"/>
      <c r="S576" s="18"/>
      <c r="T576" s="18"/>
      <c r="U576" s="18"/>
      <c r="V576" s="18"/>
      <c r="W576" s="32"/>
      <c r="X576" s="18"/>
      <c r="Y576" s="18"/>
      <c r="Z576" s="32"/>
      <c r="AA576" s="18"/>
      <c r="AB576" s="18"/>
      <c r="AC576" s="18"/>
      <c r="AD576" s="33"/>
      <c r="AE576" s="32"/>
    </row>
    <row r="577" spans="14:31" x14ac:dyDescent="0.3">
      <c r="N577" s="11"/>
      <c r="P577" s="50"/>
      <c r="Q577" s="18"/>
      <c r="R577" s="18"/>
      <c r="S577" s="18"/>
      <c r="T577" s="18"/>
      <c r="U577" s="18"/>
      <c r="V577" s="18"/>
      <c r="W577" s="32"/>
      <c r="X577" s="18"/>
      <c r="Y577" s="18"/>
      <c r="Z577" s="32"/>
      <c r="AA577" s="18"/>
      <c r="AB577" s="18"/>
      <c r="AC577" s="18"/>
      <c r="AD577" s="33"/>
      <c r="AE577" s="32"/>
    </row>
    <row r="578" spans="14:31" x14ac:dyDescent="0.3">
      <c r="N578" s="11"/>
      <c r="P578" s="50"/>
      <c r="Q578" s="18"/>
      <c r="R578" s="18"/>
      <c r="S578" s="18"/>
      <c r="T578" s="18"/>
      <c r="U578" s="18"/>
      <c r="V578" s="18"/>
      <c r="W578" s="32"/>
      <c r="X578" s="18"/>
      <c r="Y578" s="18"/>
      <c r="Z578" s="32"/>
      <c r="AA578" s="18"/>
      <c r="AB578" s="18"/>
      <c r="AC578" s="18"/>
      <c r="AD578" s="33"/>
      <c r="AE578" s="32"/>
    </row>
    <row r="579" spans="14:31" x14ac:dyDescent="0.3">
      <c r="N579" s="11"/>
      <c r="P579" s="50"/>
      <c r="Q579" s="18"/>
      <c r="R579" s="18"/>
      <c r="S579" s="18"/>
      <c r="T579" s="18"/>
      <c r="U579" s="18"/>
      <c r="V579" s="18"/>
      <c r="W579" s="32"/>
      <c r="X579" s="18"/>
      <c r="Y579" s="18"/>
      <c r="Z579" s="32"/>
      <c r="AA579" s="18"/>
      <c r="AB579" s="18"/>
      <c r="AC579" s="18"/>
      <c r="AD579" s="33"/>
      <c r="AE579" s="32"/>
    </row>
    <row r="580" spans="14:31" x14ac:dyDescent="0.3">
      <c r="N580" s="11"/>
      <c r="P580" s="50"/>
      <c r="Q580" s="18"/>
      <c r="R580" s="18"/>
      <c r="S580" s="18"/>
      <c r="T580" s="18"/>
      <c r="U580" s="18"/>
      <c r="V580" s="18"/>
      <c r="W580" s="32"/>
      <c r="X580" s="18"/>
      <c r="Y580" s="18"/>
      <c r="Z580" s="32"/>
      <c r="AA580" s="18"/>
      <c r="AB580" s="18"/>
      <c r="AC580" s="18"/>
      <c r="AD580" s="33"/>
      <c r="AE580" s="32"/>
    </row>
    <row r="581" spans="14:31" x14ac:dyDescent="0.3">
      <c r="N581" s="11"/>
      <c r="P581" s="50"/>
      <c r="Q581" s="18"/>
      <c r="R581" s="18"/>
      <c r="S581" s="18"/>
      <c r="T581" s="18"/>
      <c r="U581" s="18"/>
      <c r="V581" s="18"/>
      <c r="W581" s="32"/>
      <c r="X581" s="18"/>
      <c r="Y581" s="18"/>
      <c r="Z581" s="32"/>
      <c r="AA581" s="18"/>
      <c r="AB581" s="18"/>
      <c r="AC581" s="18"/>
      <c r="AD581" s="33"/>
      <c r="AE581" s="32"/>
    </row>
    <row r="582" spans="14:31" x14ac:dyDescent="0.3">
      <c r="N582" s="11"/>
      <c r="P582" s="50"/>
      <c r="Q582" s="18"/>
      <c r="R582" s="18"/>
      <c r="S582" s="18"/>
      <c r="T582" s="18"/>
      <c r="U582" s="18"/>
      <c r="V582" s="18"/>
      <c r="W582" s="32"/>
      <c r="X582" s="18"/>
      <c r="Y582" s="18"/>
      <c r="Z582" s="32"/>
      <c r="AA582" s="18"/>
      <c r="AB582" s="18"/>
      <c r="AC582" s="18"/>
      <c r="AD582" s="33"/>
      <c r="AE582" s="32"/>
    </row>
    <row r="583" spans="14:31" x14ac:dyDescent="0.3">
      <c r="N583" s="11"/>
      <c r="P583" s="50"/>
      <c r="Q583" s="18"/>
      <c r="R583" s="18"/>
      <c r="S583" s="18"/>
      <c r="T583" s="18"/>
      <c r="U583" s="18"/>
      <c r="V583" s="18"/>
      <c r="W583" s="32"/>
      <c r="X583" s="18"/>
      <c r="Y583" s="18"/>
      <c r="Z583" s="32"/>
      <c r="AA583" s="18"/>
      <c r="AB583" s="18"/>
      <c r="AC583" s="18"/>
      <c r="AD583" s="33"/>
      <c r="AE583" s="32"/>
    </row>
    <row r="584" spans="14:31" x14ac:dyDescent="0.3">
      <c r="N584" s="11"/>
      <c r="P584" s="50"/>
      <c r="Q584" s="18"/>
      <c r="R584" s="18"/>
      <c r="S584" s="18"/>
      <c r="T584" s="18"/>
      <c r="U584" s="18"/>
      <c r="V584" s="18"/>
      <c r="W584" s="32"/>
      <c r="X584" s="18"/>
      <c r="Y584" s="18"/>
      <c r="Z584" s="32"/>
      <c r="AA584" s="18"/>
      <c r="AB584" s="18"/>
      <c r="AC584" s="18"/>
      <c r="AD584" s="33"/>
      <c r="AE584" s="32"/>
    </row>
    <row r="585" spans="14:31" x14ac:dyDescent="0.3">
      <c r="N585" s="11"/>
      <c r="P585" s="50"/>
      <c r="Q585" s="18"/>
      <c r="R585" s="18"/>
      <c r="S585" s="18"/>
      <c r="T585" s="18"/>
      <c r="U585" s="18"/>
      <c r="V585" s="18"/>
      <c r="W585" s="32"/>
      <c r="X585" s="18"/>
      <c r="Y585" s="18"/>
      <c r="Z585" s="32"/>
      <c r="AA585" s="18"/>
      <c r="AB585" s="18"/>
      <c r="AC585" s="18"/>
      <c r="AD585" s="33"/>
      <c r="AE585" s="32"/>
    </row>
    <row r="586" spans="14:31" x14ac:dyDescent="0.3">
      <c r="N586" s="11"/>
      <c r="P586" s="50"/>
      <c r="Q586" s="18"/>
      <c r="R586" s="18"/>
      <c r="S586" s="18"/>
      <c r="T586" s="18"/>
      <c r="U586" s="18"/>
      <c r="V586" s="18"/>
      <c r="W586" s="32"/>
      <c r="X586" s="18"/>
      <c r="Y586" s="18"/>
      <c r="Z586" s="32"/>
      <c r="AA586" s="18"/>
      <c r="AB586" s="18"/>
      <c r="AC586" s="18"/>
      <c r="AD586" s="33"/>
      <c r="AE586" s="32"/>
    </row>
    <row r="587" spans="14:31" x14ac:dyDescent="0.3">
      <c r="N587" s="11"/>
      <c r="P587" s="50"/>
      <c r="Q587" s="18"/>
      <c r="R587" s="18"/>
      <c r="S587" s="18"/>
      <c r="T587" s="18"/>
      <c r="U587" s="18"/>
      <c r="V587" s="18"/>
      <c r="W587" s="32"/>
      <c r="X587" s="18"/>
      <c r="Y587" s="18"/>
      <c r="Z587" s="32"/>
      <c r="AA587" s="18"/>
      <c r="AB587" s="18"/>
      <c r="AC587" s="18"/>
      <c r="AD587" s="33"/>
      <c r="AE587" s="32"/>
    </row>
    <row r="588" spans="14:31" x14ac:dyDescent="0.3">
      <c r="N588" s="11"/>
      <c r="P588" s="50"/>
      <c r="Q588" s="18"/>
      <c r="R588" s="18"/>
      <c r="S588" s="18"/>
      <c r="T588" s="18"/>
      <c r="U588" s="18"/>
      <c r="V588" s="18"/>
      <c r="W588" s="32"/>
      <c r="X588" s="18"/>
      <c r="Y588" s="18"/>
      <c r="Z588" s="32"/>
      <c r="AA588" s="18"/>
      <c r="AB588" s="18"/>
      <c r="AC588" s="18"/>
      <c r="AD588" s="33"/>
      <c r="AE588" s="32"/>
    </row>
    <row r="589" spans="14:31" x14ac:dyDescent="0.3">
      <c r="N589" s="11"/>
      <c r="P589" s="50"/>
      <c r="Q589" s="18"/>
      <c r="R589" s="18"/>
      <c r="S589" s="18"/>
      <c r="T589" s="18"/>
      <c r="U589" s="18"/>
      <c r="V589" s="18"/>
      <c r="W589" s="32"/>
      <c r="X589" s="18"/>
      <c r="Y589" s="18"/>
      <c r="Z589" s="32"/>
      <c r="AA589" s="18"/>
      <c r="AB589" s="18"/>
      <c r="AC589" s="18"/>
      <c r="AD589" s="33"/>
      <c r="AE589" s="32"/>
    </row>
    <row r="590" spans="14:31" x14ac:dyDescent="0.3">
      <c r="N590" s="11"/>
      <c r="P590" s="50"/>
      <c r="Q590" s="18"/>
      <c r="R590" s="18"/>
      <c r="S590" s="18"/>
      <c r="T590" s="18"/>
      <c r="U590" s="18"/>
      <c r="V590" s="18"/>
      <c r="W590" s="32"/>
      <c r="X590" s="18"/>
      <c r="Y590" s="18"/>
      <c r="Z590" s="32"/>
      <c r="AA590" s="18"/>
      <c r="AB590" s="18"/>
      <c r="AC590" s="18"/>
      <c r="AD590" s="33"/>
      <c r="AE590" s="32"/>
    </row>
    <row r="591" spans="14:31" x14ac:dyDescent="0.3">
      <c r="N591" s="11"/>
      <c r="P591" s="50"/>
      <c r="Q591" s="18"/>
      <c r="R591" s="18"/>
      <c r="S591" s="18"/>
      <c r="T591" s="18"/>
      <c r="U591" s="18"/>
      <c r="V591" s="18"/>
      <c r="W591" s="32"/>
      <c r="X591" s="18"/>
      <c r="Y591" s="18"/>
      <c r="Z591" s="32"/>
      <c r="AA591" s="18"/>
      <c r="AB591" s="18"/>
      <c r="AC591" s="18"/>
      <c r="AD591" s="33"/>
      <c r="AE591" s="32"/>
    </row>
    <row r="592" spans="14:31" x14ac:dyDescent="0.3">
      <c r="N592" s="11"/>
      <c r="P592" s="50"/>
      <c r="Q592" s="18"/>
      <c r="R592" s="18"/>
      <c r="S592" s="18"/>
      <c r="T592" s="18"/>
      <c r="U592" s="18"/>
      <c r="V592" s="18"/>
      <c r="W592" s="32"/>
      <c r="X592" s="18"/>
      <c r="Y592" s="18"/>
      <c r="Z592" s="32"/>
      <c r="AA592" s="18"/>
      <c r="AB592" s="18"/>
      <c r="AC592" s="18"/>
      <c r="AD592" s="33"/>
      <c r="AE592" s="32"/>
    </row>
    <row r="593" spans="14:31" x14ac:dyDescent="0.3">
      <c r="N593" s="11"/>
      <c r="P593" s="50"/>
      <c r="Q593" s="18"/>
      <c r="R593" s="18"/>
      <c r="S593" s="18"/>
      <c r="T593" s="18"/>
      <c r="U593" s="18"/>
      <c r="V593" s="18"/>
      <c r="W593" s="32"/>
      <c r="X593" s="18"/>
      <c r="Y593" s="18"/>
      <c r="Z593" s="32"/>
      <c r="AA593" s="18"/>
      <c r="AB593" s="18"/>
      <c r="AC593" s="18"/>
      <c r="AD593" s="33"/>
      <c r="AE593" s="32"/>
    </row>
    <row r="594" spans="14:31" x14ac:dyDescent="0.3">
      <c r="N594" s="11"/>
      <c r="P594" s="50"/>
      <c r="Q594" s="18"/>
      <c r="R594" s="18"/>
      <c r="S594" s="18"/>
      <c r="T594" s="18"/>
      <c r="U594" s="18"/>
      <c r="V594" s="18"/>
      <c r="W594" s="32"/>
      <c r="X594" s="18"/>
      <c r="Y594" s="18"/>
      <c r="Z594" s="32"/>
      <c r="AA594" s="18"/>
      <c r="AB594" s="18"/>
      <c r="AC594" s="18"/>
      <c r="AD594" s="33"/>
      <c r="AE594" s="32"/>
    </row>
    <row r="595" spans="14:31" x14ac:dyDescent="0.3">
      <c r="N595" s="11"/>
      <c r="P595" s="50"/>
      <c r="Q595" s="18"/>
      <c r="R595" s="18"/>
      <c r="S595" s="18"/>
      <c r="T595" s="18"/>
      <c r="U595" s="18"/>
      <c r="V595" s="18"/>
      <c r="W595" s="32"/>
      <c r="X595" s="18"/>
      <c r="Y595" s="18"/>
      <c r="Z595" s="32"/>
      <c r="AA595" s="18"/>
      <c r="AB595" s="18"/>
      <c r="AC595" s="18"/>
      <c r="AD595" s="33"/>
      <c r="AE595" s="32"/>
    </row>
    <row r="596" spans="14:31" x14ac:dyDescent="0.3">
      <c r="N596" s="11"/>
      <c r="P596" s="50"/>
      <c r="Q596" s="18"/>
      <c r="R596" s="18"/>
      <c r="S596" s="18"/>
      <c r="T596" s="18"/>
      <c r="U596" s="18"/>
      <c r="V596" s="18"/>
      <c r="W596" s="32"/>
      <c r="X596" s="18"/>
      <c r="Y596" s="18"/>
      <c r="Z596" s="32"/>
      <c r="AA596" s="18"/>
      <c r="AB596" s="18"/>
      <c r="AC596" s="18"/>
      <c r="AD596" s="33"/>
      <c r="AE596" s="32"/>
    </row>
    <row r="597" spans="14:31" x14ac:dyDescent="0.3">
      <c r="N597" s="11"/>
      <c r="P597" s="50"/>
      <c r="Q597" s="18"/>
      <c r="R597" s="18"/>
      <c r="S597" s="18"/>
      <c r="T597" s="18"/>
      <c r="U597" s="18"/>
      <c r="V597" s="18"/>
      <c r="W597" s="32"/>
      <c r="X597" s="18"/>
      <c r="Y597" s="18"/>
      <c r="Z597" s="32"/>
      <c r="AA597" s="18"/>
      <c r="AB597" s="18"/>
      <c r="AC597" s="18"/>
      <c r="AD597" s="33"/>
      <c r="AE597" s="32"/>
    </row>
    <row r="598" spans="14:31" x14ac:dyDescent="0.3">
      <c r="N598" s="11"/>
      <c r="P598" s="50"/>
      <c r="Q598" s="18"/>
      <c r="R598" s="18"/>
      <c r="S598" s="18"/>
      <c r="T598" s="18"/>
      <c r="U598" s="18"/>
      <c r="V598" s="18"/>
      <c r="W598" s="32"/>
      <c r="X598" s="18"/>
      <c r="Y598" s="18"/>
      <c r="Z598" s="32"/>
      <c r="AA598" s="18"/>
      <c r="AB598" s="18"/>
      <c r="AC598" s="18"/>
      <c r="AD598" s="33"/>
      <c r="AE598" s="32"/>
    </row>
    <row r="599" spans="14:31" x14ac:dyDescent="0.3">
      <c r="N599" s="11"/>
      <c r="P599" s="50"/>
      <c r="Q599" s="18"/>
      <c r="R599" s="18"/>
      <c r="S599" s="18"/>
      <c r="T599" s="18"/>
      <c r="U599" s="18"/>
      <c r="V599" s="18"/>
      <c r="W599" s="32"/>
      <c r="X599" s="18"/>
      <c r="Y599" s="18"/>
      <c r="Z599" s="32"/>
      <c r="AA599" s="18"/>
      <c r="AB599" s="18"/>
      <c r="AC599" s="18"/>
      <c r="AD599" s="33"/>
      <c r="AE599" s="32"/>
    </row>
    <row r="600" spans="14:31" x14ac:dyDescent="0.3">
      <c r="N600" s="11"/>
      <c r="P600" s="50"/>
      <c r="Q600" s="18"/>
      <c r="R600" s="18"/>
      <c r="S600" s="18"/>
      <c r="T600" s="18"/>
      <c r="U600" s="18"/>
      <c r="V600" s="18"/>
      <c r="W600" s="32"/>
      <c r="X600" s="18"/>
      <c r="Y600" s="18"/>
      <c r="Z600" s="32"/>
      <c r="AA600" s="18"/>
      <c r="AB600" s="18"/>
      <c r="AC600" s="18"/>
      <c r="AD600" s="33"/>
      <c r="AE600" s="32"/>
    </row>
    <row r="601" spans="14:31" x14ac:dyDescent="0.3">
      <c r="N601" s="11"/>
      <c r="P601" s="50"/>
      <c r="Q601" s="18"/>
      <c r="R601" s="18"/>
      <c r="S601" s="18"/>
      <c r="T601" s="18"/>
      <c r="U601" s="18"/>
      <c r="V601" s="18"/>
      <c r="W601" s="32"/>
      <c r="X601" s="18"/>
      <c r="Y601" s="18"/>
      <c r="Z601" s="32"/>
      <c r="AA601" s="18"/>
      <c r="AB601" s="18"/>
      <c r="AC601" s="18"/>
      <c r="AD601" s="33"/>
      <c r="AE601" s="32"/>
    </row>
    <row r="602" spans="14:31" x14ac:dyDescent="0.3">
      <c r="N602" s="11"/>
      <c r="P602" s="50"/>
      <c r="Q602" s="18"/>
      <c r="R602" s="18"/>
      <c r="S602" s="18"/>
      <c r="T602" s="18"/>
      <c r="U602" s="18"/>
      <c r="V602" s="18"/>
      <c r="W602" s="32"/>
      <c r="X602" s="18"/>
      <c r="Y602" s="18"/>
      <c r="Z602" s="32"/>
      <c r="AA602" s="18"/>
      <c r="AB602" s="18"/>
      <c r="AC602" s="18"/>
      <c r="AD602" s="33"/>
      <c r="AE602" s="32"/>
    </row>
    <row r="603" spans="14:31" x14ac:dyDescent="0.3">
      <c r="N603" s="11"/>
      <c r="P603" s="50"/>
      <c r="Q603" s="18"/>
      <c r="R603" s="18"/>
      <c r="S603" s="18"/>
      <c r="T603" s="18"/>
      <c r="U603" s="18"/>
      <c r="V603" s="18"/>
      <c r="W603" s="32"/>
      <c r="X603" s="18"/>
      <c r="Y603" s="18"/>
      <c r="Z603" s="32"/>
      <c r="AA603" s="18"/>
      <c r="AB603" s="18"/>
      <c r="AC603" s="18"/>
      <c r="AD603" s="33"/>
      <c r="AE603" s="32"/>
    </row>
    <row r="604" spans="14:31" x14ac:dyDescent="0.3">
      <c r="N604" s="11"/>
      <c r="P604" s="50"/>
      <c r="Q604" s="18"/>
      <c r="R604" s="18"/>
      <c r="S604" s="18"/>
      <c r="T604" s="18"/>
      <c r="U604" s="18"/>
      <c r="V604" s="18"/>
      <c r="W604" s="32"/>
      <c r="X604" s="18"/>
      <c r="Y604" s="18"/>
      <c r="Z604" s="32"/>
      <c r="AA604" s="18"/>
      <c r="AB604" s="18"/>
      <c r="AC604" s="18"/>
      <c r="AD604" s="33"/>
      <c r="AE604" s="32"/>
    </row>
    <row r="605" spans="14:31" x14ac:dyDescent="0.3">
      <c r="N605" s="11"/>
      <c r="P605" s="50"/>
      <c r="Q605" s="18"/>
      <c r="R605" s="18"/>
      <c r="S605" s="18"/>
      <c r="T605" s="18"/>
      <c r="U605" s="18"/>
      <c r="V605" s="18"/>
      <c r="W605" s="32"/>
      <c r="X605" s="18"/>
      <c r="Y605" s="18"/>
      <c r="Z605" s="32"/>
      <c r="AA605" s="18"/>
      <c r="AB605" s="18"/>
      <c r="AC605" s="18"/>
      <c r="AD605" s="33"/>
      <c r="AE605" s="32"/>
    </row>
    <row r="606" spans="14:31" x14ac:dyDescent="0.3">
      <c r="N606" s="11"/>
      <c r="P606" s="50"/>
      <c r="Q606" s="18"/>
      <c r="R606" s="18"/>
      <c r="S606" s="18"/>
      <c r="T606" s="18"/>
      <c r="U606" s="18"/>
      <c r="V606" s="18"/>
      <c r="W606" s="32"/>
      <c r="X606" s="18"/>
      <c r="Y606" s="18"/>
      <c r="Z606" s="32"/>
      <c r="AA606" s="18"/>
      <c r="AB606" s="18"/>
      <c r="AC606" s="18"/>
      <c r="AD606" s="33"/>
      <c r="AE606" s="32"/>
    </row>
    <row r="607" spans="14:31" x14ac:dyDescent="0.3">
      <c r="N607" s="11"/>
      <c r="P607" s="50"/>
      <c r="Q607" s="18"/>
      <c r="R607" s="18"/>
      <c r="S607" s="18"/>
      <c r="T607" s="18"/>
      <c r="U607" s="18"/>
      <c r="V607" s="18"/>
      <c r="W607" s="32"/>
      <c r="X607" s="18"/>
      <c r="Y607" s="18"/>
      <c r="Z607" s="32"/>
      <c r="AA607" s="18"/>
      <c r="AB607" s="18"/>
      <c r="AC607" s="18"/>
      <c r="AD607" s="33"/>
      <c r="AE607" s="32"/>
    </row>
    <row r="608" spans="14:31" x14ac:dyDescent="0.3">
      <c r="N608" s="11"/>
      <c r="P608" s="50"/>
      <c r="Q608" s="18"/>
      <c r="R608" s="18"/>
      <c r="S608" s="18"/>
      <c r="T608" s="18"/>
      <c r="U608" s="18"/>
      <c r="V608" s="18"/>
      <c r="W608" s="32"/>
      <c r="X608" s="18"/>
      <c r="Y608" s="18"/>
      <c r="Z608" s="32"/>
      <c r="AA608" s="18"/>
      <c r="AB608" s="18"/>
      <c r="AC608" s="18"/>
      <c r="AD608" s="33"/>
      <c r="AE608" s="32"/>
    </row>
    <row r="609" spans="14:31" x14ac:dyDescent="0.3">
      <c r="N609" s="11"/>
      <c r="P609" s="50"/>
      <c r="Q609" s="18"/>
      <c r="R609" s="18"/>
      <c r="S609" s="18"/>
      <c r="T609" s="18"/>
      <c r="U609" s="18"/>
      <c r="V609" s="18"/>
      <c r="W609" s="32"/>
      <c r="X609" s="18"/>
      <c r="Y609" s="18"/>
      <c r="Z609" s="32"/>
      <c r="AA609" s="18"/>
      <c r="AB609" s="18"/>
      <c r="AC609" s="18"/>
      <c r="AD609" s="33"/>
      <c r="AE609" s="32"/>
    </row>
    <row r="610" spans="14:31" x14ac:dyDescent="0.3">
      <c r="N610" s="11"/>
      <c r="P610" s="50"/>
      <c r="Q610" s="18"/>
      <c r="R610" s="18"/>
      <c r="S610" s="18"/>
      <c r="T610" s="18"/>
      <c r="U610" s="18"/>
      <c r="V610" s="18"/>
      <c r="W610" s="32"/>
      <c r="X610" s="18"/>
      <c r="Y610" s="18"/>
      <c r="Z610" s="32"/>
      <c r="AA610" s="18"/>
      <c r="AB610" s="18"/>
      <c r="AC610" s="18"/>
      <c r="AD610" s="33"/>
      <c r="AE610" s="32"/>
    </row>
    <row r="611" spans="14:31" x14ac:dyDescent="0.3">
      <c r="N611" s="11"/>
      <c r="P611" s="50"/>
      <c r="Q611" s="18"/>
      <c r="R611" s="18"/>
      <c r="S611" s="18"/>
      <c r="T611" s="18"/>
      <c r="U611" s="18"/>
      <c r="V611" s="18"/>
      <c r="W611" s="32"/>
      <c r="X611" s="18"/>
      <c r="Y611" s="18"/>
      <c r="Z611" s="32"/>
      <c r="AA611" s="18"/>
      <c r="AB611" s="18"/>
      <c r="AC611" s="18"/>
      <c r="AD611" s="33"/>
      <c r="AE611" s="32"/>
    </row>
    <row r="612" spans="14:31" x14ac:dyDescent="0.3">
      <c r="N612" s="11"/>
      <c r="P612" s="50"/>
      <c r="Q612" s="18"/>
      <c r="R612" s="18"/>
      <c r="S612" s="18"/>
      <c r="T612" s="18"/>
      <c r="U612" s="18"/>
      <c r="V612" s="18"/>
      <c r="W612" s="32"/>
      <c r="X612" s="18"/>
      <c r="Y612" s="18"/>
      <c r="Z612" s="32"/>
      <c r="AA612" s="18"/>
      <c r="AB612" s="18"/>
      <c r="AC612" s="18"/>
      <c r="AD612" s="33"/>
      <c r="AE612" s="32"/>
    </row>
    <row r="613" spans="14:31" x14ac:dyDescent="0.3">
      <c r="N613" s="11"/>
      <c r="P613" s="50"/>
      <c r="Q613" s="18"/>
      <c r="R613" s="18"/>
      <c r="S613" s="18"/>
      <c r="T613" s="18"/>
      <c r="U613" s="18"/>
      <c r="V613" s="18"/>
      <c r="W613" s="32"/>
      <c r="X613" s="18"/>
      <c r="Y613" s="18"/>
      <c r="Z613" s="32"/>
      <c r="AA613" s="18"/>
      <c r="AB613" s="18"/>
      <c r="AC613" s="18"/>
      <c r="AD613" s="33"/>
      <c r="AE613" s="32"/>
    </row>
    <row r="614" spans="14:31" x14ac:dyDescent="0.3">
      <c r="N614" s="11"/>
      <c r="P614" s="50"/>
      <c r="Q614" s="18"/>
      <c r="R614" s="18"/>
      <c r="S614" s="18"/>
      <c r="T614" s="18"/>
      <c r="U614" s="18"/>
      <c r="V614" s="18"/>
      <c r="W614" s="32"/>
      <c r="X614" s="18"/>
      <c r="Y614" s="18"/>
      <c r="Z614" s="32"/>
      <c r="AA614" s="18"/>
      <c r="AB614" s="18"/>
      <c r="AC614" s="18"/>
      <c r="AD614" s="33"/>
      <c r="AE614" s="32"/>
    </row>
    <row r="615" spans="14:31" x14ac:dyDescent="0.3">
      <c r="N615" s="11"/>
      <c r="P615" s="50"/>
      <c r="Q615" s="18"/>
      <c r="R615" s="18"/>
      <c r="S615" s="18"/>
      <c r="T615" s="18"/>
      <c r="U615" s="18"/>
      <c r="V615" s="18"/>
      <c r="W615" s="32"/>
      <c r="X615" s="18"/>
      <c r="Y615" s="18"/>
      <c r="Z615" s="32"/>
      <c r="AA615" s="18"/>
      <c r="AB615" s="18"/>
      <c r="AC615" s="18"/>
      <c r="AD615" s="33"/>
      <c r="AE615" s="32"/>
    </row>
    <row r="616" spans="14:31" x14ac:dyDescent="0.3">
      <c r="N616" s="11"/>
      <c r="P616" s="50"/>
      <c r="Q616" s="18"/>
      <c r="R616" s="18"/>
      <c r="S616" s="18"/>
      <c r="T616" s="18"/>
      <c r="U616" s="18"/>
      <c r="V616" s="18"/>
      <c r="W616" s="32"/>
      <c r="X616" s="18"/>
      <c r="Y616" s="18"/>
      <c r="Z616" s="32"/>
      <c r="AA616" s="18"/>
      <c r="AB616" s="18"/>
      <c r="AC616" s="18"/>
      <c r="AD616" s="33"/>
      <c r="AE616" s="32"/>
    </row>
    <row r="617" spans="14:31" x14ac:dyDescent="0.3">
      <c r="N617" s="11"/>
      <c r="P617" s="50"/>
      <c r="Q617" s="18"/>
      <c r="R617" s="18"/>
      <c r="S617" s="18"/>
      <c r="T617" s="18"/>
      <c r="U617" s="18"/>
      <c r="V617" s="18"/>
      <c r="W617" s="32"/>
      <c r="X617" s="18"/>
      <c r="Y617" s="18"/>
      <c r="Z617" s="32"/>
      <c r="AA617" s="18"/>
      <c r="AB617" s="18"/>
      <c r="AC617" s="18"/>
      <c r="AD617" s="33"/>
      <c r="AE617" s="32"/>
    </row>
    <row r="618" spans="14:31" x14ac:dyDescent="0.3">
      <c r="N618" s="11"/>
      <c r="P618" s="50"/>
      <c r="Q618" s="18"/>
      <c r="R618" s="18"/>
      <c r="S618" s="18"/>
      <c r="T618" s="18"/>
      <c r="U618" s="18"/>
      <c r="V618" s="18"/>
      <c r="W618" s="32"/>
      <c r="X618" s="18"/>
      <c r="Y618" s="18"/>
      <c r="Z618" s="32"/>
      <c r="AA618" s="18"/>
      <c r="AB618" s="18"/>
      <c r="AC618" s="18"/>
      <c r="AD618" s="33"/>
      <c r="AE618" s="32"/>
    </row>
    <row r="619" spans="14:31" x14ac:dyDescent="0.3">
      <c r="N619" s="11"/>
      <c r="P619" s="50"/>
      <c r="Q619" s="18"/>
      <c r="R619" s="18"/>
      <c r="S619" s="18"/>
      <c r="T619" s="18"/>
      <c r="U619" s="18"/>
      <c r="V619" s="18"/>
      <c r="W619" s="32"/>
      <c r="X619" s="18"/>
      <c r="Y619" s="18"/>
      <c r="Z619" s="32"/>
      <c r="AA619" s="18"/>
      <c r="AB619" s="18"/>
      <c r="AC619" s="18"/>
      <c r="AD619" s="33"/>
      <c r="AE619" s="32"/>
    </row>
    <row r="620" spans="14:31" x14ac:dyDescent="0.3">
      <c r="N620" s="11"/>
      <c r="P620" s="50"/>
      <c r="Q620" s="18"/>
      <c r="R620" s="18"/>
      <c r="S620" s="18"/>
      <c r="T620" s="18"/>
      <c r="U620" s="18"/>
      <c r="V620" s="18"/>
      <c r="W620" s="32"/>
      <c r="X620" s="18"/>
      <c r="Y620" s="18"/>
      <c r="Z620" s="32"/>
      <c r="AA620" s="18"/>
      <c r="AB620" s="18"/>
      <c r="AC620" s="18"/>
      <c r="AD620" s="33"/>
      <c r="AE620" s="32"/>
    </row>
    <row r="621" spans="14:31" x14ac:dyDescent="0.3">
      <c r="N621" s="11"/>
      <c r="P621" s="50"/>
      <c r="Q621" s="18"/>
      <c r="R621" s="18"/>
      <c r="S621" s="18"/>
      <c r="T621" s="18"/>
      <c r="U621" s="18"/>
      <c r="V621" s="18"/>
      <c r="W621" s="32"/>
      <c r="X621" s="18"/>
      <c r="Y621" s="18"/>
      <c r="Z621" s="32"/>
      <c r="AA621" s="18"/>
      <c r="AB621" s="18"/>
      <c r="AC621" s="18"/>
      <c r="AD621" s="33"/>
      <c r="AE621" s="32"/>
    </row>
    <row r="622" spans="14:31" x14ac:dyDescent="0.3">
      <c r="N622" s="11"/>
      <c r="P622" s="50"/>
      <c r="Q622" s="18"/>
      <c r="R622" s="18"/>
      <c r="S622" s="18"/>
      <c r="T622" s="18"/>
      <c r="U622" s="18"/>
      <c r="V622" s="18"/>
      <c r="W622" s="32"/>
      <c r="X622" s="18"/>
      <c r="Y622" s="18"/>
      <c r="Z622" s="32"/>
      <c r="AA622" s="18"/>
      <c r="AB622" s="18"/>
      <c r="AC622" s="18"/>
      <c r="AD622" s="33"/>
      <c r="AE622" s="32"/>
    </row>
    <row r="623" spans="14:31" x14ac:dyDescent="0.3">
      <c r="N623" s="11"/>
      <c r="P623" s="50"/>
      <c r="Q623" s="18"/>
      <c r="R623" s="18"/>
      <c r="S623" s="18"/>
      <c r="T623" s="18"/>
      <c r="U623" s="18"/>
      <c r="V623" s="18"/>
      <c r="W623" s="32"/>
      <c r="X623" s="18"/>
      <c r="Y623" s="18"/>
      <c r="Z623" s="32"/>
      <c r="AA623" s="18"/>
      <c r="AB623" s="18"/>
      <c r="AC623" s="18"/>
      <c r="AD623" s="33"/>
      <c r="AE623" s="32"/>
    </row>
    <row r="624" spans="14:31" x14ac:dyDescent="0.3">
      <c r="N624" s="11"/>
      <c r="P624" s="50"/>
      <c r="Q624" s="18"/>
      <c r="R624" s="18"/>
      <c r="S624" s="18"/>
      <c r="T624" s="18"/>
      <c r="U624" s="18"/>
      <c r="V624" s="18"/>
      <c r="W624" s="32"/>
      <c r="X624" s="18"/>
      <c r="Y624" s="18"/>
      <c r="Z624" s="32"/>
      <c r="AA624" s="18"/>
      <c r="AB624" s="18"/>
      <c r="AC624" s="18"/>
      <c r="AD624" s="33"/>
      <c r="AE624" s="32"/>
    </row>
    <row r="625" spans="14:31" x14ac:dyDescent="0.3">
      <c r="N625" s="11"/>
      <c r="P625" s="50"/>
      <c r="Q625" s="18"/>
      <c r="R625" s="18"/>
      <c r="S625" s="18"/>
      <c r="T625" s="18"/>
      <c r="U625" s="18"/>
      <c r="V625" s="18"/>
      <c r="W625" s="32"/>
      <c r="X625" s="18"/>
      <c r="Y625" s="18"/>
      <c r="Z625" s="32"/>
      <c r="AA625" s="18"/>
      <c r="AB625" s="18"/>
      <c r="AC625" s="18"/>
      <c r="AD625" s="33"/>
      <c r="AE625" s="32"/>
    </row>
    <row r="626" spans="14:31" x14ac:dyDescent="0.3">
      <c r="N626" s="11"/>
      <c r="P626" s="50"/>
      <c r="Q626" s="18"/>
      <c r="R626" s="18"/>
      <c r="S626" s="18"/>
      <c r="T626" s="18"/>
      <c r="U626" s="18"/>
      <c r="V626" s="18"/>
      <c r="W626" s="32"/>
      <c r="X626" s="18"/>
      <c r="Y626" s="18"/>
      <c r="Z626" s="32"/>
      <c r="AA626" s="18"/>
      <c r="AB626" s="18"/>
      <c r="AC626" s="18"/>
      <c r="AD626" s="33"/>
      <c r="AE626" s="32"/>
    </row>
    <row r="627" spans="14:31" x14ac:dyDescent="0.3">
      <c r="N627" s="11"/>
      <c r="P627" s="50"/>
      <c r="Q627" s="18"/>
      <c r="R627" s="18"/>
      <c r="S627" s="18"/>
      <c r="T627" s="18"/>
      <c r="U627" s="18"/>
      <c r="V627" s="18"/>
      <c r="W627" s="32"/>
      <c r="X627" s="18"/>
      <c r="Y627" s="18"/>
      <c r="Z627" s="32"/>
      <c r="AA627" s="18"/>
      <c r="AB627" s="18"/>
      <c r="AC627" s="18"/>
      <c r="AD627" s="33"/>
      <c r="AE627" s="32"/>
    </row>
    <row r="628" spans="14:31" x14ac:dyDescent="0.3">
      <c r="N628" s="11"/>
      <c r="P628" s="50"/>
      <c r="Q628" s="18"/>
      <c r="R628" s="18"/>
      <c r="S628" s="18"/>
      <c r="T628" s="18"/>
      <c r="U628" s="18"/>
      <c r="V628" s="18"/>
      <c r="W628" s="32"/>
      <c r="X628" s="18"/>
      <c r="Y628" s="18"/>
      <c r="Z628" s="32"/>
      <c r="AA628" s="18"/>
      <c r="AB628" s="18"/>
      <c r="AC628" s="18"/>
      <c r="AD628" s="33"/>
      <c r="AE628" s="32"/>
    </row>
    <row r="629" spans="14:31" x14ac:dyDescent="0.3">
      <c r="N629" s="11"/>
      <c r="P629" s="50"/>
      <c r="Q629" s="18"/>
      <c r="R629" s="18"/>
      <c r="S629" s="18"/>
      <c r="T629" s="18"/>
      <c r="U629" s="18"/>
      <c r="V629" s="18"/>
      <c r="W629" s="32"/>
      <c r="X629" s="18"/>
      <c r="Y629" s="18"/>
      <c r="Z629" s="32"/>
      <c r="AA629" s="18"/>
      <c r="AB629" s="18"/>
      <c r="AC629" s="18"/>
      <c r="AD629" s="33"/>
      <c r="AE629" s="32"/>
    </row>
    <row r="630" spans="14:31" x14ac:dyDescent="0.3">
      <c r="N630" s="11"/>
      <c r="P630" s="50"/>
      <c r="Q630" s="18"/>
      <c r="R630" s="18"/>
      <c r="S630" s="18"/>
      <c r="T630" s="18"/>
      <c r="U630" s="18"/>
      <c r="V630" s="18"/>
      <c r="W630" s="32"/>
      <c r="X630" s="18"/>
      <c r="Y630" s="18"/>
      <c r="Z630" s="32"/>
      <c r="AA630" s="18"/>
      <c r="AB630" s="18"/>
      <c r="AC630" s="18"/>
      <c r="AD630" s="33"/>
      <c r="AE630" s="32"/>
    </row>
    <row r="631" spans="14:31" x14ac:dyDescent="0.3">
      <c r="N631" s="11"/>
      <c r="P631" s="50"/>
      <c r="Q631" s="18"/>
      <c r="R631" s="18"/>
      <c r="S631" s="18"/>
      <c r="T631" s="18"/>
      <c r="U631" s="18"/>
      <c r="V631" s="18"/>
      <c r="W631" s="32"/>
      <c r="X631" s="18"/>
      <c r="Y631" s="18"/>
      <c r="Z631" s="32"/>
      <c r="AA631" s="18"/>
      <c r="AB631" s="18"/>
      <c r="AC631" s="18"/>
      <c r="AD631" s="33"/>
      <c r="AE631" s="32"/>
    </row>
    <row r="632" spans="14:31" x14ac:dyDescent="0.3">
      <c r="N632" s="11"/>
      <c r="P632" s="50"/>
      <c r="Q632" s="18"/>
      <c r="R632" s="18"/>
      <c r="S632" s="18"/>
      <c r="T632" s="18"/>
      <c r="U632" s="18"/>
      <c r="V632" s="18"/>
      <c r="W632" s="32"/>
      <c r="X632" s="18"/>
      <c r="Y632" s="18"/>
      <c r="Z632" s="32"/>
      <c r="AA632" s="18"/>
      <c r="AB632" s="18"/>
      <c r="AC632" s="18"/>
      <c r="AD632" s="33"/>
      <c r="AE632" s="32"/>
    </row>
    <row r="633" spans="14:31" x14ac:dyDescent="0.3">
      <c r="N633" s="11"/>
      <c r="P633" s="50"/>
      <c r="Q633" s="18"/>
      <c r="R633" s="18"/>
      <c r="S633" s="18"/>
      <c r="T633" s="18"/>
      <c r="U633" s="18"/>
      <c r="V633" s="18"/>
      <c r="W633" s="32"/>
      <c r="X633" s="18"/>
      <c r="Y633" s="18"/>
      <c r="Z633" s="32"/>
      <c r="AA633" s="18"/>
      <c r="AB633" s="18"/>
      <c r="AC633" s="18"/>
      <c r="AD633" s="33"/>
      <c r="AE633" s="32"/>
    </row>
    <row r="634" spans="14:31" x14ac:dyDescent="0.3">
      <c r="N634" s="11"/>
      <c r="P634" s="50"/>
      <c r="Q634" s="18"/>
      <c r="R634" s="18"/>
      <c r="S634" s="18"/>
      <c r="T634" s="18"/>
      <c r="U634" s="18"/>
      <c r="V634" s="18"/>
      <c r="W634" s="32"/>
      <c r="X634" s="18"/>
      <c r="Y634" s="18"/>
      <c r="Z634" s="32"/>
      <c r="AA634" s="18"/>
      <c r="AB634" s="18"/>
      <c r="AC634" s="18"/>
      <c r="AD634" s="33"/>
      <c r="AE634" s="32"/>
    </row>
    <row r="635" spans="14:31" x14ac:dyDescent="0.3">
      <c r="N635" s="11"/>
      <c r="P635" s="50"/>
      <c r="Q635" s="18"/>
      <c r="R635" s="18"/>
      <c r="S635" s="18"/>
      <c r="T635" s="18"/>
      <c r="U635" s="18"/>
      <c r="V635" s="18"/>
      <c r="W635" s="32"/>
      <c r="X635" s="18"/>
      <c r="Y635" s="18"/>
      <c r="Z635" s="32"/>
      <c r="AA635" s="18"/>
      <c r="AB635" s="18"/>
      <c r="AC635" s="18"/>
      <c r="AD635" s="33"/>
      <c r="AE635" s="32"/>
    </row>
    <row r="636" spans="14:31" x14ac:dyDescent="0.3">
      <c r="N636" s="11"/>
      <c r="P636" s="50"/>
      <c r="Q636" s="18"/>
      <c r="R636" s="18"/>
      <c r="S636" s="18"/>
      <c r="T636" s="18"/>
      <c r="U636" s="18"/>
      <c r="V636" s="18"/>
      <c r="W636" s="32"/>
      <c r="X636" s="18"/>
      <c r="Y636" s="18"/>
      <c r="Z636" s="32"/>
      <c r="AA636" s="18"/>
      <c r="AB636" s="18"/>
      <c r="AC636" s="18"/>
      <c r="AD636" s="33"/>
      <c r="AE636" s="32"/>
    </row>
    <row r="637" spans="14:31" x14ac:dyDescent="0.3">
      <c r="N637" s="11"/>
      <c r="P637" s="50"/>
      <c r="Q637" s="18"/>
      <c r="R637" s="18"/>
      <c r="S637" s="18"/>
      <c r="T637" s="18"/>
      <c r="U637" s="18"/>
      <c r="V637" s="18"/>
      <c r="W637" s="32"/>
      <c r="X637" s="18"/>
      <c r="Y637" s="18"/>
      <c r="Z637" s="32"/>
      <c r="AA637" s="18"/>
      <c r="AB637" s="18"/>
      <c r="AC637" s="18"/>
      <c r="AD637" s="33"/>
      <c r="AE637" s="32"/>
    </row>
    <row r="638" spans="14:31" x14ac:dyDescent="0.3">
      <c r="N638" s="11"/>
      <c r="P638" s="50"/>
      <c r="Q638" s="18"/>
      <c r="R638" s="18"/>
      <c r="S638" s="18"/>
      <c r="T638" s="18"/>
      <c r="U638" s="18"/>
      <c r="V638" s="18"/>
      <c r="W638" s="32"/>
      <c r="X638" s="18"/>
      <c r="Y638" s="18"/>
      <c r="Z638" s="32"/>
      <c r="AA638" s="18"/>
      <c r="AB638" s="18"/>
      <c r="AC638" s="18"/>
      <c r="AD638" s="33"/>
      <c r="AE638" s="32"/>
    </row>
    <row r="639" spans="14:31" x14ac:dyDescent="0.3">
      <c r="N639" s="11"/>
      <c r="P639" s="50"/>
      <c r="Q639" s="18"/>
      <c r="R639" s="18"/>
      <c r="S639" s="18"/>
      <c r="T639" s="18"/>
      <c r="U639" s="18"/>
      <c r="V639" s="18"/>
      <c r="W639" s="32"/>
      <c r="X639" s="18"/>
      <c r="Y639" s="18"/>
      <c r="Z639" s="32"/>
      <c r="AA639" s="18"/>
      <c r="AB639" s="18"/>
      <c r="AC639" s="18"/>
      <c r="AD639" s="33"/>
      <c r="AE639" s="32"/>
    </row>
    <row r="640" spans="14:31" x14ac:dyDescent="0.3">
      <c r="N640" s="11"/>
      <c r="P640" s="50"/>
      <c r="Q640" s="18"/>
      <c r="R640" s="18"/>
      <c r="S640" s="18"/>
      <c r="T640" s="18"/>
      <c r="U640" s="18"/>
      <c r="V640" s="18"/>
      <c r="W640" s="32"/>
      <c r="X640" s="18"/>
      <c r="Y640" s="18"/>
      <c r="Z640" s="32"/>
      <c r="AA640" s="18"/>
      <c r="AB640" s="18"/>
      <c r="AC640" s="18"/>
      <c r="AD640" s="33"/>
      <c r="AE640" s="32"/>
    </row>
    <row r="641" spans="14:31" x14ac:dyDescent="0.3">
      <c r="N641" s="11"/>
      <c r="P641" s="50"/>
      <c r="Q641" s="18"/>
      <c r="R641" s="18"/>
      <c r="S641" s="18"/>
      <c r="T641" s="18"/>
      <c r="U641" s="18"/>
      <c r="V641" s="18"/>
      <c r="W641" s="32"/>
      <c r="X641" s="18"/>
      <c r="Y641" s="18"/>
      <c r="Z641" s="32"/>
      <c r="AA641" s="18"/>
      <c r="AB641" s="18"/>
      <c r="AC641" s="18"/>
      <c r="AD641" s="33"/>
      <c r="AE641" s="32"/>
    </row>
    <row r="642" spans="14:31" x14ac:dyDescent="0.3">
      <c r="N642" s="11"/>
      <c r="P642" s="50"/>
      <c r="Q642" s="18"/>
      <c r="R642" s="18"/>
      <c r="S642" s="18"/>
      <c r="T642" s="18"/>
      <c r="U642" s="18"/>
      <c r="V642" s="18"/>
      <c r="W642" s="32"/>
      <c r="X642" s="18"/>
      <c r="Y642" s="18"/>
      <c r="Z642" s="32"/>
      <c r="AA642" s="18"/>
      <c r="AB642" s="18"/>
      <c r="AC642" s="18"/>
      <c r="AD642" s="33"/>
      <c r="AE642" s="32"/>
    </row>
    <row r="643" spans="14:31" x14ac:dyDescent="0.3">
      <c r="N643" s="11"/>
      <c r="P643" s="50"/>
      <c r="Q643" s="18"/>
      <c r="R643" s="18"/>
      <c r="S643" s="18"/>
      <c r="T643" s="18"/>
      <c r="U643" s="18"/>
      <c r="V643" s="18"/>
      <c r="W643" s="32"/>
      <c r="X643" s="18"/>
      <c r="Y643" s="18"/>
      <c r="Z643" s="32"/>
      <c r="AA643" s="18"/>
      <c r="AB643" s="18"/>
      <c r="AC643" s="18"/>
      <c r="AD643" s="33"/>
      <c r="AE643" s="32"/>
    </row>
    <row r="644" spans="14:31" x14ac:dyDescent="0.3">
      <c r="N644" s="11"/>
      <c r="P644" s="50"/>
      <c r="Q644" s="18"/>
      <c r="R644" s="18"/>
      <c r="S644" s="18"/>
      <c r="T644" s="18"/>
      <c r="U644" s="18"/>
      <c r="V644" s="18"/>
      <c r="W644" s="32"/>
      <c r="X644" s="18"/>
      <c r="Y644" s="18"/>
      <c r="Z644" s="32"/>
      <c r="AA644" s="18"/>
      <c r="AB644" s="18"/>
      <c r="AC644" s="18"/>
      <c r="AD644" s="33"/>
      <c r="AE644" s="32"/>
    </row>
    <row r="645" spans="14:31" x14ac:dyDescent="0.3">
      <c r="N645" s="11"/>
      <c r="P645" s="50"/>
      <c r="Q645" s="18"/>
      <c r="R645" s="18"/>
      <c r="S645" s="18"/>
      <c r="T645" s="18"/>
      <c r="U645" s="18"/>
      <c r="V645" s="18"/>
      <c r="W645" s="32"/>
      <c r="X645" s="18"/>
      <c r="Y645" s="18"/>
      <c r="Z645" s="32"/>
      <c r="AA645" s="18"/>
      <c r="AB645" s="18"/>
      <c r="AC645" s="18"/>
      <c r="AD645" s="33"/>
      <c r="AE645" s="32"/>
    </row>
    <row r="646" spans="14:31" x14ac:dyDescent="0.3">
      <c r="N646" s="11"/>
      <c r="P646" s="50"/>
      <c r="Q646" s="18"/>
      <c r="R646" s="18"/>
      <c r="S646" s="18"/>
      <c r="T646" s="18"/>
      <c r="U646" s="18"/>
      <c r="V646" s="18"/>
      <c r="W646" s="32"/>
      <c r="X646" s="18"/>
      <c r="Y646" s="18"/>
      <c r="Z646" s="32"/>
      <c r="AA646" s="18"/>
      <c r="AB646" s="18"/>
      <c r="AC646" s="18"/>
      <c r="AD646" s="33"/>
      <c r="AE646" s="32"/>
    </row>
    <row r="647" spans="14:31" x14ac:dyDescent="0.3">
      <c r="N647" s="11"/>
      <c r="P647" s="50"/>
      <c r="Q647" s="18"/>
      <c r="R647" s="18"/>
      <c r="S647" s="18"/>
      <c r="T647" s="18"/>
      <c r="U647" s="18"/>
      <c r="V647" s="18"/>
      <c r="W647" s="32"/>
      <c r="X647" s="18"/>
      <c r="Y647" s="18"/>
      <c r="Z647" s="32"/>
      <c r="AA647" s="18"/>
      <c r="AB647" s="18"/>
      <c r="AC647" s="18"/>
      <c r="AD647" s="33"/>
      <c r="AE647" s="32"/>
    </row>
    <row r="648" spans="14:31" x14ac:dyDescent="0.3">
      <c r="N648" s="11"/>
      <c r="P648" s="50"/>
      <c r="Q648" s="18"/>
      <c r="R648" s="18"/>
      <c r="S648" s="18"/>
      <c r="T648" s="18"/>
      <c r="U648" s="18"/>
      <c r="V648" s="18"/>
      <c r="W648" s="32"/>
      <c r="X648" s="18"/>
      <c r="Y648" s="18"/>
      <c r="Z648" s="32"/>
      <c r="AA648" s="18"/>
      <c r="AB648" s="18"/>
      <c r="AC648" s="18"/>
      <c r="AD648" s="33"/>
      <c r="AE648" s="32"/>
    </row>
    <row r="649" spans="14:31" x14ac:dyDescent="0.3">
      <c r="N649" s="11"/>
      <c r="P649" s="50"/>
      <c r="Q649" s="18"/>
      <c r="R649" s="18"/>
      <c r="S649" s="18"/>
      <c r="T649" s="18"/>
      <c r="U649" s="18"/>
      <c r="V649" s="18"/>
      <c r="W649" s="32"/>
      <c r="X649" s="18"/>
      <c r="Y649" s="18"/>
      <c r="Z649" s="32"/>
      <c r="AA649" s="18"/>
      <c r="AB649" s="18"/>
      <c r="AC649" s="18"/>
      <c r="AD649" s="33"/>
      <c r="AE649" s="32"/>
    </row>
    <row r="650" spans="14:31" x14ac:dyDescent="0.3">
      <c r="N650" s="11"/>
      <c r="P650" s="50"/>
      <c r="Q650" s="18"/>
      <c r="R650" s="18"/>
      <c r="S650" s="18"/>
      <c r="T650" s="18"/>
      <c r="U650" s="18"/>
      <c r="V650" s="18"/>
      <c r="W650" s="32"/>
      <c r="X650" s="18"/>
      <c r="Y650" s="18"/>
      <c r="Z650" s="32"/>
      <c r="AA650" s="18"/>
      <c r="AB650" s="18"/>
      <c r="AC650" s="18"/>
      <c r="AD650" s="33"/>
      <c r="AE650" s="32"/>
    </row>
    <row r="651" spans="14:31" x14ac:dyDescent="0.3">
      <c r="N651" s="11"/>
      <c r="P651" s="50"/>
      <c r="Q651" s="18"/>
      <c r="R651" s="18"/>
      <c r="S651" s="18"/>
      <c r="T651" s="18"/>
      <c r="U651" s="18"/>
      <c r="V651" s="18"/>
      <c r="W651" s="32"/>
      <c r="X651" s="18"/>
      <c r="Y651" s="18"/>
      <c r="Z651" s="32"/>
      <c r="AA651" s="18"/>
      <c r="AB651" s="18"/>
      <c r="AC651" s="18"/>
      <c r="AD651" s="33"/>
      <c r="AE651" s="32"/>
    </row>
    <row r="652" spans="14:31" x14ac:dyDescent="0.3">
      <c r="N652" s="11"/>
      <c r="P652" s="50"/>
      <c r="Q652" s="18"/>
      <c r="R652" s="18"/>
      <c r="S652" s="18"/>
      <c r="T652" s="18"/>
      <c r="U652" s="18"/>
      <c r="V652" s="18"/>
      <c r="W652" s="32"/>
      <c r="X652" s="18"/>
      <c r="Y652" s="18"/>
      <c r="Z652" s="32"/>
      <c r="AA652" s="18"/>
      <c r="AB652" s="18"/>
      <c r="AC652" s="18"/>
      <c r="AD652" s="33"/>
      <c r="AE652" s="32"/>
    </row>
    <row r="653" spans="14:31" x14ac:dyDescent="0.3">
      <c r="N653" s="11"/>
      <c r="P653" s="50"/>
      <c r="Q653" s="18"/>
      <c r="R653" s="18"/>
      <c r="S653" s="18"/>
      <c r="T653" s="18"/>
      <c r="U653" s="18"/>
      <c r="V653" s="18"/>
      <c r="W653" s="32"/>
      <c r="X653" s="18"/>
      <c r="Y653" s="18"/>
      <c r="Z653" s="32"/>
      <c r="AA653" s="18"/>
      <c r="AB653" s="18"/>
      <c r="AC653" s="18"/>
      <c r="AD653" s="33"/>
      <c r="AE653" s="32"/>
    </row>
    <row r="654" spans="14:31" x14ac:dyDescent="0.3">
      <c r="N654" s="11"/>
      <c r="P654" s="50"/>
      <c r="Q654" s="18"/>
      <c r="R654" s="18"/>
      <c r="S654" s="18"/>
      <c r="T654" s="18"/>
      <c r="U654" s="18"/>
      <c r="V654" s="18"/>
      <c r="W654" s="32"/>
      <c r="X654" s="18"/>
      <c r="Y654" s="18"/>
      <c r="Z654" s="32"/>
      <c r="AA654" s="18"/>
      <c r="AB654" s="18"/>
      <c r="AC654" s="18"/>
      <c r="AD654" s="33"/>
      <c r="AE654" s="32"/>
    </row>
    <row r="655" spans="14:31" x14ac:dyDescent="0.3">
      <c r="N655" s="11"/>
      <c r="P655" s="50"/>
      <c r="Q655" s="18"/>
      <c r="R655" s="18"/>
      <c r="S655" s="18"/>
      <c r="T655" s="18"/>
      <c r="U655" s="18"/>
      <c r="V655" s="18"/>
      <c r="W655" s="32"/>
      <c r="X655" s="18"/>
      <c r="Y655" s="18"/>
      <c r="Z655" s="32"/>
      <c r="AA655" s="18"/>
      <c r="AB655" s="18"/>
      <c r="AC655" s="18"/>
      <c r="AD655" s="33"/>
      <c r="AE655" s="32"/>
    </row>
    <row r="656" spans="14:31" x14ac:dyDescent="0.3">
      <c r="N656" s="11"/>
      <c r="P656" s="50"/>
      <c r="Q656" s="18"/>
      <c r="R656" s="18"/>
      <c r="S656" s="18"/>
      <c r="T656" s="18"/>
      <c r="U656" s="18"/>
      <c r="V656" s="18"/>
      <c r="W656" s="32"/>
      <c r="X656" s="18"/>
      <c r="Y656" s="18"/>
      <c r="Z656" s="32"/>
      <c r="AA656" s="18"/>
      <c r="AB656" s="18"/>
      <c r="AC656" s="18"/>
      <c r="AD656" s="33"/>
      <c r="AE656" s="32"/>
    </row>
    <row r="657" spans="14:31" x14ac:dyDescent="0.3">
      <c r="N657" s="11"/>
      <c r="P657" s="50"/>
      <c r="Q657" s="18"/>
      <c r="R657" s="18"/>
      <c r="S657" s="18"/>
      <c r="T657" s="18"/>
      <c r="U657" s="18"/>
      <c r="V657" s="18"/>
      <c r="W657" s="32"/>
      <c r="X657" s="18"/>
      <c r="Y657" s="18"/>
      <c r="Z657" s="32"/>
      <c r="AA657" s="18"/>
      <c r="AB657" s="18"/>
      <c r="AC657" s="18"/>
      <c r="AD657" s="33"/>
      <c r="AE657" s="32"/>
    </row>
    <row r="658" spans="14:31" x14ac:dyDescent="0.3">
      <c r="N658" s="11"/>
      <c r="P658" s="50"/>
      <c r="Q658" s="18"/>
      <c r="R658" s="18"/>
      <c r="S658" s="18"/>
      <c r="T658" s="18"/>
      <c r="U658" s="18"/>
      <c r="V658" s="18"/>
      <c r="W658" s="32"/>
      <c r="X658" s="18"/>
      <c r="Y658" s="18"/>
      <c r="Z658" s="32"/>
      <c r="AA658" s="18"/>
      <c r="AB658" s="18"/>
      <c r="AC658" s="18"/>
      <c r="AD658" s="33"/>
      <c r="AE658" s="32"/>
    </row>
    <row r="659" spans="14:31" x14ac:dyDescent="0.3">
      <c r="N659" s="11"/>
      <c r="P659" s="50"/>
      <c r="Q659" s="18"/>
      <c r="R659" s="18"/>
      <c r="S659" s="18"/>
      <c r="T659" s="18"/>
      <c r="U659" s="18"/>
      <c r="V659" s="18"/>
      <c r="W659" s="32"/>
      <c r="X659" s="18"/>
      <c r="Y659" s="18"/>
      <c r="Z659" s="32"/>
      <c r="AA659" s="18"/>
      <c r="AB659" s="18"/>
      <c r="AC659" s="18"/>
      <c r="AD659" s="33"/>
      <c r="AE659" s="32"/>
    </row>
    <row r="660" spans="14:31" x14ac:dyDescent="0.3">
      <c r="N660" s="11"/>
      <c r="P660" s="50"/>
      <c r="Q660" s="18"/>
      <c r="R660" s="18"/>
      <c r="S660" s="18"/>
      <c r="T660" s="18"/>
      <c r="U660" s="18"/>
      <c r="V660" s="18"/>
      <c r="W660" s="32"/>
      <c r="X660" s="18"/>
      <c r="Y660" s="18"/>
      <c r="Z660" s="32"/>
      <c r="AA660" s="18"/>
      <c r="AB660" s="18"/>
      <c r="AC660" s="18"/>
      <c r="AD660" s="33"/>
      <c r="AE660" s="32"/>
    </row>
    <row r="661" spans="14:31" x14ac:dyDescent="0.3">
      <c r="N661" s="11"/>
      <c r="P661" s="50"/>
      <c r="Q661" s="18"/>
      <c r="R661" s="18"/>
      <c r="S661" s="18"/>
      <c r="T661" s="18"/>
      <c r="U661" s="18"/>
      <c r="V661" s="18"/>
      <c r="W661" s="32"/>
      <c r="X661" s="18"/>
      <c r="Y661" s="18"/>
      <c r="Z661" s="32"/>
      <c r="AA661" s="18"/>
      <c r="AB661" s="18"/>
      <c r="AC661" s="18"/>
      <c r="AD661" s="33"/>
      <c r="AE661" s="32"/>
    </row>
    <row r="662" spans="14:31" x14ac:dyDescent="0.3">
      <c r="N662" s="11"/>
      <c r="P662" s="50"/>
      <c r="Q662" s="18"/>
      <c r="R662" s="18"/>
      <c r="S662" s="18"/>
      <c r="T662" s="18"/>
      <c r="U662" s="18"/>
      <c r="V662" s="18"/>
      <c r="W662" s="32"/>
      <c r="X662" s="18"/>
      <c r="Y662" s="18"/>
      <c r="Z662" s="32"/>
      <c r="AA662" s="18"/>
      <c r="AB662" s="18"/>
      <c r="AC662" s="18"/>
      <c r="AD662" s="33"/>
      <c r="AE662" s="32"/>
    </row>
    <row r="663" spans="14:31" x14ac:dyDescent="0.3">
      <c r="N663" s="11"/>
      <c r="P663" s="50"/>
      <c r="Q663" s="18"/>
      <c r="R663" s="18"/>
      <c r="S663" s="18"/>
      <c r="T663" s="18"/>
      <c r="U663" s="18"/>
      <c r="V663" s="18"/>
      <c r="W663" s="32"/>
      <c r="X663" s="18"/>
      <c r="Y663" s="18"/>
      <c r="Z663" s="32"/>
      <c r="AA663" s="18"/>
      <c r="AB663" s="18"/>
      <c r="AC663" s="18"/>
      <c r="AD663" s="33"/>
      <c r="AE663" s="32"/>
    </row>
    <row r="664" spans="14:31" x14ac:dyDescent="0.3">
      <c r="N664" s="11"/>
      <c r="P664" s="50"/>
      <c r="Q664" s="18"/>
      <c r="R664" s="18"/>
      <c r="S664" s="18"/>
      <c r="T664" s="18"/>
      <c r="U664" s="18"/>
      <c r="V664" s="18"/>
      <c r="W664" s="32"/>
      <c r="X664" s="18"/>
      <c r="Y664" s="18"/>
      <c r="Z664" s="32"/>
      <c r="AA664" s="18"/>
      <c r="AB664" s="18"/>
      <c r="AC664" s="18"/>
      <c r="AD664" s="33"/>
      <c r="AE664" s="32"/>
    </row>
    <row r="665" spans="14:31" x14ac:dyDescent="0.3">
      <c r="N665" s="11"/>
      <c r="P665" s="50"/>
      <c r="Q665" s="18"/>
      <c r="R665" s="18"/>
      <c r="S665" s="18"/>
      <c r="T665" s="18"/>
      <c r="U665" s="18"/>
      <c r="V665" s="18"/>
      <c r="W665" s="32"/>
      <c r="X665" s="18"/>
      <c r="Y665" s="18"/>
      <c r="Z665" s="32"/>
      <c r="AA665" s="18"/>
      <c r="AB665" s="18"/>
      <c r="AC665" s="18"/>
      <c r="AD665" s="33"/>
      <c r="AE665" s="32"/>
    </row>
    <row r="666" spans="14:31" x14ac:dyDescent="0.3">
      <c r="N666" s="11"/>
      <c r="P666" s="50"/>
      <c r="Q666" s="18"/>
      <c r="R666" s="18"/>
      <c r="S666" s="18"/>
      <c r="T666" s="18"/>
      <c r="U666" s="18"/>
      <c r="V666" s="18"/>
      <c r="W666" s="32"/>
      <c r="X666" s="18"/>
      <c r="Y666" s="18"/>
      <c r="Z666" s="32"/>
      <c r="AA666" s="18"/>
      <c r="AB666" s="18"/>
      <c r="AC666" s="18"/>
      <c r="AD666" s="33"/>
      <c r="AE666" s="32"/>
    </row>
    <row r="667" spans="14:31" x14ac:dyDescent="0.3">
      <c r="N667" s="11"/>
      <c r="P667" s="50"/>
      <c r="Q667" s="18"/>
      <c r="R667" s="18"/>
      <c r="S667" s="18"/>
      <c r="T667" s="18"/>
      <c r="U667" s="18"/>
      <c r="V667" s="18"/>
      <c r="W667" s="32"/>
      <c r="X667" s="18"/>
      <c r="Y667" s="18"/>
      <c r="Z667" s="32"/>
      <c r="AA667" s="18"/>
      <c r="AB667" s="18"/>
      <c r="AC667" s="18"/>
      <c r="AD667" s="33"/>
      <c r="AE667" s="32"/>
    </row>
    <row r="668" spans="14:31" x14ac:dyDescent="0.3">
      <c r="N668" s="11"/>
      <c r="P668" s="50"/>
      <c r="Q668" s="18"/>
      <c r="R668" s="18"/>
      <c r="S668" s="18"/>
      <c r="T668" s="18"/>
      <c r="U668" s="18"/>
      <c r="V668" s="18"/>
      <c r="W668" s="32"/>
      <c r="X668" s="18"/>
      <c r="Y668" s="18"/>
      <c r="Z668" s="32"/>
      <c r="AA668" s="18"/>
      <c r="AB668" s="18"/>
      <c r="AC668" s="18"/>
      <c r="AD668" s="33"/>
      <c r="AE668" s="32"/>
    </row>
    <row r="669" spans="14:31" x14ac:dyDescent="0.3">
      <c r="N669" s="11"/>
      <c r="P669" s="50"/>
      <c r="Q669" s="18"/>
      <c r="R669" s="18"/>
      <c r="S669" s="18"/>
      <c r="T669" s="18"/>
      <c r="U669" s="18"/>
      <c r="V669" s="18"/>
      <c r="W669" s="32"/>
      <c r="X669" s="18"/>
      <c r="Y669" s="18"/>
      <c r="Z669" s="32"/>
      <c r="AA669" s="18"/>
      <c r="AB669" s="18"/>
      <c r="AC669" s="18"/>
      <c r="AD669" s="33"/>
      <c r="AE669" s="32"/>
    </row>
    <row r="670" spans="14:31" x14ac:dyDescent="0.3">
      <c r="N670" s="11"/>
      <c r="P670" s="50"/>
      <c r="Q670" s="18"/>
      <c r="R670" s="18"/>
      <c r="S670" s="18"/>
      <c r="T670" s="18"/>
      <c r="U670" s="18"/>
      <c r="V670" s="18"/>
      <c r="W670" s="32"/>
      <c r="X670" s="18"/>
      <c r="Y670" s="18"/>
      <c r="Z670" s="32"/>
      <c r="AA670" s="18"/>
      <c r="AB670" s="18"/>
      <c r="AC670" s="18"/>
      <c r="AD670" s="33"/>
      <c r="AE670" s="32"/>
    </row>
    <row r="671" spans="14:31" x14ac:dyDescent="0.3">
      <c r="N671" s="11"/>
      <c r="P671" s="50"/>
      <c r="Q671" s="18"/>
      <c r="R671" s="18"/>
      <c r="S671" s="18"/>
      <c r="T671" s="18"/>
      <c r="U671" s="18"/>
      <c r="V671" s="18"/>
      <c r="W671" s="32"/>
      <c r="X671" s="18"/>
      <c r="Y671" s="18"/>
      <c r="Z671" s="32"/>
      <c r="AA671" s="18"/>
      <c r="AB671" s="18"/>
      <c r="AC671" s="18"/>
      <c r="AD671" s="33"/>
      <c r="AE671" s="32"/>
    </row>
    <row r="672" spans="14:31" x14ac:dyDescent="0.3">
      <c r="N672" s="11"/>
      <c r="P672" s="50"/>
      <c r="Q672" s="18"/>
      <c r="R672" s="18"/>
      <c r="S672" s="18"/>
      <c r="T672" s="18"/>
      <c r="U672" s="18"/>
      <c r="V672" s="18"/>
      <c r="W672" s="32"/>
      <c r="X672" s="18"/>
      <c r="Y672" s="18"/>
      <c r="Z672" s="32"/>
      <c r="AA672" s="18"/>
      <c r="AB672" s="18"/>
      <c r="AC672" s="18"/>
      <c r="AD672" s="33"/>
      <c r="AE672" s="32"/>
    </row>
    <row r="673" spans="14:31" x14ac:dyDescent="0.3">
      <c r="N673" s="11"/>
      <c r="P673" s="50"/>
      <c r="Q673" s="18"/>
      <c r="R673" s="18"/>
      <c r="S673" s="18"/>
      <c r="T673" s="18"/>
      <c r="U673" s="18"/>
      <c r="V673" s="18"/>
      <c r="W673" s="32"/>
      <c r="X673" s="18"/>
      <c r="Y673" s="18"/>
      <c r="Z673" s="32"/>
      <c r="AA673" s="18"/>
      <c r="AB673" s="18"/>
      <c r="AC673" s="18"/>
      <c r="AD673" s="33"/>
      <c r="AE673" s="32"/>
    </row>
    <row r="674" spans="14:31" x14ac:dyDescent="0.3">
      <c r="N674" s="11"/>
      <c r="P674" s="50"/>
      <c r="Q674" s="18"/>
      <c r="R674" s="18"/>
      <c r="S674" s="18"/>
      <c r="T674" s="18"/>
      <c r="U674" s="18"/>
      <c r="V674" s="18"/>
      <c r="W674" s="32"/>
      <c r="X674" s="18"/>
      <c r="Y674" s="18"/>
      <c r="Z674" s="32"/>
      <c r="AA674" s="18"/>
      <c r="AB674" s="18"/>
      <c r="AC674" s="18"/>
      <c r="AD674" s="33"/>
      <c r="AE674" s="32"/>
    </row>
    <row r="675" spans="14:31" x14ac:dyDescent="0.3">
      <c r="N675" s="11"/>
      <c r="P675" s="50"/>
      <c r="Q675" s="18"/>
      <c r="R675" s="18"/>
      <c r="S675" s="18"/>
      <c r="T675" s="18"/>
      <c r="U675" s="18"/>
      <c r="V675" s="18"/>
      <c r="W675" s="32"/>
      <c r="X675" s="18"/>
      <c r="Y675" s="18"/>
      <c r="Z675" s="32"/>
      <c r="AA675" s="18"/>
      <c r="AB675" s="18"/>
      <c r="AC675" s="18"/>
      <c r="AD675" s="33"/>
      <c r="AE675" s="32"/>
    </row>
    <row r="676" spans="14:31" x14ac:dyDescent="0.3">
      <c r="N676" s="11"/>
      <c r="P676" s="50"/>
      <c r="Q676" s="18"/>
      <c r="R676" s="18"/>
      <c r="S676" s="18"/>
      <c r="T676" s="18"/>
      <c r="U676" s="18"/>
      <c r="V676" s="18"/>
      <c r="W676" s="32"/>
      <c r="X676" s="18"/>
      <c r="Y676" s="18"/>
      <c r="Z676" s="32"/>
      <c r="AA676" s="18"/>
      <c r="AB676" s="18"/>
      <c r="AC676" s="18"/>
      <c r="AD676" s="33"/>
      <c r="AE676" s="32"/>
    </row>
    <row r="677" spans="14:31" x14ac:dyDescent="0.3">
      <c r="N677" s="11"/>
      <c r="P677" s="50"/>
      <c r="Q677" s="18"/>
      <c r="R677" s="18"/>
      <c r="S677" s="18"/>
      <c r="T677" s="18"/>
      <c r="U677" s="18"/>
      <c r="V677" s="18"/>
      <c r="W677" s="32"/>
      <c r="X677" s="18"/>
      <c r="Y677" s="18"/>
      <c r="Z677" s="32"/>
      <c r="AA677" s="18"/>
      <c r="AB677" s="18"/>
      <c r="AC677" s="18"/>
      <c r="AD677" s="33"/>
      <c r="AE677" s="32"/>
    </row>
    <row r="678" spans="14:31" x14ac:dyDescent="0.3">
      <c r="N678" s="11"/>
      <c r="P678" s="50"/>
      <c r="Q678" s="18"/>
      <c r="R678" s="18"/>
      <c r="S678" s="18"/>
      <c r="T678" s="18"/>
      <c r="U678" s="18"/>
      <c r="V678" s="18"/>
      <c r="W678" s="32"/>
      <c r="X678" s="18"/>
      <c r="Y678" s="18"/>
      <c r="Z678" s="32"/>
      <c r="AA678" s="18"/>
      <c r="AB678" s="18"/>
      <c r="AC678" s="18"/>
      <c r="AD678" s="33"/>
      <c r="AE678" s="32"/>
    </row>
    <row r="679" spans="14:31" x14ac:dyDescent="0.3">
      <c r="N679" s="11"/>
      <c r="P679" s="50"/>
      <c r="Q679" s="18"/>
      <c r="R679" s="18"/>
      <c r="S679" s="18"/>
      <c r="T679" s="18"/>
      <c r="U679" s="18"/>
      <c r="V679" s="18"/>
      <c r="W679" s="32"/>
      <c r="X679" s="18"/>
      <c r="Y679" s="18"/>
      <c r="Z679" s="32"/>
      <c r="AA679" s="18"/>
      <c r="AB679" s="18"/>
      <c r="AC679" s="18"/>
      <c r="AD679" s="33"/>
      <c r="AE679" s="32"/>
    </row>
    <row r="680" spans="14:31" x14ac:dyDescent="0.3">
      <c r="N680" s="11"/>
      <c r="P680" s="50"/>
      <c r="Q680" s="18"/>
      <c r="R680" s="18"/>
      <c r="S680" s="18"/>
      <c r="T680" s="18"/>
      <c r="U680" s="18"/>
      <c r="V680" s="18"/>
      <c r="W680" s="32"/>
      <c r="X680" s="18"/>
      <c r="Y680" s="18"/>
      <c r="Z680" s="32"/>
      <c r="AA680" s="18"/>
      <c r="AB680" s="18"/>
      <c r="AC680" s="18"/>
      <c r="AD680" s="33"/>
      <c r="AE680" s="32"/>
    </row>
    <row r="681" spans="14:31" x14ac:dyDescent="0.3">
      <c r="N681" s="11"/>
      <c r="P681" s="50"/>
      <c r="Q681" s="18"/>
      <c r="R681" s="18"/>
      <c r="S681" s="18"/>
      <c r="T681" s="18"/>
      <c r="U681" s="18"/>
      <c r="V681" s="18"/>
      <c r="W681" s="32"/>
      <c r="X681" s="18"/>
      <c r="Y681" s="18"/>
      <c r="Z681" s="32"/>
      <c r="AA681" s="18"/>
      <c r="AB681" s="18"/>
      <c r="AC681" s="18"/>
      <c r="AD681" s="33"/>
      <c r="AE681" s="32"/>
    </row>
    <row r="682" spans="14:31" x14ac:dyDescent="0.3">
      <c r="N682" s="11"/>
      <c r="P682" s="50"/>
      <c r="Q682" s="18"/>
      <c r="R682" s="18"/>
      <c r="S682" s="18"/>
      <c r="T682" s="18"/>
      <c r="U682" s="18"/>
      <c r="V682" s="18"/>
      <c r="W682" s="32"/>
      <c r="X682" s="18"/>
      <c r="Y682" s="18"/>
      <c r="Z682" s="32"/>
      <c r="AA682" s="18"/>
      <c r="AB682" s="18"/>
      <c r="AC682" s="18"/>
      <c r="AD682" s="33"/>
      <c r="AE682" s="32"/>
    </row>
    <row r="683" spans="14:31" x14ac:dyDescent="0.3">
      <c r="N683" s="11"/>
      <c r="P683" s="50"/>
      <c r="Q683" s="18"/>
      <c r="R683" s="18"/>
      <c r="S683" s="18"/>
      <c r="T683" s="18"/>
      <c r="U683" s="18"/>
      <c r="V683" s="18"/>
      <c r="W683" s="32"/>
      <c r="X683" s="18"/>
      <c r="Y683" s="18"/>
      <c r="Z683" s="32"/>
      <c r="AA683" s="18"/>
      <c r="AB683" s="18"/>
      <c r="AC683" s="18"/>
      <c r="AD683" s="33"/>
      <c r="AE683" s="32"/>
    </row>
    <row r="684" spans="14:31" x14ac:dyDescent="0.3">
      <c r="N684" s="11"/>
      <c r="P684" s="50"/>
      <c r="Q684" s="18"/>
      <c r="R684" s="18"/>
      <c r="S684" s="18"/>
      <c r="T684" s="18"/>
      <c r="U684" s="18"/>
      <c r="V684" s="18"/>
      <c r="W684" s="32"/>
      <c r="X684" s="18"/>
      <c r="Y684" s="18"/>
      <c r="Z684" s="32"/>
      <c r="AA684" s="18"/>
      <c r="AB684" s="18"/>
      <c r="AC684" s="18"/>
      <c r="AD684" s="33"/>
      <c r="AE684" s="32"/>
    </row>
    <row r="685" spans="14:31" x14ac:dyDescent="0.3">
      <c r="N685" s="11"/>
      <c r="P685" s="50"/>
      <c r="Q685" s="18"/>
      <c r="R685" s="18"/>
      <c r="S685" s="18"/>
      <c r="T685" s="18"/>
      <c r="U685" s="18"/>
      <c r="V685" s="18"/>
      <c r="W685" s="32"/>
      <c r="X685" s="18"/>
      <c r="Y685" s="18"/>
      <c r="Z685" s="32"/>
      <c r="AA685" s="18"/>
      <c r="AB685" s="18"/>
      <c r="AC685" s="18"/>
      <c r="AD685" s="33"/>
      <c r="AE685" s="32"/>
    </row>
    <row r="686" spans="14:31" x14ac:dyDescent="0.3">
      <c r="N686" s="11"/>
      <c r="P686" s="50"/>
      <c r="Q686" s="18"/>
      <c r="R686" s="18"/>
      <c r="S686" s="18"/>
      <c r="T686" s="18"/>
      <c r="U686" s="18"/>
      <c r="V686" s="18"/>
      <c r="W686" s="32"/>
      <c r="X686" s="18"/>
      <c r="Y686" s="18"/>
      <c r="Z686" s="32"/>
      <c r="AA686" s="18"/>
      <c r="AB686" s="18"/>
      <c r="AC686" s="18"/>
      <c r="AD686" s="33"/>
      <c r="AE686" s="32"/>
    </row>
    <row r="687" spans="14:31" x14ac:dyDescent="0.3">
      <c r="N687" s="11"/>
      <c r="P687" s="50"/>
      <c r="Q687" s="18"/>
      <c r="R687" s="18"/>
      <c r="S687" s="18"/>
      <c r="T687" s="18"/>
      <c r="U687" s="18"/>
      <c r="V687" s="18"/>
      <c r="W687" s="32"/>
      <c r="X687" s="18"/>
      <c r="Y687" s="18"/>
      <c r="Z687" s="32"/>
      <c r="AA687" s="18"/>
      <c r="AB687" s="18"/>
      <c r="AC687" s="18"/>
      <c r="AD687" s="33"/>
      <c r="AE687" s="32"/>
    </row>
    <row r="688" spans="14:31" x14ac:dyDescent="0.3">
      <c r="N688" s="11"/>
      <c r="P688" s="50"/>
      <c r="Q688" s="18"/>
      <c r="R688" s="18"/>
      <c r="S688" s="18"/>
      <c r="T688" s="18"/>
      <c r="U688" s="18"/>
      <c r="V688" s="18"/>
      <c r="W688" s="32"/>
      <c r="X688" s="18"/>
      <c r="Y688" s="18"/>
      <c r="Z688" s="32"/>
      <c r="AA688" s="18"/>
      <c r="AB688" s="18"/>
      <c r="AC688" s="18"/>
      <c r="AD688" s="33"/>
      <c r="AE688" s="32"/>
    </row>
    <row r="689" spans="14:31" x14ac:dyDescent="0.3">
      <c r="N689" s="11"/>
      <c r="P689" s="50"/>
      <c r="Q689" s="18"/>
      <c r="R689" s="18"/>
      <c r="S689" s="18"/>
      <c r="T689" s="18"/>
      <c r="U689" s="18"/>
      <c r="V689" s="18"/>
      <c r="W689" s="32"/>
      <c r="X689" s="18"/>
      <c r="Y689" s="18"/>
      <c r="Z689" s="32"/>
      <c r="AA689" s="18"/>
      <c r="AB689" s="18"/>
      <c r="AC689" s="18"/>
      <c r="AD689" s="33"/>
      <c r="AE689" s="32"/>
    </row>
    <row r="690" spans="14:31" x14ac:dyDescent="0.3">
      <c r="N690" s="11"/>
      <c r="P690" s="50"/>
      <c r="Q690" s="18"/>
      <c r="R690" s="18"/>
      <c r="S690" s="18"/>
      <c r="T690" s="18"/>
      <c r="U690" s="18"/>
      <c r="V690" s="18"/>
      <c r="W690" s="32"/>
      <c r="X690" s="18"/>
      <c r="Y690" s="18"/>
      <c r="Z690" s="32"/>
      <c r="AA690" s="18"/>
      <c r="AB690" s="18"/>
      <c r="AC690" s="18"/>
      <c r="AD690" s="33"/>
      <c r="AE690" s="32"/>
    </row>
    <row r="691" spans="14:31" x14ac:dyDescent="0.3">
      <c r="N691" s="11"/>
      <c r="P691" s="50"/>
      <c r="Q691" s="18"/>
      <c r="R691" s="18"/>
      <c r="S691" s="18"/>
      <c r="T691" s="18"/>
      <c r="U691" s="18"/>
      <c r="V691" s="18"/>
      <c r="W691" s="32"/>
      <c r="X691" s="18"/>
      <c r="Y691" s="18"/>
      <c r="Z691" s="32"/>
      <c r="AA691" s="18"/>
      <c r="AB691" s="18"/>
      <c r="AC691" s="18"/>
      <c r="AD691" s="33"/>
      <c r="AE691" s="32"/>
    </row>
    <row r="692" spans="14:31" x14ac:dyDescent="0.3">
      <c r="N692" s="11"/>
      <c r="P692" s="50"/>
      <c r="Q692" s="18"/>
      <c r="R692" s="18"/>
      <c r="S692" s="18"/>
      <c r="T692" s="18"/>
      <c r="U692" s="18"/>
      <c r="V692" s="18"/>
      <c r="W692" s="32"/>
      <c r="X692" s="18"/>
      <c r="Y692" s="18"/>
      <c r="Z692" s="32"/>
      <c r="AA692" s="18"/>
      <c r="AB692" s="18"/>
      <c r="AC692" s="18"/>
      <c r="AD692" s="33"/>
      <c r="AE692" s="32"/>
    </row>
    <row r="693" spans="14:31" x14ac:dyDescent="0.3">
      <c r="N693" s="11"/>
      <c r="P693" s="50"/>
      <c r="Q693" s="18"/>
      <c r="R693" s="18"/>
      <c r="S693" s="18"/>
      <c r="T693" s="18"/>
      <c r="U693" s="18"/>
      <c r="V693" s="18"/>
      <c r="W693" s="32"/>
      <c r="X693" s="18"/>
      <c r="Y693" s="18"/>
      <c r="Z693" s="32"/>
      <c r="AA693" s="18"/>
      <c r="AB693" s="18"/>
      <c r="AC693" s="18"/>
      <c r="AD693" s="33"/>
      <c r="AE693" s="32"/>
    </row>
    <row r="694" spans="14:31" x14ac:dyDescent="0.3">
      <c r="N694" s="11"/>
      <c r="P694" s="50"/>
      <c r="Q694" s="18"/>
      <c r="R694" s="18"/>
      <c r="S694" s="18"/>
      <c r="T694" s="18"/>
      <c r="U694" s="18"/>
      <c r="V694" s="18"/>
      <c r="W694" s="32"/>
      <c r="X694" s="18"/>
      <c r="Y694" s="18"/>
      <c r="Z694" s="32"/>
      <c r="AA694" s="18"/>
      <c r="AB694" s="18"/>
      <c r="AC694" s="18"/>
      <c r="AD694" s="33"/>
      <c r="AE694" s="32"/>
    </row>
    <row r="695" spans="14:31" x14ac:dyDescent="0.3">
      <c r="N695" s="11"/>
      <c r="P695" s="50"/>
      <c r="Q695" s="18"/>
      <c r="R695" s="18"/>
      <c r="S695" s="18"/>
      <c r="T695" s="18"/>
      <c r="U695" s="18"/>
      <c r="V695" s="18"/>
      <c r="W695" s="32"/>
      <c r="X695" s="18"/>
      <c r="Y695" s="18"/>
      <c r="Z695" s="32"/>
      <c r="AA695" s="18"/>
      <c r="AB695" s="18"/>
      <c r="AC695" s="18"/>
      <c r="AD695" s="33"/>
      <c r="AE695" s="32"/>
    </row>
    <row r="696" spans="14:31" x14ac:dyDescent="0.3">
      <c r="N696" s="11"/>
      <c r="P696" s="50"/>
      <c r="Q696" s="18"/>
      <c r="R696" s="18"/>
      <c r="S696" s="18"/>
      <c r="T696" s="18"/>
      <c r="U696" s="18"/>
      <c r="V696" s="18"/>
      <c r="W696" s="32"/>
      <c r="X696" s="18"/>
      <c r="Y696" s="18"/>
      <c r="Z696" s="32"/>
      <c r="AA696" s="18"/>
      <c r="AB696" s="18"/>
      <c r="AC696" s="18"/>
      <c r="AD696" s="33"/>
      <c r="AE696" s="32"/>
    </row>
    <row r="697" spans="14:31" x14ac:dyDescent="0.3">
      <c r="N697" s="11"/>
      <c r="P697" s="50"/>
      <c r="Q697" s="18"/>
      <c r="R697" s="18"/>
      <c r="S697" s="18"/>
      <c r="T697" s="18"/>
      <c r="U697" s="18"/>
      <c r="V697" s="18"/>
      <c r="W697" s="32"/>
      <c r="X697" s="18"/>
      <c r="Y697" s="18"/>
      <c r="Z697" s="32"/>
      <c r="AA697" s="18"/>
      <c r="AB697" s="18"/>
      <c r="AC697" s="18"/>
      <c r="AD697" s="33"/>
      <c r="AE697" s="32"/>
    </row>
    <row r="698" spans="14:31" x14ac:dyDescent="0.3">
      <c r="N698" s="11"/>
      <c r="P698" s="50"/>
      <c r="Q698" s="18"/>
      <c r="R698" s="18"/>
      <c r="S698" s="18"/>
      <c r="T698" s="18"/>
      <c r="U698" s="18"/>
      <c r="V698" s="18"/>
      <c r="W698" s="32"/>
      <c r="X698" s="18"/>
      <c r="Y698" s="18"/>
      <c r="Z698" s="32"/>
      <c r="AA698" s="18"/>
      <c r="AB698" s="18"/>
      <c r="AC698" s="18"/>
      <c r="AD698" s="33"/>
      <c r="AE698" s="32"/>
    </row>
    <row r="699" spans="14:31" x14ac:dyDescent="0.3">
      <c r="N699" s="11"/>
      <c r="P699" s="50"/>
      <c r="Q699" s="18"/>
      <c r="R699" s="18"/>
      <c r="S699" s="18"/>
      <c r="T699" s="18"/>
      <c r="U699" s="18"/>
      <c r="V699" s="18"/>
      <c r="W699" s="32"/>
      <c r="X699" s="18"/>
      <c r="Y699" s="18"/>
      <c r="Z699" s="32"/>
      <c r="AA699" s="18"/>
      <c r="AB699" s="18"/>
      <c r="AC699" s="18"/>
      <c r="AD699" s="33"/>
      <c r="AE699" s="32"/>
    </row>
    <row r="700" spans="14:31" x14ac:dyDescent="0.3">
      <c r="N700" s="11"/>
      <c r="P700" s="50"/>
      <c r="Q700" s="18"/>
      <c r="R700" s="18"/>
      <c r="S700" s="18"/>
      <c r="T700" s="18"/>
      <c r="U700" s="18"/>
      <c r="V700" s="18"/>
      <c r="W700" s="32"/>
      <c r="X700" s="18"/>
      <c r="Y700" s="18"/>
      <c r="Z700" s="32"/>
      <c r="AA700" s="18"/>
      <c r="AB700" s="18"/>
      <c r="AC700" s="18"/>
      <c r="AD700" s="33"/>
      <c r="AE700" s="32"/>
    </row>
    <row r="701" spans="14:31" x14ac:dyDescent="0.3">
      <c r="N701" s="11"/>
      <c r="P701" s="50"/>
      <c r="Q701" s="18"/>
      <c r="R701" s="18"/>
      <c r="S701" s="18"/>
      <c r="T701" s="18"/>
      <c r="U701" s="18"/>
      <c r="V701" s="18"/>
      <c r="W701" s="32"/>
      <c r="X701" s="18"/>
      <c r="Y701" s="18"/>
      <c r="Z701" s="32"/>
      <c r="AA701" s="18"/>
      <c r="AB701" s="18"/>
      <c r="AC701" s="18"/>
      <c r="AD701" s="33"/>
      <c r="AE701" s="32"/>
    </row>
    <row r="702" spans="14:31" x14ac:dyDescent="0.3">
      <c r="N702" s="11"/>
      <c r="P702" s="50"/>
      <c r="Q702" s="18"/>
      <c r="R702" s="18"/>
      <c r="S702" s="18"/>
      <c r="T702" s="18"/>
      <c r="U702" s="18"/>
      <c r="V702" s="18"/>
      <c r="W702" s="32"/>
      <c r="X702" s="18"/>
      <c r="Y702" s="18"/>
      <c r="Z702" s="32"/>
      <c r="AA702" s="18"/>
      <c r="AB702" s="18"/>
      <c r="AC702" s="18"/>
      <c r="AD702" s="33"/>
      <c r="AE702" s="32"/>
    </row>
    <row r="703" spans="14:31" x14ac:dyDescent="0.3">
      <c r="N703" s="11"/>
      <c r="P703" s="50"/>
      <c r="Q703" s="18"/>
      <c r="R703" s="18"/>
      <c r="S703" s="18"/>
      <c r="T703" s="18"/>
      <c r="U703" s="18"/>
      <c r="V703" s="18"/>
      <c r="W703" s="32"/>
      <c r="X703" s="18"/>
      <c r="Y703" s="18"/>
      <c r="Z703" s="32"/>
      <c r="AA703" s="18"/>
      <c r="AB703" s="18"/>
      <c r="AC703" s="18"/>
      <c r="AD703" s="33"/>
      <c r="AE703" s="32"/>
    </row>
    <row r="704" spans="14:31" x14ac:dyDescent="0.3">
      <c r="N704" s="11"/>
      <c r="P704" s="50"/>
      <c r="Q704" s="18"/>
      <c r="R704" s="18"/>
      <c r="S704" s="18"/>
      <c r="T704" s="18"/>
      <c r="U704" s="18"/>
      <c r="V704" s="18"/>
      <c r="W704" s="32"/>
      <c r="X704" s="18"/>
      <c r="Y704" s="18"/>
      <c r="Z704" s="32"/>
      <c r="AA704" s="18"/>
      <c r="AB704" s="18"/>
      <c r="AC704" s="18"/>
      <c r="AD704" s="33"/>
      <c r="AE704" s="32"/>
    </row>
    <row r="705" spans="14:31" x14ac:dyDescent="0.3">
      <c r="N705" s="11"/>
      <c r="P705" s="50"/>
      <c r="Q705" s="18"/>
      <c r="R705" s="18"/>
      <c r="S705" s="18"/>
      <c r="T705" s="18"/>
      <c r="U705" s="18"/>
      <c r="V705" s="18"/>
      <c r="W705" s="32"/>
      <c r="X705" s="18"/>
      <c r="Y705" s="18"/>
      <c r="Z705" s="32"/>
      <c r="AA705" s="18"/>
      <c r="AB705" s="18"/>
      <c r="AC705" s="18"/>
      <c r="AD705" s="33"/>
      <c r="AE705" s="32"/>
    </row>
    <row r="706" spans="14:31" x14ac:dyDescent="0.3">
      <c r="N706" s="11"/>
      <c r="P706" s="50"/>
      <c r="Q706" s="18"/>
      <c r="R706" s="18"/>
      <c r="S706" s="18"/>
      <c r="T706" s="18"/>
      <c r="U706" s="18"/>
      <c r="V706" s="18"/>
      <c r="W706" s="32"/>
      <c r="X706" s="18"/>
      <c r="Y706" s="18"/>
      <c r="Z706" s="32"/>
      <c r="AA706" s="18"/>
      <c r="AB706" s="18"/>
      <c r="AC706" s="18"/>
      <c r="AD706" s="33"/>
      <c r="AE706" s="32"/>
    </row>
    <row r="707" spans="14:31" x14ac:dyDescent="0.3">
      <c r="N707" s="11"/>
      <c r="P707" s="50"/>
      <c r="Q707" s="18"/>
      <c r="R707" s="18"/>
      <c r="S707" s="18"/>
      <c r="T707" s="18"/>
      <c r="U707" s="18"/>
      <c r="V707" s="18"/>
      <c r="W707" s="32"/>
      <c r="X707" s="18"/>
      <c r="Y707" s="18"/>
      <c r="Z707" s="32"/>
      <c r="AA707" s="18"/>
      <c r="AB707" s="18"/>
      <c r="AC707" s="18"/>
      <c r="AD707" s="33"/>
      <c r="AE707" s="32"/>
    </row>
    <row r="708" spans="14:31" x14ac:dyDescent="0.3">
      <c r="N708" s="11"/>
      <c r="P708" s="50"/>
      <c r="Q708" s="18"/>
      <c r="R708" s="18"/>
      <c r="S708" s="18"/>
      <c r="T708" s="18"/>
      <c r="U708" s="18"/>
      <c r="V708" s="18"/>
      <c r="W708" s="32"/>
      <c r="X708" s="18"/>
      <c r="Y708" s="18"/>
      <c r="Z708" s="32"/>
      <c r="AA708" s="18"/>
      <c r="AB708" s="18"/>
      <c r="AC708" s="18"/>
      <c r="AD708" s="33"/>
      <c r="AE708" s="32"/>
    </row>
  </sheetData>
  <mergeCells count="30">
    <mergeCell ref="AP17:AR17"/>
    <mergeCell ref="AC17:AE17"/>
    <mergeCell ref="AS16:AU16"/>
    <mergeCell ref="AS17:AU17"/>
    <mergeCell ref="AG17:AI17"/>
    <mergeCell ref="AJ17:AL17"/>
    <mergeCell ref="AM17:AO17"/>
    <mergeCell ref="AF16:AR16"/>
    <mergeCell ref="AF4:AR4"/>
    <mergeCell ref="AS4:AU4"/>
    <mergeCell ref="Q5:S5"/>
    <mergeCell ref="T5:V5"/>
    <mergeCell ref="W5:Y5"/>
    <mergeCell ref="Z5:AB5"/>
    <mergeCell ref="AC5:AE5"/>
    <mergeCell ref="AG5:AI5"/>
    <mergeCell ref="AJ5:AL5"/>
    <mergeCell ref="AM5:AO5"/>
    <mergeCell ref="AP5:AR5"/>
    <mergeCell ref="AS5:AU5"/>
    <mergeCell ref="W17:Y17"/>
    <mergeCell ref="P16:AE16"/>
    <mergeCell ref="Z17:AB17"/>
    <mergeCell ref="N1:X1"/>
    <mergeCell ref="P4:AE4"/>
    <mergeCell ref="E27:K28"/>
    <mergeCell ref="A1:M1"/>
    <mergeCell ref="E6:K6"/>
    <mergeCell ref="Q17:S17"/>
    <mergeCell ref="T17:V17"/>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68"/>
  <sheetViews>
    <sheetView zoomScaleNormal="100" workbookViewId="0">
      <selection activeCell="S28" sqref="S28"/>
    </sheetView>
  </sheetViews>
  <sheetFormatPr defaultRowHeight="14.4" x14ac:dyDescent="0.3"/>
  <cols>
    <col min="1" max="1" width="26.6640625" customWidth="1"/>
    <col min="2" max="2" width="25.5546875" customWidth="1"/>
    <col min="3" max="3" width="10.109375" customWidth="1"/>
  </cols>
  <sheetData>
    <row r="1" spans="1:15" ht="28.2" x14ac:dyDescent="0.5">
      <c r="A1" s="263" t="s">
        <v>81</v>
      </c>
      <c r="B1" s="263"/>
      <c r="C1" s="263"/>
      <c r="D1" s="263"/>
      <c r="E1" s="263"/>
      <c r="F1" s="263"/>
      <c r="G1" s="263"/>
      <c r="H1" s="263"/>
      <c r="I1" s="263"/>
    </row>
    <row r="2" spans="1:15" x14ac:dyDescent="0.3">
      <c r="A2" s="12"/>
      <c r="B2" s="12" t="s">
        <v>17</v>
      </c>
      <c r="C2" s="13"/>
      <c r="D2" s="18"/>
      <c r="E2" s="12"/>
      <c r="F2" s="12"/>
      <c r="G2" s="12"/>
      <c r="H2" s="12"/>
      <c r="I2" s="12"/>
    </row>
    <row r="3" spans="1:15" x14ac:dyDescent="0.3">
      <c r="A3" s="12"/>
      <c r="B3" s="12" t="s">
        <v>18</v>
      </c>
      <c r="C3" s="14"/>
      <c r="D3" s="18"/>
      <c r="E3" s="12"/>
      <c r="F3" s="12"/>
      <c r="G3" s="12"/>
      <c r="H3" s="12"/>
      <c r="I3" s="12"/>
    </row>
    <row r="4" spans="1:15" x14ac:dyDescent="0.3">
      <c r="A4" s="12"/>
      <c r="B4" s="12" t="s">
        <v>19</v>
      </c>
      <c r="C4" s="15"/>
      <c r="D4" s="18"/>
      <c r="E4" s="12"/>
      <c r="F4" s="12"/>
      <c r="G4" s="12"/>
      <c r="H4" s="12"/>
      <c r="I4" s="12"/>
    </row>
    <row r="5" spans="1:15" x14ac:dyDescent="0.3">
      <c r="A5" s="11" t="s">
        <v>20</v>
      </c>
      <c r="B5" s="11" t="s">
        <v>21</v>
      </c>
      <c r="C5" s="11" t="s">
        <v>22</v>
      </c>
      <c r="D5" s="18"/>
      <c r="E5" s="264" t="s">
        <v>23</v>
      </c>
      <c r="F5" s="264"/>
      <c r="G5" s="264"/>
      <c r="H5" s="264"/>
      <c r="I5" s="11"/>
    </row>
    <row r="6" spans="1:15" s="4" customFormat="1" x14ac:dyDescent="0.3">
      <c r="A6" s="11"/>
      <c r="B6" s="11"/>
      <c r="C6" s="11"/>
      <c r="D6" s="18"/>
      <c r="E6" s="20"/>
      <c r="F6" s="20"/>
      <c r="G6" s="20"/>
      <c r="H6" s="20"/>
      <c r="I6" s="11"/>
    </row>
    <row r="7" spans="1:15" s="4" customFormat="1" ht="14.4" customHeight="1" x14ac:dyDescent="0.3">
      <c r="A7" s="11" t="s">
        <v>59</v>
      </c>
      <c r="B7" s="11"/>
      <c r="C7" s="11"/>
      <c r="D7" s="18"/>
      <c r="E7" s="20"/>
      <c r="F7" s="20"/>
      <c r="G7" s="20"/>
      <c r="H7" s="20"/>
      <c r="I7" s="11"/>
      <c r="O7" s="32"/>
    </row>
    <row r="8" spans="1:15" s="4" customFormat="1" x14ac:dyDescent="0.3">
      <c r="A8" s="11"/>
      <c r="B8" s="11"/>
      <c r="C8" s="11"/>
      <c r="D8" s="18"/>
      <c r="E8" s="20"/>
      <c r="F8" s="20"/>
      <c r="G8" s="20"/>
      <c r="H8" s="20"/>
      <c r="I8" s="11"/>
    </row>
    <row r="9" spans="1:15" x14ac:dyDescent="0.3">
      <c r="A9" t="s">
        <v>48</v>
      </c>
      <c r="B9" s="22">
        <v>0.8</v>
      </c>
      <c r="D9" t="s">
        <v>51</v>
      </c>
    </row>
    <row r="10" spans="1:15" s="4" customFormat="1" x14ac:dyDescent="0.3">
      <c r="A10" s="4" t="s">
        <v>52</v>
      </c>
      <c r="B10" s="23">
        <f>(1-B9)/(2.2*10^6)</f>
        <v>9.0909090909090888E-8</v>
      </c>
      <c r="C10" s="4" t="s">
        <v>55</v>
      </c>
      <c r="D10" s="4" t="s">
        <v>58</v>
      </c>
    </row>
    <row r="11" spans="1:15" x14ac:dyDescent="0.3">
      <c r="A11" s="4" t="s">
        <v>49</v>
      </c>
      <c r="B11" s="22">
        <v>0.85</v>
      </c>
      <c r="D11" s="4" t="s">
        <v>51</v>
      </c>
    </row>
    <row r="12" spans="1:15" s="4" customFormat="1" x14ac:dyDescent="0.3">
      <c r="A12" s="4" t="s">
        <v>53</v>
      </c>
      <c r="B12" s="23">
        <f>(1-B11)/(2.2*10^6)</f>
        <v>6.8181818181818186E-8</v>
      </c>
      <c r="C12" s="4" t="s">
        <v>55</v>
      </c>
      <c r="D12" s="4" t="s">
        <v>57</v>
      </c>
    </row>
    <row r="13" spans="1:15" x14ac:dyDescent="0.3">
      <c r="A13" s="4" t="s">
        <v>50</v>
      </c>
      <c r="B13" s="22">
        <v>0.9</v>
      </c>
      <c r="D13" s="4" t="s">
        <v>51</v>
      </c>
    </row>
    <row r="14" spans="1:15" x14ac:dyDescent="0.3">
      <c r="A14" t="s">
        <v>54</v>
      </c>
      <c r="B14" s="23">
        <f>(1-B13)/(2.2*10^6)</f>
        <v>4.5454545454545444E-8</v>
      </c>
      <c r="C14" t="s">
        <v>55</v>
      </c>
      <c r="D14" t="s">
        <v>56</v>
      </c>
    </row>
    <row r="16" spans="1:15" x14ac:dyDescent="0.3">
      <c r="A16" t="s">
        <v>60</v>
      </c>
      <c r="B16" s="22">
        <v>0.9</v>
      </c>
      <c r="D16" s="4" t="s">
        <v>66</v>
      </c>
    </row>
    <row r="17" spans="1:9" x14ac:dyDescent="0.3">
      <c r="A17" t="s">
        <v>61</v>
      </c>
      <c r="B17" s="22">
        <v>0.93</v>
      </c>
      <c r="D17" t="s">
        <v>63</v>
      </c>
    </row>
    <row r="18" spans="1:9" x14ac:dyDescent="0.3">
      <c r="A18" t="s">
        <v>62</v>
      </c>
      <c r="B18" s="22">
        <v>0.96</v>
      </c>
      <c r="D18" s="4" t="s">
        <v>67</v>
      </c>
    </row>
    <row r="19" spans="1:9" x14ac:dyDescent="0.3">
      <c r="B19" s="4">
        <f>IF(((1-D_limit_nom)/Constants!B12)&lt;Fsw,2,1)</f>
        <v>2</v>
      </c>
      <c r="D19" s="4" t="s">
        <v>73</v>
      </c>
    </row>
    <row r="20" spans="1:9" x14ac:dyDescent="0.3">
      <c r="A20" t="s">
        <v>79</v>
      </c>
      <c r="B20" s="1">
        <f>CHOOSE(B19,D_limit_nom,(1-Constants!B12*Fsw))</f>
        <v>0.82954545454545459</v>
      </c>
      <c r="D20" s="4" t="s">
        <v>80</v>
      </c>
    </row>
    <row r="22" spans="1:9" x14ac:dyDescent="0.3">
      <c r="A22" t="s">
        <v>89</v>
      </c>
      <c r="B22" s="247">
        <f>80*10^-9</f>
        <v>8.0000000000000002E-8</v>
      </c>
      <c r="C22" t="s">
        <v>55</v>
      </c>
      <c r="D22" t="s">
        <v>90</v>
      </c>
    </row>
    <row r="23" spans="1:9" s="32" customFormat="1" x14ac:dyDescent="0.3">
      <c r="B23" s="22"/>
    </row>
    <row r="24" spans="1:9" ht="15.6" x14ac:dyDescent="0.3">
      <c r="A24" s="43" t="s">
        <v>167</v>
      </c>
    </row>
    <row r="25" spans="1:9" x14ac:dyDescent="0.3">
      <c r="A25" t="s">
        <v>145</v>
      </c>
      <c r="B25" s="22">
        <f>10*10^-6</f>
        <v>9.9999999999999991E-6</v>
      </c>
      <c r="C25" t="s">
        <v>12</v>
      </c>
      <c r="D25" s="276" t="s">
        <v>491</v>
      </c>
      <c r="E25" s="276"/>
      <c r="F25" s="276"/>
      <c r="G25" s="276"/>
      <c r="H25" s="276"/>
    </row>
    <row r="26" spans="1:9" x14ac:dyDescent="0.3">
      <c r="A26" t="s">
        <v>146</v>
      </c>
      <c r="B26" s="22">
        <v>50000</v>
      </c>
      <c r="C26" s="2" t="s">
        <v>37</v>
      </c>
      <c r="D26" s="276"/>
      <c r="E26" s="276"/>
      <c r="F26" s="276"/>
      <c r="G26" s="276"/>
      <c r="H26" s="276"/>
    </row>
    <row r="27" spans="1:9" x14ac:dyDescent="0.3">
      <c r="A27" t="s">
        <v>149</v>
      </c>
      <c r="B27" s="22">
        <f>0.1</f>
        <v>0.1</v>
      </c>
      <c r="C27" s="2" t="s">
        <v>11</v>
      </c>
      <c r="D27" t="s">
        <v>150</v>
      </c>
    </row>
    <row r="29" spans="1:9" x14ac:dyDescent="0.3">
      <c r="A29" t="s">
        <v>230</v>
      </c>
      <c r="B29" s="22">
        <v>1</v>
      </c>
      <c r="C29" t="s">
        <v>175</v>
      </c>
      <c r="D29" t="s">
        <v>232</v>
      </c>
    </row>
    <row r="30" spans="1:9" x14ac:dyDescent="0.3">
      <c r="A30" t="s">
        <v>234</v>
      </c>
      <c r="B30" s="22">
        <f>IF(OR('Design Converter'!H28="LM5158",'Design Converter'!H28="LM51581"),Acs_58,Acs_57)</f>
        <v>1</v>
      </c>
      <c r="C30" t="s">
        <v>175</v>
      </c>
      <c r="D30" t="s">
        <v>235</v>
      </c>
    </row>
    <row r="31" spans="1:9" x14ac:dyDescent="0.3">
      <c r="A31" t="s">
        <v>159</v>
      </c>
      <c r="B31" s="210">
        <f>IF(OR('Design Converter'!H28="LM5158",'Design Converter'!H28="LM51581"),R_cs_58,R_cs_57)</f>
        <v>0.19</v>
      </c>
      <c r="C31" s="2" t="s">
        <v>486</v>
      </c>
      <c r="D31" t="s">
        <v>487</v>
      </c>
      <c r="I31" s="4"/>
    </row>
    <row r="32" spans="1:9" s="32" customFormat="1" x14ac:dyDescent="0.3"/>
    <row r="33" spans="1:4" s="32" customFormat="1" x14ac:dyDescent="0.3">
      <c r="A33" s="48" t="s">
        <v>255</v>
      </c>
    </row>
    <row r="34" spans="1:4" s="32" customFormat="1" x14ac:dyDescent="0.3">
      <c r="A34" s="32" t="s">
        <v>276</v>
      </c>
      <c r="B34" s="22">
        <v>1</v>
      </c>
      <c r="C34" s="32" t="s">
        <v>11</v>
      </c>
      <c r="D34" s="32" t="s">
        <v>277</v>
      </c>
    </row>
    <row r="35" spans="1:4" x14ac:dyDescent="0.3">
      <c r="A35" t="s">
        <v>259</v>
      </c>
      <c r="B35" s="22">
        <f>(2*10^-3)/1</f>
        <v>2E-3</v>
      </c>
      <c r="C35" t="s">
        <v>261</v>
      </c>
      <c r="D35" t="s">
        <v>260</v>
      </c>
    </row>
    <row r="37" spans="1:4" x14ac:dyDescent="0.3">
      <c r="A37" s="48" t="s">
        <v>328</v>
      </c>
    </row>
    <row r="38" spans="1:4" x14ac:dyDescent="0.3">
      <c r="A38" t="s">
        <v>329</v>
      </c>
      <c r="B38" s="247">
        <f>10*10^-6</f>
        <v>9.9999999999999991E-6</v>
      </c>
      <c r="C38" t="s">
        <v>12</v>
      </c>
      <c r="D38" t="s">
        <v>330</v>
      </c>
    </row>
    <row r="40" spans="1:4" x14ac:dyDescent="0.3">
      <c r="A40" s="48" t="s">
        <v>350</v>
      </c>
    </row>
    <row r="41" spans="1:4" x14ac:dyDescent="0.3">
      <c r="A41" t="s">
        <v>351</v>
      </c>
      <c r="B41" s="22">
        <v>1.5</v>
      </c>
      <c r="C41" t="s">
        <v>11</v>
      </c>
      <c r="D41" t="s">
        <v>354</v>
      </c>
    </row>
    <row r="42" spans="1:4" x14ac:dyDescent="0.3">
      <c r="A42" t="s">
        <v>352</v>
      </c>
      <c r="B42" s="22">
        <v>1.45</v>
      </c>
      <c r="C42" t="s">
        <v>11</v>
      </c>
      <c r="D42" t="s">
        <v>353</v>
      </c>
    </row>
    <row r="43" spans="1:4" x14ac:dyDescent="0.3">
      <c r="A43" t="s">
        <v>357</v>
      </c>
      <c r="B43" s="247">
        <f>5*10^-6</f>
        <v>4.9999999999999996E-6</v>
      </c>
      <c r="C43" t="s">
        <v>12</v>
      </c>
      <c r="D43" t="s">
        <v>358</v>
      </c>
    </row>
    <row r="45" spans="1:4" x14ac:dyDescent="0.3">
      <c r="A45" s="48" t="s">
        <v>410</v>
      </c>
    </row>
    <row r="46" spans="1:4" x14ac:dyDescent="0.3">
      <c r="A46" t="s">
        <v>411</v>
      </c>
      <c r="B46" s="22">
        <v>5</v>
      </c>
      <c r="C46" t="s">
        <v>11</v>
      </c>
      <c r="D46" t="s">
        <v>412</v>
      </c>
    </row>
    <row r="48" spans="1:4" x14ac:dyDescent="0.3">
      <c r="A48" s="48" t="s">
        <v>428</v>
      </c>
    </row>
    <row r="49" spans="1:18" x14ac:dyDescent="0.3">
      <c r="A49" t="s">
        <v>429</v>
      </c>
      <c r="B49" s="247">
        <f>770*(10^-6)</f>
        <v>7.6999999999999996E-4</v>
      </c>
      <c r="C49" t="s">
        <v>12</v>
      </c>
      <c r="D49" t="s">
        <v>430</v>
      </c>
      <c r="K49" t="s">
        <v>557</v>
      </c>
      <c r="L49" t="s">
        <v>555</v>
      </c>
      <c r="M49" t="s">
        <v>556</v>
      </c>
    </row>
    <row r="50" spans="1:18" x14ac:dyDescent="0.3">
      <c r="K50">
        <v>80</v>
      </c>
      <c r="L50">
        <v>10</v>
      </c>
      <c r="M50">
        <v>4</v>
      </c>
      <c r="N50" t="str">
        <f>IF(OR(K50&gt;Vout_op_max_58,L50&gt;Vin_op_max_58,M50&gt;Isw_lim_57),"No Device",IF(M50&lt;=Isw_lim_581,"LM51581",IF(M50&lt;=Isw_lim_58,"LM5158",IF(AND(L50&lt;=VIN_op_max_57,K50&lt;=Vout_op_max_57),IF(M50&lt;=Isw_lim_571,"LM51571","LM5157"),"No Device"))))</f>
        <v>No Device</v>
      </c>
    </row>
    <row r="51" spans="1:18" x14ac:dyDescent="0.3">
      <c r="A51" s="48" t="s">
        <v>471</v>
      </c>
    </row>
    <row r="52" spans="1:18" x14ac:dyDescent="0.3">
      <c r="A52" t="s">
        <v>472</v>
      </c>
      <c r="B52" s="22">
        <v>1.5</v>
      </c>
      <c r="C52" t="s">
        <v>11</v>
      </c>
      <c r="D52" t="s">
        <v>473</v>
      </c>
      <c r="Q52" t="s">
        <v>545</v>
      </c>
      <c r="R52" t="s">
        <v>543</v>
      </c>
    </row>
    <row r="53" spans="1:18" x14ac:dyDescent="0.3">
      <c r="A53" s="32" t="s">
        <v>534</v>
      </c>
      <c r="B53" s="22">
        <v>45</v>
      </c>
      <c r="C53" s="32" t="s">
        <v>11</v>
      </c>
      <c r="D53" t="s">
        <v>538</v>
      </c>
      <c r="Q53" t="s">
        <v>546</v>
      </c>
      <c r="R53" t="s">
        <v>544</v>
      </c>
    </row>
    <row r="54" spans="1:18" x14ac:dyDescent="0.3">
      <c r="A54" t="s">
        <v>535</v>
      </c>
      <c r="B54" s="22">
        <v>48</v>
      </c>
      <c r="C54" s="32" t="s">
        <v>11</v>
      </c>
      <c r="D54" t="s">
        <v>539</v>
      </c>
    </row>
    <row r="55" spans="1:18" s="32" customFormat="1" x14ac:dyDescent="0.3">
      <c r="A55" s="32" t="s">
        <v>536</v>
      </c>
      <c r="B55" s="22">
        <v>60</v>
      </c>
      <c r="C55" s="32" t="s">
        <v>11</v>
      </c>
      <c r="D55" s="32" t="s">
        <v>540</v>
      </c>
    </row>
    <row r="56" spans="1:18" s="32" customFormat="1" x14ac:dyDescent="0.3">
      <c r="A56" s="32" t="s">
        <v>537</v>
      </c>
      <c r="B56" s="22">
        <v>83</v>
      </c>
      <c r="C56" s="32" t="s">
        <v>11</v>
      </c>
      <c r="D56" s="32" t="s">
        <v>541</v>
      </c>
      <c r="N56" s="32" t="s">
        <v>551</v>
      </c>
      <c r="O56" s="32" t="s">
        <v>547</v>
      </c>
    </row>
    <row r="57" spans="1:18" x14ac:dyDescent="0.3">
      <c r="A57" t="s">
        <v>498</v>
      </c>
      <c r="B57" s="22">
        <v>6.5</v>
      </c>
      <c r="C57" t="s">
        <v>12</v>
      </c>
      <c r="D57" t="s">
        <v>500</v>
      </c>
      <c r="N57" t="s">
        <v>554</v>
      </c>
      <c r="O57" t="s">
        <v>548</v>
      </c>
    </row>
    <row r="58" spans="1:18" x14ac:dyDescent="0.3">
      <c r="A58" t="s">
        <v>499</v>
      </c>
      <c r="B58" s="22">
        <v>4.33</v>
      </c>
      <c r="C58" t="s">
        <v>12</v>
      </c>
      <c r="D58" s="32" t="s">
        <v>501</v>
      </c>
      <c r="N58" t="s">
        <v>552</v>
      </c>
      <c r="O58" t="s">
        <v>549</v>
      </c>
    </row>
    <row r="59" spans="1:18" s="32" customFormat="1" x14ac:dyDescent="0.3">
      <c r="A59" s="32" t="s">
        <v>532</v>
      </c>
      <c r="B59" s="22">
        <v>3</v>
      </c>
      <c r="C59" s="32" t="s">
        <v>12</v>
      </c>
      <c r="D59" s="32" t="s">
        <v>530</v>
      </c>
      <c r="N59" s="32" t="s">
        <v>553</v>
      </c>
      <c r="O59" s="32" t="s">
        <v>550</v>
      </c>
    </row>
    <row r="60" spans="1:18" s="32" customFormat="1" x14ac:dyDescent="0.3">
      <c r="A60" s="32" t="s">
        <v>533</v>
      </c>
      <c r="B60" s="22">
        <v>1.5</v>
      </c>
      <c r="C60" s="32" t="s">
        <v>12</v>
      </c>
      <c r="D60" s="32" t="s">
        <v>531</v>
      </c>
      <c r="O60" s="32" t="s">
        <v>542</v>
      </c>
    </row>
    <row r="61" spans="1:18" s="32" customFormat="1" x14ac:dyDescent="0.3"/>
    <row r="62" spans="1:18" x14ac:dyDescent="0.3">
      <c r="A62" t="s">
        <v>482</v>
      </c>
      <c r="B62" s="22">
        <v>15</v>
      </c>
      <c r="C62" t="s">
        <v>14</v>
      </c>
      <c r="D62" t="s">
        <v>483</v>
      </c>
    </row>
    <row r="65" spans="1:4" x14ac:dyDescent="0.3">
      <c r="A65" s="32" t="s">
        <v>591</v>
      </c>
      <c r="B65" s="22">
        <v>1</v>
      </c>
      <c r="C65" s="32" t="s">
        <v>175</v>
      </c>
      <c r="D65" s="32" t="s">
        <v>235</v>
      </c>
    </row>
    <row r="66" spans="1:4" x14ac:dyDescent="0.3">
      <c r="A66" s="32" t="s">
        <v>592</v>
      </c>
      <c r="B66" s="210">
        <v>9.5000000000000001E-2</v>
      </c>
      <c r="C66" s="2" t="s">
        <v>486</v>
      </c>
      <c r="D66" s="32" t="s">
        <v>487</v>
      </c>
    </row>
    <row r="67" spans="1:4" x14ac:dyDescent="0.3">
      <c r="A67" s="32" t="s">
        <v>593</v>
      </c>
      <c r="B67" s="22">
        <v>1</v>
      </c>
      <c r="C67" s="32" t="s">
        <v>175</v>
      </c>
      <c r="D67" s="32" t="s">
        <v>235</v>
      </c>
    </row>
    <row r="68" spans="1:4" x14ac:dyDescent="0.3">
      <c r="A68" s="32" t="s">
        <v>594</v>
      </c>
      <c r="B68" s="210">
        <v>0.19</v>
      </c>
      <c r="C68" s="2" t="s">
        <v>486</v>
      </c>
      <c r="D68" s="32" t="s">
        <v>487</v>
      </c>
    </row>
  </sheetData>
  <mergeCells count="3">
    <mergeCell ref="A1:I1"/>
    <mergeCell ref="E5:H5"/>
    <mergeCell ref="D25:H26"/>
  </mergeCells>
  <pageMargins left="0.7" right="0.7" top="0.75" bottom="0.75" header="0.3" footer="0.3"/>
  <pageSetup orientation="portrait" horizontalDpi="1200" verticalDpi="12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B3"/>
  <sheetViews>
    <sheetView topLeftCell="B1" zoomScale="70" zoomScaleNormal="70" workbookViewId="0">
      <selection activeCell="AD9" sqref="AD9"/>
    </sheetView>
  </sheetViews>
  <sheetFormatPr defaultRowHeight="14.4" x14ac:dyDescent="0.3"/>
  <cols>
    <col min="3" max="3" width="144.6640625" customWidth="1"/>
  </cols>
  <sheetData>
    <row r="2" spans="2:2" x14ac:dyDescent="0.3">
      <c r="B2" t="str">
        <f>"Eff_vs_IOUT"</f>
        <v>Eff_vs_IOUT</v>
      </c>
    </row>
    <row r="3" spans="2:2" ht="379.95" customHeight="1"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
  <sheetViews>
    <sheetView topLeftCell="A6" zoomScaleNormal="100" workbookViewId="0">
      <selection activeCell="A8" sqref="A8"/>
    </sheetView>
  </sheetViews>
  <sheetFormatPr defaultRowHeight="14.4" x14ac:dyDescent="0.3"/>
  <cols>
    <col min="1" max="1" width="13.109375" customWidth="1"/>
    <col min="2" max="2" width="16.6640625" style="32" customWidth="1"/>
    <col min="3" max="3" width="12.88671875" style="32" customWidth="1"/>
    <col min="4" max="5" width="75.6640625" customWidth="1"/>
  </cols>
  <sheetData>
    <row r="1" spans="2:5" s="32" customFormat="1" x14ac:dyDescent="0.3">
      <c r="B1" s="32" t="str">
        <f>VLOOKUP('Design Converter'!H28,B3:C6,2,FALSE)</f>
        <v>sch_LM5158</v>
      </c>
    </row>
    <row r="2" spans="2:5" s="32" customFormat="1" x14ac:dyDescent="0.3">
      <c r="B2" s="32" t="s">
        <v>567</v>
      </c>
      <c r="C2" s="209"/>
    </row>
    <row r="3" spans="2:5" s="32" customFormat="1" x14ac:dyDescent="0.3">
      <c r="B3" s="32" t="s">
        <v>504</v>
      </c>
      <c r="C3" s="209" t="s">
        <v>566</v>
      </c>
    </row>
    <row r="4" spans="2:5" s="32" customFormat="1" x14ac:dyDescent="0.3">
      <c r="B4" s="32" t="s">
        <v>507</v>
      </c>
      <c r="C4" s="209" t="s">
        <v>568</v>
      </c>
    </row>
    <row r="5" spans="2:5" s="32" customFormat="1" x14ac:dyDescent="0.3">
      <c r="B5" s="32" t="s">
        <v>558</v>
      </c>
      <c r="C5" s="209" t="s">
        <v>569</v>
      </c>
    </row>
    <row r="6" spans="2:5" x14ac:dyDescent="0.3">
      <c r="B6" s="32" t="s">
        <v>559</v>
      </c>
      <c r="C6" s="209" t="s">
        <v>570</v>
      </c>
    </row>
    <row r="7" spans="2:5" ht="279.89999999999998" customHeight="1" x14ac:dyDescent="0.3">
      <c r="E7" s="48"/>
    </row>
    <row r="8" spans="2:5" ht="279.89999999999998" customHeight="1" x14ac:dyDescent="0.3"/>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11265" r:id="rId4">
          <objectPr defaultSize="0" r:id="rId5">
            <anchor moveWithCells="1">
              <from>
                <xdr:col>3</xdr:col>
                <xdr:colOff>0</xdr:colOff>
                <xdr:row>7</xdr:row>
                <xdr:rowOff>0</xdr:rowOff>
              </from>
              <to>
                <xdr:col>3</xdr:col>
                <xdr:colOff>4953000</xdr:colOff>
                <xdr:row>7</xdr:row>
                <xdr:rowOff>2735580</xdr:rowOff>
              </to>
            </anchor>
          </objectPr>
        </oleObject>
      </mc:Choice>
      <mc:Fallback>
        <oleObject progId="Visio.Drawing.15" shapeId="11265" r:id="rId4"/>
      </mc:Fallback>
    </mc:AlternateContent>
    <mc:AlternateContent xmlns:mc="http://schemas.openxmlformats.org/markup-compatibility/2006">
      <mc:Choice Requires="x14">
        <oleObject progId="Visio.Drawing.15" shapeId="11266" r:id="rId6">
          <objectPr defaultSize="0" r:id="rId7">
            <anchor moveWithCells="1">
              <from>
                <xdr:col>4</xdr:col>
                <xdr:colOff>0</xdr:colOff>
                <xdr:row>7</xdr:row>
                <xdr:rowOff>0</xdr:rowOff>
              </from>
              <to>
                <xdr:col>4</xdr:col>
                <xdr:colOff>4953000</xdr:colOff>
                <xdr:row>7</xdr:row>
                <xdr:rowOff>2735580</xdr:rowOff>
              </to>
            </anchor>
          </objectPr>
        </oleObject>
      </mc:Choice>
      <mc:Fallback>
        <oleObject progId="Visio.Drawing.15" shapeId="11266" r:id="rId6"/>
      </mc:Fallback>
    </mc:AlternateContent>
    <mc:AlternateContent xmlns:mc="http://schemas.openxmlformats.org/markup-compatibility/2006">
      <mc:Choice Requires="x14">
        <oleObject progId="Visio.Drawing.15" shapeId="11267" r:id="rId8">
          <objectPr defaultSize="0" r:id="rId9">
            <anchor moveWithCells="1">
              <from>
                <xdr:col>3</xdr:col>
                <xdr:colOff>0</xdr:colOff>
                <xdr:row>6</xdr:row>
                <xdr:rowOff>0</xdr:rowOff>
              </from>
              <to>
                <xdr:col>3</xdr:col>
                <xdr:colOff>4953000</xdr:colOff>
                <xdr:row>6</xdr:row>
                <xdr:rowOff>2735580</xdr:rowOff>
              </to>
            </anchor>
          </objectPr>
        </oleObject>
      </mc:Choice>
      <mc:Fallback>
        <oleObject progId="Visio.Drawing.15" shapeId="11267" r:id="rId8"/>
      </mc:Fallback>
    </mc:AlternateContent>
    <mc:AlternateContent xmlns:mc="http://schemas.openxmlformats.org/markup-compatibility/2006">
      <mc:Choice Requires="x14">
        <oleObject progId="Visio.Drawing.15" shapeId="11268" r:id="rId10">
          <objectPr defaultSize="0" r:id="rId11">
            <anchor moveWithCells="1">
              <from>
                <xdr:col>4</xdr:col>
                <xdr:colOff>0</xdr:colOff>
                <xdr:row>6</xdr:row>
                <xdr:rowOff>0</xdr:rowOff>
              </from>
              <to>
                <xdr:col>4</xdr:col>
                <xdr:colOff>4953000</xdr:colOff>
                <xdr:row>6</xdr:row>
                <xdr:rowOff>2735580</xdr:rowOff>
              </to>
            </anchor>
          </objectPr>
        </oleObject>
      </mc:Choice>
      <mc:Fallback>
        <oleObject progId="Visio.Drawing.15" shapeId="11268" r:id="rId10"/>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E16"/>
  <sheetViews>
    <sheetView workbookViewId="0">
      <selection activeCell="B18" sqref="B18"/>
    </sheetView>
  </sheetViews>
  <sheetFormatPr defaultRowHeight="14.4" x14ac:dyDescent="0.3"/>
  <cols>
    <col min="1" max="1" width="27.44140625" bestFit="1" customWidth="1"/>
  </cols>
  <sheetData>
    <row r="2" spans="1:5" x14ac:dyDescent="0.3">
      <c r="A2" t="s">
        <v>447</v>
      </c>
    </row>
    <row r="3" spans="1:5" x14ac:dyDescent="0.3">
      <c r="B3">
        <f>VIN_min</f>
        <v>12</v>
      </c>
    </row>
    <row r="4" spans="1:5" x14ac:dyDescent="0.3">
      <c r="B4">
        <f>VIN_nom</f>
        <v>15</v>
      </c>
      <c r="D4">
        <v>2.5</v>
      </c>
    </row>
    <row r="5" spans="1:5" x14ac:dyDescent="0.3">
      <c r="B5">
        <f>VIN_max</f>
        <v>18</v>
      </c>
    </row>
    <row r="9" spans="1:5" x14ac:dyDescent="0.3">
      <c r="A9" s="32" t="s">
        <v>506</v>
      </c>
      <c r="B9" s="209"/>
      <c r="C9" s="32"/>
      <c r="D9" s="32"/>
      <c r="E9" s="32"/>
    </row>
    <row r="10" spans="1:5" x14ac:dyDescent="0.3">
      <c r="A10" s="32" t="s">
        <v>504</v>
      </c>
      <c r="B10" s="249">
        <f>Isw_lim_57</f>
        <v>6.5</v>
      </c>
      <c r="C10" s="32" t="s">
        <v>12</v>
      </c>
      <c r="D10" s="32"/>
      <c r="E10" s="32"/>
    </row>
    <row r="11" spans="1:5" x14ac:dyDescent="0.3">
      <c r="A11" s="32" t="s">
        <v>507</v>
      </c>
      <c r="B11" s="249">
        <f>Isw_lim_571</f>
        <v>4.33</v>
      </c>
      <c r="C11" s="32" t="s">
        <v>12</v>
      </c>
      <c r="D11" s="32"/>
      <c r="E11" s="32"/>
    </row>
    <row r="12" spans="1:5" x14ac:dyDescent="0.3">
      <c r="A12" s="32" t="s">
        <v>558</v>
      </c>
      <c r="B12" s="249">
        <f>Isw_lim_58</f>
        <v>3</v>
      </c>
      <c r="C12" s="32" t="s">
        <v>12</v>
      </c>
      <c r="D12" s="32"/>
      <c r="E12" s="32"/>
    </row>
    <row r="13" spans="1:5" x14ac:dyDescent="0.3">
      <c r="A13" s="32" t="s">
        <v>559</v>
      </c>
      <c r="B13" s="249">
        <f>Isw_lim_581</f>
        <v>1.5</v>
      </c>
      <c r="C13" s="32" t="s">
        <v>12</v>
      </c>
      <c r="D13" s="32"/>
      <c r="E13" s="32"/>
    </row>
    <row r="14" spans="1:5" x14ac:dyDescent="0.3">
      <c r="A14" s="32"/>
      <c r="B14" s="209"/>
      <c r="C14" s="32"/>
      <c r="D14" s="32"/>
      <c r="E14" s="32"/>
    </row>
    <row r="15" spans="1:5" x14ac:dyDescent="0.3">
      <c r="A15" s="32" t="s">
        <v>560</v>
      </c>
      <c r="B15" s="1">
        <f>IF(OR('Design Converter'!H28="LM5158",'Design Converter'!H28="LM51581"),Vin_op_max_58,VIN_op_max_57)</f>
        <v>60</v>
      </c>
      <c r="C15" s="32" t="s">
        <v>11</v>
      </c>
      <c r="D15" s="32"/>
      <c r="E15" s="32" t="s">
        <v>562</v>
      </c>
    </row>
    <row r="16" spans="1:5" x14ac:dyDescent="0.3">
      <c r="A16" s="32" t="s">
        <v>561</v>
      </c>
      <c r="B16" s="1">
        <f>IF(OR('Design Converter'!H28="LM5158",'Design Converter'!H28="LM51581"),Vout_op_max_58,Vout_op_max_57)</f>
        <v>83</v>
      </c>
      <c r="C16" s="32" t="s">
        <v>11</v>
      </c>
      <c r="D16" s="32"/>
      <c r="E16" s="32" t="s">
        <v>563</v>
      </c>
    </row>
  </sheetData>
  <dataValidations disablePrompts="1"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245</vt:i4>
      </vt:variant>
    </vt:vector>
  </HeadingPairs>
  <TitlesOfParts>
    <vt:vector size="255" baseType="lpstr">
      <vt:lpstr>Design Converter</vt:lpstr>
      <vt:lpstr>Licenses</vt:lpstr>
      <vt:lpstr>Variable_Management</vt:lpstr>
      <vt:lpstr>Eff_vs_IOUT</vt:lpstr>
      <vt:lpstr>Loop_Modeling</vt:lpstr>
      <vt:lpstr>Constants</vt:lpstr>
      <vt:lpstr>Plot_Management_Eff</vt:lpstr>
      <vt:lpstr>Plot_Management_Sch</vt:lpstr>
      <vt:lpstr>Lists</vt:lpstr>
      <vt:lpstr>Sheet1</vt:lpstr>
      <vt:lpstr>Acs</vt:lpstr>
      <vt:lpstr>Acs_57</vt:lpstr>
      <vt:lpstr>Acs_58</vt:lpstr>
      <vt:lpstr>Adc</vt:lpstr>
      <vt:lpstr>Adc_ea</vt:lpstr>
      <vt:lpstr>ADC_VINmin</vt:lpstr>
      <vt:lpstr>CCOMP</vt:lpstr>
      <vt:lpstr>CComp_calc</vt:lpstr>
      <vt:lpstr>Ccomp_iso</vt:lpstr>
      <vt:lpstr>Ccomp_iso_calc</vt:lpstr>
      <vt:lpstr>chart5</vt:lpstr>
      <vt:lpstr>CHF</vt:lpstr>
      <vt:lpstr>Comp_calc</vt:lpstr>
      <vt:lpstr>Copto</vt:lpstr>
      <vt:lpstr>Cout</vt:lpstr>
      <vt:lpstr>Cout_min</vt:lpstr>
      <vt:lpstr>Cout_total</vt:lpstr>
      <vt:lpstr>Cout1</vt:lpstr>
      <vt:lpstr>Cout1_min</vt:lpstr>
      <vt:lpstr>Cout2</vt:lpstr>
      <vt:lpstr>Cout2_min</vt:lpstr>
      <vt:lpstr>Cout3</vt:lpstr>
      <vt:lpstr>Cout3_min</vt:lpstr>
      <vt:lpstr>Cout4</vt:lpstr>
      <vt:lpstr>D_limit_max</vt:lpstr>
      <vt:lpstr>D_limit_min</vt:lpstr>
      <vt:lpstr>D_limit_nom</vt:lpstr>
      <vt:lpstr>Dc_max_IC</vt:lpstr>
      <vt:lpstr>Dc_max_ideal</vt:lpstr>
      <vt:lpstr>Dc_rip_max</vt:lpstr>
      <vt:lpstr>Dc_VIN_max</vt:lpstr>
      <vt:lpstr>Dc_VIN_min</vt:lpstr>
      <vt:lpstr>Dc_VIN_nom</vt:lpstr>
      <vt:lpstr>Licenses!device_s</vt:lpstr>
      <vt:lpstr>device_s</vt:lpstr>
      <vt:lpstr>Dmax_limit</vt:lpstr>
      <vt:lpstr>EFF_est</vt:lpstr>
      <vt:lpstr>Eff_vs_IOUT</vt:lpstr>
      <vt:lpstr>EN_OUT_2</vt:lpstr>
      <vt:lpstr>EN_OUT_3</vt:lpstr>
      <vt:lpstr>EN_OUT_4</vt:lpstr>
      <vt:lpstr>FB_type</vt:lpstr>
      <vt:lpstr>fcross</vt:lpstr>
      <vt:lpstr>fcross_est</vt:lpstr>
      <vt:lpstr>fcross_iso</vt:lpstr>
      <vt:lpstr>fopto</vt:lpstr>
      <vt:lpstr>fp_ea_est</vt:lpstr>
      <vt:lpstr>Fsw</vt:lpstr>
      <vt:lpstr>fz_ea_est</vt:lpstr>
      <vt:lpstr>fz_rhp</vt:lpstr>
      <vt:lpstr>fz_rhp_VINnom</vt:lpstr>
      <vt:lpstr>Gcomp</vt:lpstr>
      <vt:lpstr>Gea_mid_calc</vt:lpstr>
      <vt:lpstr>gfs</vt:lpstr>
      <vt:lpstr>gm_ea</vt:lpstr>
      <vt:lpstr>Gplant_fc_dB</vt:lpstr>
      <vt:lpstr>I_lim_r</vt:lpstr>
      <vt:lpstr>Licenses!I_lim_s</vt:lpstr>
      <vt:lpstr>I_lim_s</vt:lpstr>
      <vt:lpstr>Icomp_sink_max</vt:lpstr>
      <vt:lpstr>IIN_33</vt:lpstr>
      <vt:lpstr>IL_avg_VIN_max</vt:lpstr>
      <vt:lpstr>IL_avg_VIN_min</vt:lpstr>
      <vt:lpstr>IL_avg_VIN_nom</vt:lpstr>
      <vt:lpstr>IL_pk</vt:lpstr>
      <vt:lpstr>IL_pk_max</vt:lpstr>
      <vt:lpstr>ILp_VINmax</vt:lpstr>
      <vt:lpstr>ILp_VINmin</vt:lpstr>
      <vt:lpstr>ILp_VINnom</vt:lpstr>
      <vt:lpstr>Licenses!ILpk</vt:lpstr>
      <vt:lpstr>ILpk</vt:lpstr>
      <vt:lpstr>ILrip</vt:lpstr>
      <vt:lpstr>ILrip_VINmax</vt:lpstr>
      <vt:lpstr>ILrip_VINmin</vt:lpstr>
      <vt:lpstr>ILrip_VINnom</vt:lpstr>
      <vt:lpstr>IOUT</vt:lpstr>
      <vt:lpstr>IOUT1</vt:lpstr>
      <vt:lpstr>IOUT2</vt:lpstr>
      <vt:lpstr>IOUT3</vt:lpstr>
      <vt:lpstr>IOUT4</vt:lpstr>
      <vt:lpstr>Ipk_lim_margin</vt:lpstr>
      <vt:lpstr>Ipk_margin</vt:lpstr>
      <vt:lpstr>Ipk_selected</vt:lpstr>
      <vt:lpstr>IQ</vt:lpstr>
      <vt:lpstr>IRMS_COUT</vt:lpstr>
      <vt:lpstr>Isl</vt:lpstr>
      <vt:lpstr>Iss</vt:lpstr>
      <vt:lpstr>Licenses!Isw_lim_57</vt:lpstr>
      <vt:lpstr>Isw_lim_57</vt:lpstr>
      <vt:lpstr>Licenses!Isw_lim_571</vt:lpstr>
      <vt:lpstr>Isw_lim_571</vt:lpstr>
      <vt:lpstr>Licenses!Isw_lim_58</vt:lpstr>
      <vt:lpstr>Isw_lim_58</vt:lpstr>
      <vt:lpstr>Licenses!Isw_lim_581</vt:lpstr>
      <vt:lpstr>Isw_lim_581</vt:lpstr>
      <vt:lpstr>kopto_max</vt:lpstr>
      <vt:lpstr>kopto_min</vt:lpstr>
      <vt:lpstr>Kslope</vt:lpstr>
      <vt:lpstr>Lm</vt:lpstr>
      <vt:lpstr>Lopt</vt:lpstr>
      <vt:lpstr>Lopt_2</vt:lpstr>
      <vt:lpstr>Np</vt:lpstr>
      <vt:lpstr>NS1_</vt:lpstr>
      <vt:lpstr>NS2_</vt:lpstr>
      <vt:lpstr>NS3_</vt:lpstr>
      <vt:lpstr>NS4_</vt:lpstr>
      <vt:lpstr>num_VOUT</vt:lpstr>
      <vt:lpstr>POUT</vt:lpstr>
      <vt:lpstr>POUT_Total</vt:lpstr>
      <vt:lpstr>POUT1</vt:lpstr>
      <vt:lpstr>POUT2</vt:lpstr>
      <vt:lpstr>POUT3</vt:lpstr>
      <vt:lpstr>POUT4</vt:lpstr>
      <vt:lpstr>'Design Converter'!Print_Area</vt:lpstr>
      <vt:lpstr>Q</vt:lpstr>
      <vt:lpstr>Q_VINmin</vt:lpstr>
      <vt:lpstr>Qg_tot</vt:lpstr>
      <vt:lpstr>Qgd</vt:lpstr>
      <vt:lpstr>Qgs</vt:lpstr>
      <vt:lpstr>Qrr</vt:lpstr>
      <vt:lpstr>QRR1_</vt:lpstr>
      <vt:lpstr>QRR2_</vt:lpstr>
      <vt:lpstr>QRR3_</vt:lpstr>
      <vt:lpstr>QRR4_</vt:lpstr>
      <vt:lpstr>R_cs</vt:lpstr>
      <vt:lpstr>R_cs_57</vt:lpstr>
      <vt:lpstr>R_cs_58</vt:lpstr>
      <vt:lpstr>R_sl</vt:lpstr>
      <vt:lpstr>RCOMP</vt:lpstr>
      <vt:lpstr>Rcomp_calc</vt:lpstr>
      <vt:lpstr>Rcomp_iso</vt:lpstr>
      <vt:lpstr>Rcs_max</vt:lpstr>
      <vt:lpstr>Rcs_w_sl</vt:lpstr>
      <vt:lpstr>Rcs_wo_sl</vt:lpstr>
      <vt:lpstr>Rdcr</vt:lpstr>
      <vt:lpstr>Rdcr1</vt:lpstr>
      <vt:lpstr>Rdcr2</vt:lpstr>
      <vt:lpstr>Rdcr3</vt:lpstr>
      <vt:lpstr>Rdcr4</vt:lpstr>
      <vt:lpstr>RDS_on</vt:lpstr>
      <vt:lpstr>rdson_5v</vt:lpstr>
      <vt:lpstr>Resr</vt:lpstr>
      <vt:lpstr>Resr_total</vt:lpstr>
      <vt:lpstr>Resr1</vt:lpstr>
      <vt:lpstr>Resr2</vt:lpstr>
      <vt:lpstr>Resr2_Trans</vt:lpstr>
      <vt:lpstr>Resr3</vt:lpstr>
      <vt:lpstr>Resr3_Trans</vt:lpstr>
      <vt:lpstr>Resr4</vt:lpstr>
      <vt:lpstr>Resr4_Trans</vt:lpstr>
      <vt:lpstr>RFBB</vt:lpstr>
      <vt:lpstr>RFBB_calc</vt:lpstr>
      <vt:lpstr>RFBB_iso</vt:lpstr>
      <vt:lpstr>RFBB_iso_calc</vt:lpstr>
      <vt:lpstr>RFBT</vt:lpstr>
      <vt:lpstr>RFBT_iso</vt:lpstr>
      <vt:lpstr>Rgate</vt:lpstr>
      <vt:lpstr>RLED</vt:lpstr>
      <vt:lpstr>ROUT</vt:lpstr>
      <vt:lpstr>Rpullup</vt:lpstr>
      <vt:lpstr>Rpullup_min</vt:lpstr>
      <vt:lpstr>Rsl_int</vt:lpstr>
      <vt:lpstr>RT</vt:lpstr>
      <vt:lpstr>Ruvlo_bottom_calc</vt:lpstr>
      <vt:lpstr>Ruvlo_top</vt:lpstr>
      <vt:lpstr>Ruvlo_top_calc</vt:lpstr>
      <vt:lpstr>sch_LM5157</vt:lpstr>
      <vt:lpstr>sch_LM51571</vt:lpstr>
      <vt:lpstr>sch_LM5158</vt:lpstr>
      <vt:lpstr>sch_LM51581</vt:lpstr>
      <vt:lpstr>Licenses!Se</vt:lpstr>
      <vt:lpstr>Se</vt:lpstr>
      <vt:lpstr>Se_VINmin</vt:lpstr>
      <vt:lpstr>Licenses!Sn</vt:lpstr>
      <vt:lpstr>Sn</vt:lpstr>
      <vt:lpstr>Licenses!Sn_half</vt:lpstr>
      <vt:lpstr>Sn_half</vt:lpstr>
      <vt:lpstr>Sn_VINmin</vt:lpstr>
      <vt:lpstr>Ta</vt:lpstr>
      <vt:lpstr>tf_sw</vt:lpstr>
      <vt:lpstr>tf_sw_fix</vt:lpstr>
      <vt:lpstr>Tk</vt:lpstr>
      <vt:lpstr>Tk_f</vt:lpstr>
      <vt:lpstr>tr_sw</vt:lpstr>
      <vt:lpstr>tr_sw_fix</vt:lpstr>
      <vt:lpstr>tss</vt:lpstr>
      <vt:lpstr>UV_fall</vt:lpstr>
      <vt:lpstr>UV_I_hyst</vt:lpstr>
      <vt:lpstr>UV_rise</vt:lpstr>
      <vt:lpstr>Vcc</vt:lpstr>
      <vt:lpstr>Licenses!Vcc_real</vt:lpstr>
      <vt:lpstr>Vcc_real</vt:lpstr>
      <vt:lpstr>VCE_sat</vt:lpstr>
      <vt:lpstr>Vcl</vt:lpstr>
      <vt:lpstr>Vcomp_max</vt:lpstr>
      <vt:lpstr>VD</vt:lpstr>
      <vt:lpstr>Vd_opto</vt:lpstr>
      <vt:lpstr>Vd_rect</vt:lpstr>
      <vt:lpstr>VD1_</vt:lpstr>
      <vt:lpstr>VD2_</vt:lpstr>
      <vt:lpstr>VD3_</vt:lpstr>
      <vt:lpstr>VD4_</vt:lpstr>
      <vt:lpstr>VIN_33</vt:lpstr>
      <vt:lpstr>VIN_max</vt:lpstr>
      <vt:lpstr>VIN_min</vt:lpstr>
      <vt:lpstr>VIN_nom</vt:lpstr>
      <vt:lpstr>Licenses!Vin_op_max_57</vt:lpstr>
      <vt:lpstr>VIN_op_max_57</vt:lpstr>
      <vt:lpstr>Licenses!Vin_op_max_58</vt:lpstr>
      <vt:lpstr>Vin_op_max_58</vt:lpstr>
      <vt:lpstr>Vin_op_max_s</vt:lpstr>
      <vt:lpstr>VIN_op_min</vt:lpstr>
      <vt:lpstr>VIN_var</vt:lpstr>
      <vt:lpstr>Vo_op_max_s</vt:lpstr>
      <vt:lpstr>VOUT</vt:lpstr>
      <vt:lpstr>Licenses!Vout_op_max_57</vt:lpstr>
      <vt:lpstr>Vout_op_max_57</vt:lpstr>
      <vt:lpstr>Licenses!Vout_op_max_58</vt:lpstr>
      <vt:lpstr>Vout_op_max_58</vt:lpstr>
      <vt:lpstr>Vout_rip_sel</vt:lpstr>
      <vt:lpstr>VOUT1</vt:lpstr>
      <vt:lpstr>Vout1_rip_sel</vt:lpstr>
      <vt:lpstr>VOUT2</vt:lpstr>
      <vt:lpstr>Vout2_rip_sel</vt:lpstr>
      <vt:lpstr>VOUT3</vt:lpstr>
      <vt:lpstr>Vout3_rip_sel</vt:lpstr>
      <vt:lpstr>VOUT4</vt:lpstr>
      <vt:lpstr>Vout4_rip_sel</vt:lpstr>
      <vt:lpstr>Vpullup</vt:lpstr>
      <vt:lpstr>Vref</vt:lpstr>
      <vt:lpstr>Vref_iso</vt:lpstr>
      <vt:lpstr>Vth</vt:lpstr>
      <vt:lpstr>Vuvlo_off</vt:lpstr>
      <vt:lpstr>Vuvlo_on</vt:lpstr>
      <vt:lpstr>wp_lf</vt:lpstr>
      <vt:lpstr>wp_lf_VINmin</vt:lpstr>
      <vt:lpstr>wp0_ea</vt:lpstr>
      <vt:lpstr>wp1_ea</vt:lpstr>
      <vt:lpstr>wsl</vt:lpstr>
      <vt:lpstr>wsl_VINmin</vt:lpstr>
      <vt:lpstr>wz_ea</vt:lpstr>
      <vt:lpstr>wz_esr</vt:lpstr>
      <vt:lpstr>wz_esr_VINmin</vt:lpstr>
      <vt:lpstr>wz_rhp</vt:lpstr>
      <vt:lpstr>wz_RHP_VINmin</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wilwin</cp:lastModifiedBy>
  <cp:lastPrinted>2018-08-09T07:13:51Z</cp:lastPrinted>
  <dcterms:created xsi:type="dcterms:W3CDTF">2018-06-26T09:13:29Z</dcterms:created>
  <dcterms:modified xsi:type="dcterms:W3CDTF">2022-08-30T02:39:35Z</dcterms:modified>
</cp:coreProperties>
</file>