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_Work_Station\Work_Platform\A_Plan\Agent\raw_data\"/>
    </mc:Choice>
  </mc:AlternateContent>
  <xr:revisionPtr revIDLastSave="0" documentId="13_ncr:1_{7443230D-9FCD-48F0-81A4-4188D817D7AB}" xr6:coauthVersionLast="47" xr6:coauthVersionMax="47" xr10:uidLastSave="{00000000-0000-0000-0000-000000000000}"/>
  <bookViews>
    <workbookView xWindow="-120" yWindow="-120" windowWidth="38640" windowHeight="21240" tabRatio="739" activeTab="5" xr2:uid="{00000000-000D-0000-FFFF-FFFF00000000}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6" l="1"/>
  <c r="Q50" i="13"/>
  <c r="C150" i="10" l="1"/>
  <c r="L15" i="10" l="1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I25" i="9" a="1"/>
  <c r="I11" i="9" a="1"/>
  <c r="I18" i="9" a="1"/>
  <c r="I20" i="9" a="1"/>
  <c r="I12" i="9" a="1"/>
  <c r="H11" i="9" a="1"/>
  <c r="H18" i="9" a="1"/>
  <c r="H19" i="9" a="1"/>
  <c r="I23" i="9" a="1"/>
  <c r="H20" i="9" a="1"/>
  <c r="I8" i="9" a="1"/>
  <c r="I22" i="9" a="1"/>
  <c r="I9" i="9" a="1"/>
  <c r="I15" i="9" a="1"/>
  <c r="H13" i="9" a="1"/>
  <c r="I10" i="9" a="1"/>
  <c r="I16" i="9" a="1"/>
  <c r="I7" i="9" a="1"/>
  <c r="I21" i="9" a="1"/>
  <c r="I14" i="9" a="1"/>
  <c r="H21" i="9" a="1"/>
  <c r="I17" i="9" a="1"/>
  <c r="H25" i="9" a="1"/>
  <c r="H8" i="9" a="1"/>
  <c r="H16" i="9" a="1"/>
  <c r="I19" i="9" a="1"/>
  <c r="H10" i="9" a="1"/>
  <c r="H9" i="9" a="1"/>
  <c r="H17" i="9" a="1"/>
  <c r="H12" i="9" a="1"/>
  <c r="H15" i="9" a="1"/>
  <c r="H22" i="9" a="1"/>
  <c r="H14" i="9" a="1"/>
  <c r="I13" i="9" a="1"/>
  <c r="H23" i="9" a="1"/>
  <c r="I15" i="10" l="1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S50" i="13"/>
  <c r="E18" i="12" a="1"/>
  <c r="E19" i="12" a="1"/>
  <c r="E20" i="12" a="1"/>
  <c r="E21" i="12" a="1"/>
  <c r="I18" i="12" a="1"/>
  <c r="I21" i="12" a="1"/>
  <c r="I20" i="12" a="1"/>
  <c r="E12" i="12" a="1"/>
  <c r="E29" i="12" a="1"/>
  <c r="I19" i="12" a="1"/>
  <c r="E23" i="12" a="1"/>
  <c r="F121" i="10" l="1"/>
  <c r="E29" i="12"/>
  <c r="I21" i="12"/>
  <c r="I20" i="12"/>
  <c r="I19" i="12"/>
  <c r="I18" i="12"/>
  <c r="E21" i="12"/>
  <c r="E20" i="12"/>
  <c r="E19" i="12"/>
  <c r="E18" i="12"/>
  <c r="E23" i="12"/>
  <c r="E12" i="12"/>
  <c r="I5" i="9" a="1"/>
  <c r="H5" i="9" a="1"/>
  <c r="I4" i="9" a="1"/>
  <c r="H4" i="9" a="1"/>
  <c r="H6" i="9" a="1"/>
  <c r="I6" i="9" a="1"/>
  <c r="H7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M10" i="12" s="1"/>
  <c r="K8" i="12"/>
  <c r="L8" i="12" s="1"/>
  <c r="F8" i="12"/>
  <c r="M7" i="12"/>
  <c r="K7" i="12"/>
  <c r="L7" i="12" s="1"/>
  <c r="F7" i="12"/>
  <c r="K6" i="12"/>
  <c r="K5" i="12"/>
  <c r="K4" i="12"/>
  <c r="F4" i="12"/>
  <c r="M4" i="12" s="1"/>
  <c r="K43" i="9" a="1"/>
  <c r="M46" i="9" a="1"/>
  <c r="H42" i="9" a="1"/>
  <c r="L43" i="9" a="1"/>
  <c r="K41" i="9" a="1"/>
  <c r="M47" i="9" a="1"/>
  <c r="H40" i="9" a="1"/>
  <c r="N40" i="9" a="1"/>
  <c r="O43" i="9" a="1"/>
  <c r="O40" i="9" a="1"/>
  <c r="L42" i="9" a="1"/>
  <c r="O44" i="9" a="1"/>
  <c r="J45" i="9" a="1"/>
  <c r="E46" i="9" a="1"/>
  <c r="I47" i="9" a="1"/>
  <c r="N45" i="9" a="1"/>
  <c r="E42" i="9" a="1"/>
  <c r="N44" i="9" a="1"/>
  <c r="G46" i="9" a="1"/>
  <c r="G44" i="9" a="1"/>
  <c r="D42" i="9" a="1"/>
  <c r="H47" i="9" a="1"/>
  <c r="J44" i="9" a="1"/>
  <c r="R53" i="13" a="1"/>
  <c r="M42" i="9" a="1"/>
  <c r="D40" i="9" a="1"/>
  <c r="G47" i="9" a="1"/>
  <c r="F43" i="9" a="1"/>
  <c r="F46" i="9" a="1"/>
  <c r="I42" i="9" a="1"/>
  <c r="E43" i="9" a="1"/>
  <c r="P47" i="13" a="1"/>
  <c r="J42" i="9" a="1"/>
  <c r="P3" i="13" a="1"/>
  <c r="K47" i="9" a="1"/>
  <c r="E44" i="9" a="1"/>
  <c r="I43" i="9" a="1"/>
  <c r="M40" i="9" a="1"/>
  <c r="H44" i="9" a="1"/>
  <c r="N47" i="9" a="1"/>
  <c r="T53" i="13" a="1"/>
  <c r="P52" i="13" a="1"/>
  <c r="K42" i="9" a="1"/>
  <c r="I44" i="9" a="1"/>
  <c r="P53" i="13" a="1"/>
  <c r="M41" i="9" a="1"/>
  <c r="R59" i="7" a="1"/>
  <c r="N41" i="9" a="1"/>
  <c r="N43" i="9" a="1"/>
  <c r="H46" i="9" a="1"/>
  <c r="L40" i="9" a="1"/>
  <c r="D47" i="9" a="1"/>
  <c r="S53" i="13" a="1"/>
  <c r="G40" i="9" a="1"/>
  <c r="P46" i="13" a="1"/>
  <c r="M45" i="9" a="1"/>
  <c r="P45" i="13" a="1"/>
  <c r="G43" i="9" a="1"/>
  <c r="O46" i="9" a="1"/>
  <c r="J40" i="9" a="1"/>
  <c r="E40" i="9" a="1"/>
  <c r="K45" i="9" a="1"/>
  <c r="D44" i="9" a="1"/>
  <c r="Q59" i="7" a="1"/>
  <c r="O47" i="9" a="1"/>
  <c r="H41" i="9" a="1"/>
  <c r="D43" i="9" a="1"/>
  <c r="F41" i="9" a="1"/>
  <c r="D46" i="9" a="1"/>
  <c r="G42" i="9" a="1"/>
  <c r="M44" i="9" a="1"/>
  <c r="J46" i="9" a="1"/>
  <c r="J41" i="9" a="1"/>
  <c r="F45" i="9" a="1"/>
  <c r="P58" i="7" a="1"/>
  <c r="L47" i="9" a="1"/>
  <c r="H43" i="9" a="1"/>
  <c r="S59" i="7" a="1"/>
  <c r="O41" i="9" a="1"/>
  <c r="E45" i="9" a="1"/>
  <c r="L45" i="9" a="1"/>
  <c r="L44" i="9" a="1"/>
  <c r="K46" i="9" a="1"/>
  <c r="P4" i="13" a="1"/>
  <c r="F42" i="9" a="1"/>
  <c r="N42" i="9" a="1"/>
  <c r="D41" i="9" a="1"/>
  <c r="O45" i="9" a="1"/>
  <c r="K44" i="9" a="1"/>
  <c r="J43" i="9" a="1"/>
  <c r="P48" i="13" a="1"/>
  <c r="M43" i="9" a="1"/>
  <c r="E52" i="6" a="1"/>
  <c r="E47" i="9" a="1"/>
  <c r="O42" i="9" a="1"/>
  <c r="L46" i="9" a="1"/>
  <c r="F40" i="9" a="1"/>
  <c r="F47" i="9" a="1"/>
  <c r="J47" i="9" a="1"/>
  <c r="D45" i="9" a="1"/>
  <c r="P7" i="13" a="1"/>
  <c r="Q53" i="13" a="1"/>
  <c r="G45" i="9" a="1"/>
  <c r="H45" i="9" a="1"/>
  <c r="I45" i="9" a="1"/>
  <c r="E41" i="9" a="1"/>
  <c r="L41" i="9" a="1"/>
  <c r="T59" i="7" a="1"/>
  <c r="I41" i="9" a="1"/>
  <c r="I46" i="9" a="1"/>
  <c r="I40" i="9" a="1"/>
  <c r="K40" i="9" a="1"/>
  <c r="G41" i="9" a="1"/>
  <c r="F44" i="9" a="1"/>
  <c r="N46" i="9" a="1"/>
  <c r="M27" i="12" l="1"/>
  <c r="M9" i="12"/>
  <c r="M8" i="12"/>
  <c r="H42" i="9"/>
  <c r="M42" i="9"/>
  <c r="F42" i="9"/>
  <c r="L41" i="9"/>
  <c r="O41" i="9"/>
  <c r="D45" i="9"/>
  <c r="E40" i="9"/>
  <c r="F40" i="9"/>
  <c r="G40" i="9"/>
  <c r="G47" i="9"/>
  <c r="H41" i="9"/>
  <c r="J40" i="9"/>
  <c r="J46" i="9"/>
  <c r="K45" i="9"/>
  <c r="M40" i="9"/>
  <c r="M45" i="9"/>
  <c r="N41" i="9"/>
  <c r="D42" i="9"/>
  <c r="L46" i="9"/>
  <c r="H46" i="9"/>
  <c r="D47" i="9"/>
  <c r="H40" i="9"/>
  <c r="G43" i="9"/>
  <c r="I44" i="9"/>
  <c r="K40" i="9"/>
  <c r="J41" i="9"/>
  <c r="L45" i="9"/>
  <c r="N40" i="9"/>
  <c r="M41" i="9"/>
  <c r="O45" i="9"/>
  <c r="G45" i="9"/>
  <c r="N46" i="9"/>
  <c r="G41" i="9"/>
  <c r="M46" i="9"/>
  <c r="F41" i="9"/>
  <c r="D41" i="9"/>
  <c r="E43" i="9"/>
  <c r="F44" i="9"/>
  <c r="I40" i="9"/>
  <c r="H45" i="9"/>
  <c r="I45" i="9"/>
  <c r="L40" i="9"/>
  <c r="K47" i="9"/>
  <c r="L44" i="9"/>
  <c r="O40" i="9"/>
  <c r="N43" i="9"/>
  <c r="O44" i="9"/>
  <c r="I46" i="9"/>
  <c r="O42" i="9"/>
  <c r="I41" i="9"/>
  <c r="N45" i="9"/>
  <c r="E44" i="9"/>
  <c r="D44" i="9"/>
  <c r="E47" i="9"/>
  <c r="F47" i="9"/>
  <c r="G42" i="9"/>
  <c r="H44" i="9"/>
  <c r="I43" i="9"/>
  <c r="J45" i="9"/>
  <c r="K41" i="9"/>
  <c r="L43" i="9"/>
  <c r="M47" i="9"/>
  <c r="N47" i="9"/>
  <c r="O43" i="9"/>
  <c r="E45" i="9"/>
  <c r="J47" i="9"/>
  <c r="E41" i="9"/>
  <c r="J42" i="9"/>
  <c r="D43" i="9"/>
  <c r="E42" i="9"/>
  <c r="F43" i="9"/>
  <c r="G44" i="9"/>
  <c r="H43" i="9"/>
  <c r="I47" i="9"/>
  <c r="J44" i="9"/>
  <c r="K44" i="9"/>
  <c r="L42" i="9"/>
  <c r="M43" i="9"/>
  <c r="N42" i="9"/>
  <c r="O47" i="9"/>
  <c r="F46" i="9"/>
  <c r="K42" i="9"/>
  <c r="D40" i="9"/>
  <c r="K46" i="9"/>
  <c r="D46" i="9"/>
  <c r="E46" i="9"/>
  <c r="F45" i="9"/>
  <c r="G46" i="9"/>
  <c r="H47" i="9"/>
  <c r="I42" i="9"/>
  <c r="J43" i="9"/>
  <c r="K43" i="9"/>
  <c r="L47" i="9"/>
  <c r="M44" i="9"/>
  <c r="N44" i="9"/>
  <c r="O46" i="9"/>
  <c r="T53" i="13"/>
  <c r="T54" i="13" s="1"/>
  <c r="S53" i="13"/>
  <c r="S54" i="13" s="1"/>
  <c r="R53" i="13"/>
  <c r="R54" i="13" s="1"/>
  <c r="Q53" i="13"/>
  <c r="Q54" i="13" s="1"/>
  <c r="P53" i="13"/>
  <c r="T59" i="7"/>
  <c r="T60" i="7" s="1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" i="13"/>
  <c r="P47" i="13"/>
  <c r="P46" i="13"/>
  <c r="P3" i="13"/>
  <c r="P48" i="13"/>
  <c r="P7" i="13"/>
  <c r="N10" i="12"/>
  <c r="M16" i="12"/>
  <c r="M15" i="9" a="1"/>
  <c r="M13" i="9" a="1"/>
  <c r="P57" i="13" a="1"/>
  <c r="M22" i="9" a="1"/>
  <c r="P58" i="13" a="1"/>
  <c r="K5" i="9" a="1"/>
  <c r="N20" i="9" a="1"/>
  <c r="L4" i="9" a="1"/>
  <c r="P60" i="13" a="1"/>
  <c r="P17" i="13" a="1"/>
  <c r="K23" i="9" a="1"/>
  <c r="K19" i="9" a="1"/>
  <c r="K9" i="9" a="1"/>
  <c r="N22" i="9" a="1"/>
  <c r="N5" i="9" a="1"/>
  <c r="N8" i="9" a="1"/>
  <c r="M14" i="9" a="1"/>
  <c r="K15" i="9" a="1"/>
  <c r="L19" i="9" a="1"/>
  <c r="N7" i="9" a="1"/>
  <c r="P18" i="13" a="1"/>
  <c r="L7" i="9" a="1"/>
  <c r="M23" i="9" a="1"/>
  <c r="N21" i="9" a="1"/>
  <c r="M4" i="9" a="1"/>
  <c r="M5" i="9" a="1"/>
  <c r="K12" i="9" a="1"/>
  <c r="P6" i="13" a="1"/>
  <c r="M7" i="9" a="1"/>
  <c r="M21" i="9" a="1"/>
  <c r="K21" i="9" a="1"/>
  <c r="N13" i="9" a="1"/>
  <c r="M12" i="9" a="1"/>
  <c r="N10" i="9" a="1"/>
  <c r="M11" i="9" a="1"/>
  <c r="P61" i="13" a="1"/>
  <c r="K10" i="9" a="1"/>
  <c r="N19" i="9" a="1"/>
  <c r="K22" i="9" a="1"/>
  <c r="M6" i="9" a="1"/>
  <c r="K20" i="9" a="1"/>
  <c r="P59" i="7" a="1"/>
  <c r="M8" i="9" a="1"/>
  <c r="N23" i="9" a="1"/>
  <c r="L5" i="9" a="1"/>
  <c r="P44" i="13" a="1"/>
  <c r="L6" i="9" a="1"/>
  <c r="M19" i="9" a="1"/>
  <c r="M20" i="9" a="1"/>
  <c r="N11" i="9" a="1"/>
  <c r="K8" i="9" a="1"/>
  <c r="P5" i="13" a="1"/>
  <c r="M10" i="9" a="1"/>
  <c r="N15" i="9" a="1"/>
  <c r="K13" i="9" a="1"/>
  <c r="N9" i="9" a="1"/>
  <c r="K14" i="9" a="1"/>
  <c r="L21" i="9" a="1"/>
  <c r="K7" i="9" a="1"/>
  <c r="L23" i="9" a="1"/>
  <c r="K11" i="9" a="1"/>
  <c r="N4" i="9" a="1"/>
  <c r="P20" i="13" a="1"/>
  <c r="L20" i="9" a="1"/>
  <c r="P59" i="13" a="1"/>
  <c r="M9" i="9" a="1"/>
  <c r="N14" i="9" a="1"/>
  <c r="P19" i="13" a="1"/>
  <c r="K6" i="9" a="1"/>
  <c r="N12" i="9" a="1"/>
  <c r="N6" i="9" a="1"/>
  <c r="P62" i="13" a="1"/>
  <c r="L22" i="9" a="1"/>
  <c r="K4" i="9" a="1"/>
  <c r="P6" i="13" l="1"/>
  <c r="P5" i="13"/>
  <c r="L5" i="9"/>
  <c r="L6" i="9"/>
  <c r="L4" i="9"/>
  <c r="L7" i="9"/>
  <c r="N20" i="9"/>
  <c r="N21" i="9"/>
  <c r="N23" i="9"/>
  <c r="N22" i="9"/>
  <c r="M21" i="9"/>
  <c r="M22" i="9"/>
  <c r="M20" i="9"/>
  <c r="M23" i="9"/>
  <c r="L20" i="9"/>
  <c r="L21" i="9"/>
  <c r="L22" i="9"/>
  <c r="L23" i="9"/>
  <c r="K20" i="9"/>
  <c r="K21" i="9"/>
  <c r="K22" i="9"/>
  <c r="K23" i="9"/>
  <c r="N19" i="9"/>
  <c r="M19" i="9"/>
  <c r="L19" i="9"/>
  <c r="K19" i="9"/>
  <c r="N5" i="9"/>
  <c r="N6" i="9"/>
  <c r="N10" i="9"/>
  <c r="N14" i="9"/>
  <c r="N11" i="9"/>
  <c r="N15" i="9"/>
  <c r="N7" i="9"/>
  <c r="N13" i="9"/>
  <c r="N8" i="9"/>
  <c r="N12" i="9"/>
  <c r="N9" i="9"/>
  <c r="M7" i="9"/>
  <c r="M11" i="9"/>
  <c r="M15" i="9"/>
  <c r="M6" i="9"/>
  <c r="M12" i="9"/>
  <c r="M5" i="9"/>
  <c r="M13" i="9"/>
  <c r="M10" i="9"/>
  <c r="M8" i="9"/>
  <c r="M9" i="9"/>
  <c r="M14" i="9"/>
  <c r="K10" i="9"/>
  <c r="K14" i="9"/>
  <c r="K7" i="9"/>
  <c r="K15" i="9"/>
  <c r="K6" i="9"/>
  <c r="K11" i="9"/>
  <c r="K8" i="9"/>
  <c r="K12" i="9"/>
  <c r="K5" i="9"/>
  <c r="K9" i="9"/>
  <c r="K13" i="9"/>
  <c r="N4" i="9"/>
  <c r="M4" i="9"/>
  <c r="K4" i="9"/>
  <c r="J49" i="9"/>
  <c r="F49" i="9"/>
  <c r="D49" i="9"/>
  <c r="E49" i="9"/>
  <c r="H49" i="9"/>
  <c r="L49" i="9"/>
  <c r="O49" i="9"/>
  <c r="N49" i="9"/>
  <c r="I49" i="9"/>
  <c r="M49" i="9"/>
  <c r="G49" i="9"/>
  <c r="K49" i="9"/>
  <c r="P58" i="13"/>
  <c r="N16" i="12"/>
  <c r="C42" i="9"/>
  <c r="C41" i="9"/>
  <c r="C47" i="9"/>
  <c r="C45" i="9"/>
  <c r="C44" i="9"/>
  <c r="C43" i="9"/>
  <c r="E24" i="9" s="1"/>
  <c r="G24" i="9" s="1"/>
  <c r="C40" i="9"/>
  <c r="C46" i="9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N26" i="9"/>
  <c r="M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4" i="9"/>
  <c r="E5" i="9"/>
  <c r="G5" i="9" s="1"/>
  <c r="E6" i="9"/>
  <c r="G6" i="9" s="1"/>
  <c r="E25" i="9"/>
  <c r="G25" i="9" s="1"/>
  <c r="P16" i="13"/>
  <c r="G4" i="9" l="1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0" i="7" a="1"/>
  <c r="P9" i="7" a="1"/>
  <c r="P12" i="7" a="1"/>
  <c r="P5" i="7" a="1"/>
  <c r="P13" i="7" a="1"/>
  <c r="P4" i="7" a="1"/>
  <c r="P8" i="7" a="1"/>
  <c r="P14" i="7" a="1"/>
  <c r="P55" i="7" a="1"/>
  <c r="P11" i="7" a="1"/>
  <c r="P7" i="7"/>
  <c r="P6" i="7" a="1"/>
  <c r="P55" i="7" l="1"/>
  <c r="L11" i="6"/>
  <c r="N11" i="6" s="1"/>
  <c r="N45" i="6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L15" i="9" a="1"/>
  <c r="P3" i="7" a="1"/>
  <c r="P27" i="7" a="1"/>
  <c r="P54" i="7" a="1"/>
  <c r="P45" i="7" a="1"/>
  <c r="L12" i="9" a="1"/>
  <c r="P51" i="7" a="1"/>
  <c r="P46" i="7" a="1"/>
  <c r="P50" i="7" a="1"/>
  <c r="L8" i="9" a="1"/>
  <c r="P49" i="7" a="1"/>
  <c r="L14" i="9" a="1"/>
  <c r="P52" i="7" a="1"/>
  <c r="L11" i="9" a="1"/>
  <c r="P48" i="7" a="1"/>
  <c r="P47" i="7" a="1"/>
  <c r="L13" i="9" a="1"/>
  <c r="P53" i="7" a="1"/>
  <c r="L9" i="9" a="1"/>
  <c r="P44" i="7" a="1"/>
  <c r="L10" i="9" a="1"/>
  <c r="L10" i="9" l="1"/>
  <c r="E10" i="9" s="1"/>
  <c r="G10" i="9" s="1"/>
  <c r="L14" i="9"/>
  <c r="E14" i="9" s="1"/>
  <c r="G14" i="9" s="1"/>
  <c r="L13" i="9"/>
  <c r="E13" i="9" s="1"/>
  <c r="G13" i="9" s="1"/>
  <c r="L9" i="9"/>
  <c r="E9" i="9" s="1"/>
  <c r="G9" i="9" s="1"/>
  <c r="L11" i="9"/>
  <c r="E11" i="9" s="1"/>
  <c r="G11" i="9" s="1"/>
  <c r="L12" i="9"/>
  <c r="E12" i="9" s="1"/>
  <c r="G12" i="9" s="1"/>
  <c r="L15" i="9"/>
  <c r="E15" i="9" s="1"/>
  <c r="G15" i="9" s="1"/>
  <c r="L8" i="9"/>
  <c r="P50" i="7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20" i="7" a="1"/>
  <c r="P23" i="7" a="1"/>
  <c r="P25" i="7" a="1"/>
  <c r="P18" i="7" a="1"/>
  <c r="P21" i="7" a="1"/>
  <c r="P16" i="7" a="1"/>
  <c r="P26" i="7" a="1"/>
  <c r="P22" i="7" a="1"/>
  <c r="P24" i="7" a="1"/>
  <c r="P19" i="7" a="1"/>
  <c r="P17" i="7" a="1"/>
  <c r="E8" i="9" l="1"/>
  <c r="L26" i="9"/>
  <c r="P25" i="7"/>
  <c r="P20" i="7"/>
  <c r="P21" i="7"/>
  <c r="P19" i="7"/>
  <c r="P24" i="7"/>
  <c r="P22" i="7"/>
  <c r="P23" i="7"/>
  <c r="P26" i="7"/>
  <c r="P18" i="7"/>
  <c r="P17" i="7"/>
  <c r="P56" i="7"/>
  <c r="P16" i="7"/>
  <c r="G8" i="9" l="1"/>
  <c r="G26" i="9" s="1"/>
  <c r="E2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<sst xmlns="http://schemas.openxmlformats.org/spreadsheetml/2006/main" count="1107" uniqueCount="545">
  <si>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</si>
  <si>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</si>
  <si>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</si>
  <si>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</si>
  <si>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</si>
  <si>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</si>
  <si>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</si>
  <si>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</si>
  <si>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</si>
  <si>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</si>
  <si>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</si>
  <si>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</si>
  <si>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</si>
  <si>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</si>
  <si>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</si>
  <si>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</si>
  <si>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</si>
  <si>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</si>
  <si>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</si>
  <si>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</si>
  <si>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</si>
  <si>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</si>
  <si>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</si>
  <si>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</si>
  <si>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</si>
  <si>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</si>
  <si>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</si>
  <si>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</si>
  <si>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</si>
  <si>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</si>
  <si>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</si>
  <si>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</si>
  <si>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</si>
  <si>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</si>
  <si>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</si>
  <si>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</si>
  <si>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</si>
  <si>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</si>
  <si>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</si>
  <si>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</si>
  <si>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</si>
  <si>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</si>
  <si>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</si>
  <si>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</si>
  <si>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</si>
  <si>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</si>
  <si>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</si>
  <si>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</si>
  <si>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</si>
  <si>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</si>
  <si>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</si>
  <si>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</si>
  <si>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</si>
  <si>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</si>
  <si>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</si>
  <si>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</si>
  <si>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</si>
  <si>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</si>
  <si>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</si>
  <si>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</si>
  <si>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</si>
  <si>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</si>
  <si>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</si>
  <si>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</si>
  <si>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</si>
  <si>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</si>
  <si>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</si>
  <si>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</si>
  <si>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</si>
  <si>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</si>
  <si>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</si>
  <si>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</si>
  <si>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</si>
  <si>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</si>
  <si>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</si>
  <si>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</si>
  <si>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</si>
  <si>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</si>
  <si>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</si>
  <si>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</si>
  <si>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</si>
  <si>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</si>
  <si>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</si>
  <si>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</si>
  <si>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</si>
  <si>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</si>
  <si>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</si>
  <si>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</si>
  <si>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</si>
  <si>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</si>
  <si>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</si>
  <si>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</si>
  <si>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</si>
  <si>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</si>
  <si>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</si>
  <si>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</si>
  <si>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</si>
  <si>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</si>
  <si>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</si>
  <si>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</si>
  <si>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</si>
  <si>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</si>
  <si>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</si>
  <si>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</si>
  <si>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</si>
  <si>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</si>
  <si>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</si>
  <si>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</si>
  <si>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</si>
  <si>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</si>
  <si>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</si>
  <si>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</si>
  <si>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</si>
  <si>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</si>
  <si>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</si>
  <si>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</si>
  <si>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</si>
  <si>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</si>
  <si>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</si>
  <si>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</si>
  <si>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</si>
  <si>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</si>
  <si>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</si>
  <si>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</si>
  <si>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</si>
  <si>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</si>
  <si>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</si>
  <si>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</si>
  <si>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</si>
  <si>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</si>
  <si>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</si>
  <si>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</si>
  <si>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slot总体占比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</si>
  <si>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</si>
  <si>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</si>
  <si>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</si>
  <si>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</si>
  <si>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</si>
  <si>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</si>
  <si>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</si>
  <si>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</si>
  <si>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</si>
  <si>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</si>
  <si>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</si>
  <si>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</si>
  <si>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</si>
  <si>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</si>
  <si>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</si>
  <si>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</si>
  <si>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</si>
  <si>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</si>
  <si>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</si>
  <si>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</si>
  <si>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</si>
  <si>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</si>
  <si>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</si>
  <si>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</si>
  <si>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</si>
  <si>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</si>
  <si>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</si>
  <si>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</si>
  <si>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</si>
  <si>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</si>
  <si>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</si>
  <si>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</si>
  <si>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</si>
  <si>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</si>
  <si>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</si>
  <si>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</si>
  <si>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</si>
  <si>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</si>
  <si>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</si>
  <si>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</si>
  <si>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</si>
  <si>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</si>
  <si>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</si>
  <si>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</si>
  <si>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</si>
  <si>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</si>
  <si>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</si>
  <si>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</si>
  <si>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</si>
  <si>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</si>
  <si>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</si>
  <si>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</si>
  <si>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</si>
  <si>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</si>
  <si>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</si>
  <si>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</si>
  <si>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</si>
  <si>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</si>
  <si>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</si>
  <si>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</si>
  <si>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</si>
  <si>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</si>
  <si>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</si>
  <si>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</si>
  <si>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</si>
  <si>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</si>
  <si>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</si>
  <si>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</si>
  <si>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</si>
  <si>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</si>
  <si>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</si>
  <si>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</si>
  <si>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</si>
  <si>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</si>
  <si>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</si>
  <si>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</si>
  <si>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</si>
  <si>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</si>
  <si>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</si>
  <si>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</si>
  <si>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</si>
  <si>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</si>
  <si>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</si>
  <si>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</si>
  <si>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</si>
  <si>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</si>
  <si>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</si>
  <si>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</si>
  <si>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</si>
  <si>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</si>
  <si>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</si>
  <si>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</si>
  <si>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</si>
  <si>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</si>
  <si>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mem总体占比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</si>
  <si>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</si>
  <si>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</si>
  <si>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</si>
  <si>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</si>
  <si>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</si>
  <si>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</si>
  <si>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</si>
  <si>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</si>
  <si>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</si>
  <si>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</si>
  <si>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</si>
  <si>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</si>
  <si>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</si>
  <si>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</si>
  <si>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</si>
  <si>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</si>
  <si>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</si>
  <si>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</si>
  <si>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</si>
  <si>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</si>
  <si>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</si>
  <si>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</si>
  <si>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</si>
  <si>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</si>
  <si>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</si>
  <si>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</si>
  <si>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</si>
  <si>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</si>
  <si>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</si>
  <si>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</si>
  <si>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</si>
  <si>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</si>
  <si>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</si>
  <si>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</si>
  <si>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</si>
  <si>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</si>
  <si>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</si>
  <si>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</si>
  <si>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</si>
  <si>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</si>
  <si>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</si>
  <si>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</si>
  <si>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云机器（申请百分比）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</si>
  <si>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</si>
  <si>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</si>
  <si>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</si>
  <si>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</si>
  <si>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</si>
  <si>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</si>
  <si>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</si>
  <si>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</si>
  <si>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</si>
  <si>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</si>
  <si>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</si>
  <si>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</si>
  <si>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</si>
  <si>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</si>
  <si>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</si>
  <si>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</si>
  <si>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</si>
  <si>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</si>
  <si>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</si>
  <si>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</si>
  <si>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</si>
  <si>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</si>
  <si>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</si>
  <si>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</si>
  <si>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</si>
  <si>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</si>
  <si>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</si>
  <si>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</si>
  <si>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</si>
  <si>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</si>
  <si>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</si>
  <si>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</si>
  <si>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</si>
  <si>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</si>
  <si>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</si>
  <si>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</si>
  <si>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</si>
  <si>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</si>
  <si>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</si>
  <si>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</si>
  <si>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本地机器（申请百分比）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</si>
  <si>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</si>
  <si>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</si>
  <si>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</si>
  <si>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</si>
  <si>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</si>
  <si>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</si>
  <si>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</si>
  <si>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</si>
  <si>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</si>
  <si>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</si>
  <si>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</si>
  <si>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</si>
  <si>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</si>
  <si>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</si>
  <si>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</si>
  <si>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</si>
  <si>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</si>
  <si>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</si>
  <si>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</si>
  <si>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</si>
  <si>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</si>
  <si>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</si>
  <si>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</si>
  <si>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</si>
  <si>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</si>
  <si>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</si>
  <si>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</si>
  <si>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</si>
  <si>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</si>
  <si>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</si>
  <si>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</si>
  <si>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</si>
  <si>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</si>
  <si>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</si>
  <si>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</si>
  <si>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</si>
  <si>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</si>
  <si>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</si>
  <si>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</si>
  <si>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</si>
  <si>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</si>
  <si>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</si>
  <si>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</si>
  <si>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</si>
  <si>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</si>
  <si>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</si>
  <si>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</si>
  <si>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</si>
  <si>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</si>
  <si>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</si>
  <si>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</si>
  <si>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</si>
  <si>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</si>
  <si>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</si>
  <si>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</si>
  <si>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</si>
  <si>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</si>
  <si>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</si>
  <si>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</si>
  <si>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</si>
  <si>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</si>
  <si>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</si>
  <si>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</si>
  <si>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</si>
  <si>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</si>
  <si>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</si>
  <si>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</si>
  <si>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</si>
  <si>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</si>
  <si>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</si>
  <si>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</si>
  <si>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</si>
  <si>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</si>
  <si>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</si>
  <si>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</si>
  <si>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</si>
  <si>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</si>
  <si>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</si>
  <si>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</si>
  <si>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</si>
  <si>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</si>
  <si>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</si>
  <si>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</si>
  <si>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</si>
  <si>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</si>
  <si>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</si>
  <si>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</si>
  <si>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</si>
  <si>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</si>
  <si>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</si>
  <si>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</si>
  <si>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</si>
  <si>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</si>
  <si>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</si>
  <si>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</si>
  <si>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</si>
  <si>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</si>
  <si>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</si>
  <si>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</si>
  <si>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</si>
  <si>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</si>
  <si>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</si>
  <si>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</si>
  <si>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</si>
  <si>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</si>
  <si>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</si>
  <si>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</si>
  <si>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</si>
  <si>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</si>
  <si>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</si>
  <si>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</si>
  <si>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</si>
  <si>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</si>
  <si>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</si>
  <si>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</si>
  <si>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</si>
  <si>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</si>
  <si>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</si>
  <si>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</si>
  <si>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</si>
  <si>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</si>
  <si>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</si>
  <si>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</si>
  <si>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</si>
  <si>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</si>
  <si>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</si>
  <si>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</si>
  <si>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</si>
  <si>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</si>
  <si>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</si>
  <si>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</si>
  <si>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</si>
  <si>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</si>
  <si>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</si>
  <si>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</si>
  <si>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</si>
  <si>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</si>
  <si>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</si>
  <si>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</si>
  <si>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</si>
  <si>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</si>
  <si>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</si>
  <si>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</si>
  <si>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</si>
  <si>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</si>
  <si>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</si>
  <si>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</si>
  <si>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</si>
  <si>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</si>
  <si>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</si>
  <si>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</si>
  <si>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</si>
  <si>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</si>
  <si>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</si>
  <si>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</si>
  <si>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</si>
  <si>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</si>
  <si>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</si>
  <si>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</si>
  <si>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</si>
  <si>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</si>
  <si>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</si>
  <si>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</si>
  <si>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</si>
  <si>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</si>
  <si>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</si>
  <si>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</si>
  <si>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</si>
  <si>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</si>
  <si>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</si>
  <si>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</si>
  <si>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</si>
  <si>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</si>
  <si>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</si>
  <si>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</si>
  <si>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</si>
  <si>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</si>
  <si>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</si>
  <si>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</si>
  <si>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</si>
  <si>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</si>
  <si>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</si>
  <si>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</si>
  <si>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</si>
  <si>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</si>
  <si>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</si>
  <si>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</si>
  <si>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</si>
  <si>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</si>
  <si>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</si>
  <si>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</si>
  <si>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</si>
  <si>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</si>
  <si>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</si>
  <si>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</si>
  <si>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</si>
  <si>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</si>
  <si>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</si>
  <si>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</si>
  <si>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</si>
  <si>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</si>
  <si>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</si>
  <si>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</si>
  <si>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</si>
  <si>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</si>
  <si>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</si>
  <si>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</si>
  <si>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</si>
  <si>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</si>
  <si>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</si>
  <si>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</si>
  <si>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</si>
  <si>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</si>
  <si>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</si>
  <si>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</si>
  <si>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</si>
  <si>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</si>
  <si>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</si>
  <si>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</si>
  <si>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</si>
  <si>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</si>
  <si>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</si>
  <si>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</si>
  <si>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</si>
  <si>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</si>
  <si>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</si>
  <si>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</si>
  <si>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</si>
  <si>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张鑫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</si>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</sst>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6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2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178" fontId="0" fillId="5" borderId="3" xfId="0" applyNumberFormat="1" applyFill="1" applyBorder="1"/>
    <xf numFmtId="0" fontId="0" fillId="5" borderId="3" xfId="0" applyFill="1" applyBorder="1"/>
    <xf numFmtId="0" fontId="0" fillId="5" borderId="28" xfId="0" applyFill="1" applyBorder="1"/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76" fontId="0" fillId="24" borderId="1" xfId="0" applyNumberFormat="1" applyFill="1" applyBorder="1" applyAlignment="1">
      <alignment horizontal="left" vertical="center" wrapText="1"/>
    </xf>
    <xf numFmtId="176" fontId="8" fillId="24" borderId="1" xfId="0" applyNumberFormat="1" applyFont="1" applyFill="1" applyBorder="1" applyAlignment="1">
      <alignment horizontal="left" vertical="center" wrapText="1"/>
    </xf>
    <xf numFmtId="10" fontId="0" fillId="24" borderId="1" xfId="0" applyNumberFormat="1" applyFill="1" applyBorder="1" applyAlignment="1">
      <alignment horizontal="left" vertical="center" wrapText="1"/>
    </xf>
    <xf numFmtId="0" fontId="0" fillId="24" borderId="1" xfId="0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13" borderId="1" xfId="3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10" fontId="0" fillId="5" borderId="1" xfId="0" applyNumberFormat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horizontal="left" vertical="center" wrapText="1"/>
    </xf>
  </cellXfs>
  <cellStyles count="29">
    <cellStyle name="20% - 着色 4" xfId="1" builtinId="42"/>
    <cellStyle name="20% - 着色 4 2" xfId="5" xr:uid="{00000000-0005-0000-0000-000001000000}"/>
    <cellStyle name="20% - 着色 4 2 2" xfId="9" xr:uid="{00000000-0005-0000-0000-000002000000}"/>
    <cellStyle name="20% - 着色 4 2 2 2" xfId="21" xr:uid="{DCF1F828-C7B8-4832-8559-3AFF5830A619}"/>
    <cellStyle name="20% - 着色 4 2 3" xfId="28" xr:uid="{9DAD2977-26B1-4E41-A649-AD06D7D54994}"/>
    <cellStyle name="20% - 着色 4 2 4" xfId="17" xr:uid="{F1BE9097-BE03-48C6-A399-39CE015795A2}"/>
    <cellStyle name="20% - 着色 4 3" xfId="7" xr:uid="{00000000-0005-0000-0000-000003000000}"/>
    <cellStyle name="20% - 着色 4 3 2" xfId="12" xr:uid="{00000000-0005-0000-0000-000004000000}"/>
    <cellStyle name="20% - 着色 4 3 2 2" xfId="24" xr:uid="{4E0A55A5-BECA-4C58-898A-5A96416D34FE}"/>
    <cellStyle name="20% - 着色 4 3 3" xfId="19" xr:uid="{61A23A7F-C5FB-4EFF-AE92-E8E885CC2859}"/>
    <cellStyle name="20% - 着色 4 4" xfId="15" xr:uid="{7664BE04-3C29-451A-9F79-BD88551A01BA}"/>
    <cellStyle name="40% - 着色 1" xfId="3" builtinId="31"/>
    <cellStyle name="40% - 着色 1 2" xfId="6" xr:uid="{00000000-0005-0000-0000-000006000000}"/>
    <cellStyle name="40% - 着色 1 2 2" xfId="10" xr:uid="{00000000-0005-0000-0000-000007000000}"/>
    <cellStyle name="40% - 着色 1 2 2 2" xfId="22" xr:uid="{E14CB240-6F1D-464C-BEA5-79E4513E9DD3}"/>
    <cellStyle name="40% - 着色 1 2 3" xfId="27" xr:uid="{37820E64-5F7E-47BE-970B-D9937A0BB68A}"/>
    <cellStyle name="40% - 着色 1 2 4" xfId="18" xr:uid="{1A5C77F6-CE03-4A8E-AFB6-B1079034FE0E}"/>
    <cellStyle name="40% - 着色 1 3" xfId="8" xr:uid="{00000000-0005-0000-0000-000008000000}"/>
    <cellStyle name="40% - 着色 1 3 2" xfId="20" xr:uid="{128D58AE-620B-4217-80FE-D3FC580709D0}"/>
    <cellStyle name="40% - 着色 1 4" xfId="11" xr:uid="{00000000-0005-0000-0000-000009000000}"/>
    <cellStyle name="40% - 着色 1 4 2" xfId="23" xr:uid="{F162E60C-7125-449F-A855-6D729A87BE1E}"/>
    <cellStyle name="40% - 着色 1 5" xfId="16" xr:uid="{9E8224A6-592B-4436-9565-EFBA539F9600}"/>
    <cellStyle name="常规" xfId="0" builtinId="0"/>
    <cellStyle name="常规 2" xfId="14" xr:uid="{00000000-0005-0000-0000-00000B000000}"/>
    <cellStyle name="常规 2 2" xfId="26" xr:uid="{83518CB0-31D5-40AA-AFA1-F3F53EE4500A}"/>
    <cellStyle name="常规 2 3" xfId="25" xr:uid="{6F450FF1-2850-4077-A623-6AB3B910EE81}"/>
    <cellStyle name="超链接" xfId="13" builtinId="8"/>
    <cellStyle name="好" xfId="4" builtinId="26"/>
    <cellStyle name="着色 3" xfId="2" builtinId="37"/>
  </cellStyles>
  <dxfs count="4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0.64815666084398271</c:v>
                </c:pt>
                <c:pt idx="1">
                  <c:v>3.2177990254665806E-2</c:v>
                </c:pt>
                <c:pt idx="2">
                  <c:v>2.0456008090466122E-2</c:v>
                </c:pt>
                <c:pt idx="3">
                  <c:v>4.5968557506665439E-2</c:v>
                </c:pt>
                <c:pt idx="4">
                  <c:v>2.592626643375931E-2</c:v>
                </c:pt>
                <c:pt idx="5">
                  <c:v>2.9419876804265884E-3</c:v>
                </c:pt>
                <c:pt idx="6">
                  <c:v>1.8387423002666176E-2</c:v>
                </c:pt>
                <c:pt idx="7">
                  <c:v>1.1721982164199687E-2</c:v>
                </c:pt>
                <c:pt idx="8">
                  <c:v>2.2984278753332719E-2</c:v>
                </c:pt>
                <c:pt idx="9">
                  <c:v>2.5558517973705987E-2</c:v>
                </c:pt>
                <c:pt idx="10">
                  <c:v>4.5968557506665441E-3</c:v>
                </c:pt>
                <c:pt idx="11">
                  <c:v>4.5968557506665441E-3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0.86808510638297887</c:v>
                </c:pt>
                <c:pt idx="1">
                  <c:v>0.48642857142857149</c:v>
                </c:pt>
                <c:pt idx="2">
                  <c:v>0.64950561797752815</c:v>
                </c:pt>
                <c:pt idx="3">
                  <c:v>0.81940000000000002</c:v>
                </c:pt>
                <c:pt idx="4">
                  <c:v>0.37558156028368794</c:v>
                </c:pt>
                <c:pt idx="5">
                  <c:v>0.20100000000000001</c:v>
                </c:pt>
                <c:pt idx="6">
                  <c:v>0.16625000000000001</c:v>
                </c:pt>
                <c:pt idx="7">
                  <c:v>0.40303921568627454</c:v>
                </c:pt>
                <c:pt idx="8">
                  <c:v>0.30930000000000002</c:v>
                </c:pt>
                <c:pt idx="9">
                  <c:v>0.2331007194244604</c:v>
                </c:pt>
                <c:pt idx="10">
                  <c:v>0.38</c:v>
                </c:pt>
                <c:pt idx="11">
                  <c:v>4.1000000000000009E-2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0.35555555555555557</c:v>
                </c:pt>
                <c:pt idx="1">
                  <c:v>0.88888888888888884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0.23625000000000002</c:v>
                </c:pt>
                <c:pt idx="1">
                  <c:v>0.11200000000000002</c:v>
                </c:pt>
                <c:pt idx="2">
                  <c:v>0</c:v>
                </c:pt>
                <c:pt idx="3">
                  <c:v>3.3000000000000002E-2</c:v>
                </c:pt>
                <c:pt idx="4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145" zoomScaleNormal="145" workbookViewId="0">
      <selection activeCell="C25" sqref="C25"/>
    </sheetView>
  </sheetViews>
  <sheetFormatPr defaultRowHeight="14.25" x14ac:dyDescent="0.2"/>
  <cols>
    <col min="1" max="1" width="11.25" customWidth="1"/>
    <col min="2" max="2" width="22.5" customWidth="1"/>
    <col min="3" max="3" width="15.875" customWidth="1"/>
    <col min="4" max="4" width="8.125" customWidth="1"/>
    <col min="5" max="5" width="9.75" customWidth="1"/>
    <col min="6" max="6" width="6.75" customWidth="1"/>
    <col min="7" max="7" width="9.375" customWidth="1"/>
    <col min="8" max="8" width="6.5" customWidth="1"/>
    <col min="9" max="9" width="7.125" customWidth="1"/>
    <col min="10" max="10" width="14.875" customWidth="1"/>
    <col min="11" max="11" width="9" customWidth="1"/>
    <col min="12" max="14" width="8.875" customWidth="1"/>
    <col min="15" max="15" width="8.25" customWidth="1"/>
    <col min="16" max="16" width="6.125" customWidth="1"/>
    <col min="17" max="17" width="9.5" customWidth="1"/>
  </cols>
  <sheetData>
    <row r="1" spans="1:19" x14ac:dyDescent="0.2">
      <c r="A1" s="300" t="s">
        <v>0</v>
      </c>
      <c r="B1" s="303" t="s">
        <v>534</v>
      </c>
      <c r="C1" s="303" t="s">
        <v>535</v>
      </c>
      <c r="D1" s="261" t="s">
        <v>260</v>
      </c>
      <c r="E1" s="262"/>
      <c r="F1" s="262"/>
      <c r="G1" s="263"/>
      <c r="H1" s="268" t="s">
        <v>252</v>
      </c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70"/>
    </row>
    <row r="2" spans="1:19" x14ac:dyDescent="0.2">
      <c r="A2" s="301"/>
      <c r="B2" s="304"/>
      <c r="C2" s="304"/>
      <c r="D2" s="155" t="s">
        <v>161</v>
      </c>
      <c r="E2" s="156" t="s">
        <v>266</v>
      </c>
      <c r="F2" s="157" t="s">
        <v>248</v>
      </c>
      <c r="G2" s="211" t="s">
        <v>170</v>
      </c>
      <c r="H2" s="265" t="s">
        <v>254</v>
      </c>
      <c r="I2" s="266"/>
      <c r="J2" s="264" t="s">
        <v>311</v>
      </c>
      <c r="K2" s="265"/>
      <c r="L2" s="265"/>
      <c r="M2" s="265"/>
      <c r="N2" s="266"/>
      <c r="O2" s="264" t="s">
        <v>270</v>
      </c>
      <c r="P2" s="265"/>
      <c r="Q2" s="265"/>
      <c r="R2" s="265"/>
      <c r="S2" s="267"/>
    </row>
    <row r="3" spans="1:19" x14ac:dyDescent="0.2">
      <c r="A3" s="302"/>
      <c r="B3" s="305"/>
      <c r="C3" s="305"/>
      <c r="D3" s="205" t="s">
        <v>521</v>
      </c>
      <c r="E3" s="205" t="s">
        <v>522</v>
      </c>
      <c r="F3" s="205" t="s">
        <v>531</v>
      </c>
      <c r="G3" s="212" t="s">
        <v>532</v>
      </c>
      <c r="H3" s="219" t="s">
        <v>255</v>
      </c>
      <c r="I3" s="219" t="s">
        <v>256</v>
      </c>
      <c r="J3" s="154" t="s">
        <v>275</v>
      </c>
      <c r="K3" s="219" t="s">
        <v>261</v>
      </c>
      <c r="L3" s="219" t="s">
        <v>267</v>
      </c>
      <c r="M3" s="219" t="s">
        <v>268</v>
      </c>
      <c r="N3" s="219" t="s">
        <v>269</v>
      </c>
      <c r="O3" s="219" t="s">
        <v>275</v>
      </c>
      <c r="P3" s="219" t="s">
        <v>261</v>
      </c>
      <c r="Q3" s="219" t="s">
        <v>267</v>
      </c>
      <c r="R3" s="219" t="s">
        <v>268</v>
      </c>
      <c r="S3" s="220" t="s">
        <v>269</v>
      </c>
    </row>
    <row r="4" spans="1:19" x14ac:dyDescent="0.2">
      <c r="A4" s="309" t="s">
        <v>21</v>
      </c>
      <c r="B4" s="178" t="s">
        <v>21</v>
      </c>
      <c r="C4" s="160" t="s">
        <v>85</v>
      </c>
      <c r="D4" s="229">
        <f ca="1">IF(H4="-",0,H4)*$C$30/10000</f>
        <v>3.4152999999999998</v>
      </c>
      <c r="E4" s="229">
        <f ca="1">(IF(K4="-",0,K4)*$D$40+IF(L4="-",0,L4)*$G$40+IF(M4="-",0,M4)*$J$40+IF(N4="-",0,N4)*$M$40)/($D$40+$G$40+$J$40+$M$40)*$C$40</f>
        <v>42.489629013885569</v>
      </c>
      <c r="F4" s="230" t="s">
        <v>524</v>
      </c>
      <c r="G4" s="231">
        <f ca="1">SUM(D4,E4,IF(F4="-",0,F4))</f>
        <v>45.904929013885571</v>
      </c>
      <c r="H4" s="232" cm="1">
        <f t="array" aca="1" ref="H4" ca="1">INDIRECT("磁盘统计！F3")</f>
        <v>41</v>
      </c>
      <c r="I4" s="233" cm="1">
        <f t="array" aca="1" ref="I4" ca="1">INDIRECT("磁盘统计！L3")</f>
        <v>0</v>
      </c>
      <c r="J4" s="249" t="s">
        <v>529</v>
      </c>
      <c r="K4" s="244" cm="1">
        <f t="array" aca="1" ref="K4" ca="1">INDIRECT("前端运行数据统计!T" &amp; ROW(T3))/MAX(INDIRECT("前端运行数据统计！T60"),1)</f>
        <v>0.64815666084398271</v>
      </c>
      <c r="L4" s="244" cm="1">
        <f t="array" aca="1" ref="L4" ca="1">INDIRECT("前端运行数据统计!S" &amp; ROW(S3))/MAX(INDIRECT("前端运行数据统计！S60"),1)</f>
        <v>0.62136586478166689</v>
      </c>
      <c r="M4" s="244" cm="1">
        <f t="array" aca="1" ref="M4" ca="1">INDIRECT("前端运行数据统计!R" &amp; ROW(R3))/MAX(INDIRECT("前端运行数据统计！R60"),1)</f>
        <v>0.64815666084398271</v>
      </c>
      <c r="N4" s="244" cm="1">
        <f t="array" aca="1" ref="N4" ca="1">INDIRECT("前端运行数据统计!Q" &amp; ROW(Q3))/MAX(INDIRECT("前端运行数据统计！Q60"),1)</f>
        <v>0.72553257178141406</v>
      </c>
      <c r="O4" s="161"/>
      <c r="P4" s="162"/>
      <c r="Q4" s="162"/>
      <c r="R4" s="163"/>
      <c r="S4" s="164"/>
    </row>
    <row r="5" spans="1:19" x14ac:dyDescent="0.2">
      <c r="A5" s="310"/>
      <c r="B5" s="148" t="s">
        <v>22</v>
      </c>
      <c r="C5" s="147" t="s">
        <v>103</v>
      </c>
      <c r="D5" s="229">
        <f ca="1">IF(H5="-",0,H5)*$C$30/10000</f>
        <v>0.99960000000000004</v>
      </c>
      <c r="E5" s="229">
        <f t="shared" ref="E5:E18" ca="1" si="0">(IF(K5="-",0,K5)*$D$40+IF(L5="-",0,L5)*$G$40+IF(M5="-",0,M5)*$J$40+IF(N5="-",0,N5)*$M$40)/($D$40+$G$40+$J$40+$M$40)*$C$40</f>
        <v>2.2549938931290594</v>
      </c>
      <c r="F5" s="234" t="s">
        <v>524</v>
      </c>
      <c r="G5" s="235">
        <f t="shared" ref="G5:G25" ca="1" si="1">SUM(D5,E5,F5)</f>
        <v>3.2545938931290594</v>
      </c>
      <c r="H5" s="232" cm="1">
        <f t="array" aca="1" ref="H5" ca="1">INDIRECT("磁盘统计！F7")</f>
        <v>12</v>
      </c>
      <c r="I5" s="233" cm="1">
        <f t="array" aca="1" ref="I5" ca="1">INDIRECT("磁盘统计！L7")</f>
        <v>0</v>
      </c>
      <c r="J5" s="249" t="s">
        <v>529</v>
      </c>
      <c r="K5" s="244" cm="1">
        <f t="array" aca="1" ref="K5" ca="1">INDIRECT("前端运行数据统计!T" &amp; ROW(T4))/MAX(INDIRECT("前端运行数据统计！T60"),1)</f>
        <v>3.2177990254665806E-2</v>
      </c>
      <c r="L5" s="244" cm="1">
        <f t="array" aca="1" ref="L5" ca="1">INDIRECT("前端运行数据统计!S" &amp; ROW(S4))/MAX(INDIRECT("前端运行数据统计！S60"),1)</f>
        <v>3.9904229848363927E-2</v>
      </c>
      <c r="M5" s="244" cm="1">
        <f t="array" aca="1" ref="M5" ca="1">INDIRECT("前端运行数据统计!R" &amp; ROW(R4))/MAX(INDIRECT("前端运行数据统计！R60"),1)</f>
        <v>3.2177990254665806E-2</v>
      </c>
      <c r="N5" s="244" cm="1">
        <f t="array" aca="1" ref="N5" ca="1">INDIRECT("前端运行数据统计!Q" &amp; ROW(Q4))/MAX(INDIRECT("前端运行数据统计！Q60"),1)</f>
        <v>3.6019347535247506E-2</v>
      </c>
      <c r="O5" s="143"/>
      <c r="P5" s="143"/>
      <c r="Q5" s="143"/>
      <c r="R5" s="18"/>
      <c r="S5" s="144"/>
    </row>
    <row r="6" spans="1:19" x14ac:dyDescent="0.2">
      <c r="A6" s="179" t="s">
        <v>159</v>
      </c>
      <c r="B6" s="180" t="s">
        <v>159</v>
      </c>
      <c r="C6" s="149" t="s">
        <v>45</v>
      </c>
      <c r="D6" s="229">
        <f t="shared" ref="D6:D25" ca="1" si="2">IF(H6="-",0,H6)*$C$30/10000</f>
        <v>2.4157000000000002</v>
      </c>
      <c r="E6" s="229">
        <f t="shared" ca="1" si="0"/>
        <v>1.1438226251230261</v>
      </c>
      <c r="F6" s="234" t="s">
        <v>524</v>
      </c>
      <c r="G6" s="235">
        <f t="shared" ca="1" si="1"/>
        <v>3.5595226251230265</v>
      </c>
      <c r="H6" s="232" cm="1">
        <f t="array" aca="1" ref="H6" ca="1">INDIRECT("磁盘统计！F9")</f>
        <v>29</v>
      </c>
      <c r="I6" s="233" cm="1">
        <f t="array" aca="1" ref="I6" ca="1">INDIRECT("磁盘统计！L9")</f>
        <v>0</v>
      </c>
      <c r="J6" s="249" t="s">
        <v>529</v>
      </c>
      <c r="K6" s="244" cm="1">
        <f t="array" aca="1" ref="K6" ca="1">INDIRECT("前端运行数据统计!T" &amp; ROW(T5))/MAX(INDIRECT("前端运行数据统计！T60"),1)</f>
        <v>2.0456008090466122E-2</v>
      </c>
      <c r="L6" s="244" cm="1">
        <f t="array" aca="1" ref="L6" ca="1">INDIRECT("前端运行数据统计!S" &amp; ROW(S5))/MAX(INDIRECT("前端运行数据统计！S60"),1)</f>
        <v>1.9952114924181964E-2</v>
      </c>
      <c r="M6" s="244" cm="1">
        <f t="array" aca="1" ref="M6" ca="1">INDIRECT("前端运行数据统计!R" &amp; ROW(R5))/MAX(INDIRECT("前端运行数据统计！R60"),1)</f>
        <v>2.0456008090466122E-2</v>
      </c>
      <c r="N6" s="244" cm="1">
        <f t="array" aca="1" ref="N6" ca="1">INDIRECT("前端运行数据统计!Q" &amp; ROW(Q5))/MAX(INDIRECT("前端运行数据统计！Q60"),1)</f>
        <v>1.0291242152927859E-2</v>
      </c>
      <c r="O6" s="143"/>
      <c r="P6" s="143"/>
      <c r="Q6" s="143"/>
      <c r="R6" s="18"/>
      <c r="S6" s="144"/>
    </row>
    <row r="7" spans="1:19" x14ac:dyDescent="0.2">
      <c r="A7" s="311" t="s">
        <v>17</v>
      </c>
      <c r="B7" s="180" t="s">
        <v>6</v>
      </c>
      <c r="C7" s="147" t="s">
        <v>133</v>
      </c>
      <c r="D7" s="229">
        <f t="shared" ca="1" si="2"/>
        <v>4.3315999999999999</v>
      </c>
      <c r="E7" s="229">
        <f t="shared" ca="1" si="0"/>
        <v>3.3957729196760211</v>
      </c>
      <c r="F7" s="234" t="s">
        <v>524</v>
      </c>
      <c r="G7" s="235">
        <f t="shared" ca="1" si="1"/>
        <v>7.7273729196760215</v>
      </c>
      <c r="H7" s="232" cm="1">
        <f t="array" aca="1" ref="H7" ca="1">INDIRECT("磁盘统计！F15")</f>
        <v>52</v>
      </c>
      <c r="I7" s="233" cm="1">
        <f t="array" aca="1" ref="I7" ca="1">INDIRECT("磁盘统计！L15")</f>
        <v>8.1999999999999993</v>
      </c>
      <c r="J7" s="249" t="s">
        <v>529</v>
      </c>
      <c r="K7" s="244" cm="1">
        <f t="array" aca="1" ref="K7" ca="1">INDIRECT("前端运行数据统计!T" &amp; ROW(T6))/MAX(INDIRECT("前端运行数据统计！T60"),1)</f>
        <v>4.5968557506665439E-2</v>
      </c>
      <c r="L7" s="244" cm="1">
        <f t="array" aca="1" ref="L7" ca="1">INDIRECT("前端运行数据统计!S" &amp; ROW(S6))/MAX(INDIRECT("前端运行数据统计！S60"),1)</f>
        <v>6.2706646904571881E-2</v>
      </c>
      <c r="M7" s="244" cm="1">
        <f t="array" aca="1" ref="M7" ca="1">INDIRECT("前端运行数据统计!R" &amp; ROW(R6))/MAX(INDIRECT("前端运行数据统计！R60"),1)</f>
        <v>4.5968557506665439E-2</v>
      </c>
      <c r="N7" s="244" cm="1">
        <f t="array" aca="1" ref="N7" ca="1">INDIRECT("前端运行数据统计!Q" &amp; ROW(Q6))/MAX(INDIRECT("前端运行数据统计！Q60"),1)</f>
        <v>5.660183184110322E-2</v>
      </c>
      <c r="O7" s="143"/>
      <c r="P7" s="143"/>
      <c r="Q7" s="143"/>
      <c r="R7" s="18"/>
      <c r="S7" s="144"/>
    </row>
    <row r="8" spans="1:19" x14ac:dyDescent="0.2">
      <c r="A8" s="309"/>
      <c r="B8" s="180" t="s">
        <v>23</v>
      </c>
      <c r="C8" s="147" t="s">
        <v>80</v>
      </c>
      <c r="D8" s="229">
        <f t="shared" ca="1" si="2"/>
        <v>0.87465000000000004</v>
      </c>
      <c r="E8" s="229">
        <f t="shared" ca="1" si="0"/>
        <v>1.8168807938925564</v>
      </c>
      <c r="F8" s="234" t="s">
        <v>524</v>
      </c>
      <c r="G8" s="235">
        <f t="shared" ca="1" si="1"/>
        <v>2.6915307938925563</v>
      </c>
      <c r="H8" s="232" cm="1">
        <f t="array" aca="1" ref="H8" ca="1">INDIRECT("磁盘统计！F22")</f>
        <v>10.5</v>
      </c>
      <c r="I8" s="233" cm="1">
        <f t="array" aca="1" ref="I8" ca="1">INDIRECT("磁盘统计！L22")</f>
        <v>0</v>
      </c>
      <c r="J8" s="249" t="s">
        <v>529</v>
      </c>
      <c r="K8" s="244" cm="1">
        <f t="array" aca="1" ref="K8" ca="1">INDIRECT("前端运行数据统计!T" &amp; ROW(T7))/MAX(INDIRECT("前端运行数据统计！T60"),1)</f>
        <v>2.592626643375931E-2</v>
      </c>
      <c r="L8" s="244" cm="1">
        <f t="array" aca="1" ref="L8" ca="1">INDIRECT("前端运行数据统计!S" &amp; ROW(S7))/MAX(INDIRECT("前端运行数据统计！S60"),1)</f>
        <v>3.2151408049253219E-2</v>
      </c>
      <c r="M8" s="244" cm="1">
        <f t="array" aca="1" ref="M8" ca="1">INDIRECT("前端运行数据统计!R" &amp; ROW(R7))/MAX(INDIRECT("前端运行数据统计！R60"),1)</f>
        <v>2.592626643375931E-2</v>
      </c>
      <c r="N8" s="244" cm="1">
        <f t="array" aca="1" ref="N8" ca="1">INDIRECT("前端运行数据统计!Q" &amp; ROW(Q7))/MAX(INDIRECT("前端运行数据统计！Q60"),1)</f>
        <v>2.9021302871256562E-2</v>
      </c>
      <c r="O8" s="143"/>
      <c r="P8" s="143"/>
      <c r="Q8" s="143"/>
      <c r="R8" s="18"/>
      <c r="S8" s="144"/>
    </row>
    <row r="9" spans="1:19" x14ac:dyDescent="0.2">
      <c r="A9" s="309"/>
      <c r="B9" s="180" t="s">
        <v>19</v>
      </c>
      <c r="C9" s="147" t="s">
        <v>137</v>
      </c>
      <c r="D9" s="229">
        <f t="shared" ca="1" si="2"/>
        <v>1.54105</v>
      </c>
      <c r="E9" s="229">
        <f t="shared" ca="1" si="0"/>
        <v>0.28888672903310025</v>
      </c>
      <c r="F9" s="234" t="s">
        <v>524</v>
      </c>
      <c r="G9" s="235">
        <f t="shared" ca="1" si="1"/>
        <v>1.8299367290331003</v>
      </c>
      <c r="H9" s="232" cm="1">
        <f t="array" aca="1" ref="H9" ca="1">INDIRECT("磁盘统计！F25")</f>
        <v>18.5</v>
      </c>
      <c r="I9" s="233" cm="1">
        <f t="array" aca="1" ref="I9" ca="1">INDIRECT("磁盘统计！L25")</f>
        <v>0</v>
      </c>
      <c r="J9" s="249" t="s">
        <v>529</v>
      </c>
      <c r="K9" s="244" cm="1">
        <f t="array" aca="1" ref="K9" ca="1">INDIRECT("前端运行数据统计!T" &amp; ROW(T8))/MAX(INDIRECT("前端运行数据统计！T60"),1)</f>
        <v>2.9419876804265884E-3</v>
      </c>
      <c r="L9" s="244" cm="1">
        <f t="array" aca="1" ref="L9" ca="1">INDIRECT("前端运行数据统计!S" &amp; ROW(S8))/MAX(INDIRECT("前端运行数据统计！S60"),1)</f>
        <v>3.6483867289932733E-3</v>
      </c>
      <c r="M9" s="244" cm="1">
        <f t="array" aca="1" ref="M9" ca="1">INDIRECT("前端运行数据统计!R" &amp; ROW(R8))/MAX(INDIRECT("前端运行数据统计！R60"),1)</f>
        <v>2.9419876804265884E-3</v>
      </c>
      <c r="N9" s="244" cm="1">
        <f t="array" aca="1" ref="N9" ca="1">INDIRECT("前端运行数据统计!Q" &amp; ROW(Q8))/MAX(INDIRECT("前端运行数据统计！Q60"),1)</f>
        <v>8.4388185654008432E-3</v>
      </c>
      <c r="O9" s="143"/>
      <c r="P9" s="143"/>
      <c r="Q9" s="143"/>
      <c r="R9" s="18"/>
      <c r="S9" s="144"/>
    </row>
    <row r="10" spans="1:19" ht="28.5" x14ac:dyDescent="0.2">
      <c r="A10" s="309"/>
      <c r="B10" s="148" t="s">
        <v>18</v>
      </c>
      <c r="C10" s="147" t="s">
        <v>134</v>
      </c>
      <c r="D10" s="229">
        <f t="shared" ca="1" si="2"/>
        <v>0.9163</v>
      </c>
      <c r="E10" s="229">
        <f t="shared" ca="1" si="0"/>
        <v>1.2885679389308911</v>
      </c>
      <c r="F10" s="234" t="s">
        <v>524</v>
      </c>
      <c r="G10" s="235">
        <f t="shared" ca="1" si="1"/>
        <v>2.2048679389308909</v>
      </c>
      <c r="H10" s="232" cm="1">
        <f t="array" aca="1" ref="H10" ca="1">INDIRECT("磁盘统计！F27")</f>
        <v>11</v>
      </c>
      <c r="I10" s="233" cm="1">
        <f t="array" aca="1" ref="I10" ca="1">INDIRECT("磁盘统计！L27")</f>
        <v>0</v>
      </c>
      <c r="J10" s="249" t="s">
        <v>529</v>
      </c>
      <c r="K10" s="244" cm="1">
        <f t="array" aca="1" ref="K10" ca="1">INDIRECT("前端运行数据统计!T" &amp; ROW(T9))/MAX(INDIRECT("前端运行数据统计！T60"),1)</f>
        <v>1.8387423002666176E-2</v>
      </c>
      <c r="L10" s="244" cm="1">
        <f t="array" aca="1" ref="L10" ca="1">INDIRECT("前端运行数据统计!S" &amp; ROW(S9))/MAX(INDIRECT("前端运行数据统计！S60"),1)</f>
        <v>2.2802417056207957E-2</v>
      </c>
      <c r="M10" s="244" cm="1">
        <f t="array" aca="1" ref="M10" ca="1">INDIRECT("前端运行数据统计!R" &amp; ROW(R9))/MAX(INDIRECT("前端运行数据统计！R60"),1)</f>
        <v>1.8387423002666176E-2</v>
      </c>
      <c r="N10" s="244" cm="1">
        <f t="array" aca="1" ref="N10" ca="1">INDIRECT("前端运行数据统计!Q" &amp; ROW(Q9))/MAX(INDIRECT("前端运行数据统计！Q60"),1)</f>
        <v>2.0582484305855717E-2</v>
      </c>
      <c r="O10" s="143"/>
      <c r="P10" s="143"/>
      <c r="Q10" s="143"/>
      <c r="R10" s="18"/>
      <c r="S10" s="144"/>
    </row>
    <row r="11" spans="1:19" x14ac:dyDescent="0.2">
      <c r="A11" s="309"/>
      <c r="B11" s="180" t="s">
        <v>160</v>
      </c>
      <c r="C11" s="147" t="s">
        <v>59</v>
      </c>
      <c r="D11" s="229">
        <f t="shared" ca="1" si="2"/>
        <v>0.1666</v>
      </c>
      <c r="E11" s="229">
        <f t="shared" ca="1" si="0"/>
        <v>1.0760175466976813</v>
      </c>
      <c r="F11" s="234" t="s">
        <v>524</v>
      </c>
      <c r="G11" s="235">
        <f t="shared" ca="1" si="1"/>
        <v>1.2426175466976814</v>
      </c>
      <c r="H11" s="232" cm="1">
        <f t="array" aca="1" ref="H11" ca="1">INDIRECT("磁盘统计！F30")</f>
        <v>2</v>
      </c>
      <c r="I11" s="233" cm="1">
        <f t="array" aca="1" ref="I11" ca="1">INDIRECT("磁盘统计！L30")</f>
        <v>0</v>
      </c>
      <c r="J11" s="249" t="s">
        <v>529</v>
      </c>
      <c r="K11" s="244" cm="1">
        <f t="array" aca="1" ref="K11" ca="1">INDIRECT("前端运行数据统计!T" &amp; ROW(T10))/MAX(INDIRECT("前端运行数据统计！T60"),1)</f>
        <v>1.1721982164199687E-2</v>
      </c>
      <c r="L11" s="244" cm="1">
        <f t="array" aca="1" ref="L11" ca="1">INDIRECT("前端运行数据统计!S" &amp; ROW(S10))/MAX(INDIRECT("前端运行数据统计！S60"),1)</f>
        <v>2.2859423098848478E-2</v>
      </c>
      <c r="M11" s="244" cm="1">
        <f t="array" aca="1" ref="M11" ca="1">INDIRECT("前端运行数据统计!R" &amp; ROW(R10))/MAX(INDIRECT("前端运行数据统计！R60"),1)</f>
        <v>1.1721982164199687E-2</v>
      </c>
      <c r="N11" s="244" cm="1">
        <f t="array" aca="1" ref="N11" ca="1">INDIRECT("前端运行数据统计!Q" &amp; ROW(Q10))/MAX(INDIRECT("前端运行数据统计！Q60"),1)</f>
        <v>2.0633940516620358E-2</v>
      </c>
      <c r="O11" s="143"/>
      <c r="P11" s="143"/>
      <c r="Q11" s="143"/>
      <c r="R11" s="18"/>
      <c r="S11" s="144"/>
    </row>
    <row r="12" spans="1:19" x14ac:dyDescent="0.2">
      <c r="A12" s="310"/>
      <c r="B12" s="180" t="s">
        <v>20</v>
      </c>
      <c r="C12" s="147" t="s">
        <v>52</v>
      </c>
      <c r="D12" s="229">
        <f t="shared" ca="1" si="2"/>
        <v>0.83299999999999996</v>
      </c>
      <c r="E12" s="229">
        <f t="shared" ca="1" si="0"/>
        <v>1.6107099236636138</v>
      </c>
      <c r="F12" s="234" t="s">
        <v>524</v>
      </c>
      <c r="G12" s="235">
        <f t="shared" ca="1" si="1"/>
        <v>2.4437099236636137</v>
      </c>
      <c r="H12" s="232" cm="1">
        <f t="array" aca="1" ref="H12" ca="1">INDIRECT("磁盘统计！F31")</f>
        <v>10</v>
      </c>
      <c r="I12" s="233" cm="1">
        <f t="array" aca="1" ref="I12" ca="1">INDIRECT("磁盘统计！L31")</f>
        <v>1</v>
      </c>
      <c r="J12" s="249" t="s">
        <v>529</v>
      </c>
      <c r="K12" s="244" cm="1">
        <f t="array" aca="1" ref="K12" ca="1">INDIRECT("前端运行数据统计!T" &amp; ROW(T11))/MAX(INDIRECT("前端运行数据统计！T60"),1)</f>
        <v>2.2984278753332719E-2</v>
      </c>
      <c r="L12" s="244" cm="1">
        <f t="array" aca="1" ref="L12" ca="1">INDIRECT("前端运行数据统计!S" &amp; ROW(S11))/MAX(INDIRECT("前端运行数据统计！S60"),1)</f>
        <v>2.8503021320259947E-2</v>
      </c>
      <c r="M12" s="244" cm="1">
        <f t="array" aca="1" ref="M12" ca="1">INDIRECT("前端运行数据统计!R" &amp; ROW(R11))/MAX(INDIRECT("前端运行数据统计！R60"),1)</f>
        <v>2.2984278753332719E-2</v>
      </c>
      <c r="N12" s="244" cm="1">
        <f t="array" aca="1" ref="N12" ca="1">INDIRECT("前端运行数据统计!Q" &amp; ROW(Q11))/MAX(INDIRECT("前端运行数据统计！Q60"),1)</f>
        <v>2.5728105382319646E-2</v>
      </c>
      <c r="O12" s="143"/>
      <c r="P12" s="143"/>
      <c r="Q12" s="143"/>
      <c r="R12" s="18"/>
      <c r="S12" s="144"/>
    </row>
    <row r="13" spans="1:19" ht="22.5" customHeight="1" x14ac:dyDescent="0.2">
      <c r="A13" s="179" t="s">
        <v>84</v>
      </c>
      <c r="B13" s="180" t="s">
        <v>84</v>
      </c>
      <c r="C13" s="147" t="s">
        <v>135</v>
      </c>
      <c r="D13" s="229">
        <f t="shared" ca="1" si="2"/>
        <v>4.3315999999999999</v>
      </c>
      <c r="E13" s="229">
        <f t="shared" ca="1" si="0"/>
        <v>1.7911094351139387</v>
      </c>
      <c r="F13" s="234" t="s">
        <v>524</v>
      </c>
      <c r="G13" s="235">
        <f t="shared" ca="1" si="1"/>
        <v>6.1227094351139382</v>
      </c>
      <c r="H13" s="232" cm="1">
        <f t="array" aca="1" ref="H13" ca="1">INDIRECT("磁盘统计！F33")</f>
        <v>52</v>
      </c>
      <c r="I13" s="233" cm="1">
        <f t="array" aca="1" ref="I13" ca="1">INDIRECT("磁盘统计！L33")</f>
        <v>0</v>
      </c>
      <c r="J13" s="249" t="s">
        <v>529</v>
      </c>
      <c r="K13" s="244" cm="1">
        <f t="array" aca="1" ref="K13" ca="1">INDIRECT("前端运行数据统计!T" &amp; ROW(T12))/MAX(INDIRECT("前端运行数据统计！T60"),1)</f>
        <v>2.5558517973705987E-2</v>
      </c>
      <c r="L13" s="244" cm="1">
        <f t="array" aca="1" ref="L13" ca="1">INDIRECT("前端运行数据统计!S" &amp; ROW(S12))/MAX(INDIRECT("前端运行数据统计！S60"),1)</f>
        <v>3.1695359708129062E-2</v>
      </c>
      <c r="M13" s="244" cm="1">
        <f t="array" aca="1" ref="M13" ca="1">INDIRECT("前端运行数据统计!R" &amp; ROW(R12))/MAX(INDIRECT("前端运行数据统计！R60"),1)</f>
        <v>2.5558517973705987E-2</v>
      </c>
      <c r="N13" s="244" cm="1">
        <f t="array" aca="1" ref="N13" ca="1">INDIRECT("前端运行数据统计!Q" &amp; ROW(Q12))/MAX(INDIRECT("前端运行数据统计！Q60"),1)</f>
        <v>2.8609653185139448E-2</v>
      </c>
      <c r="O13" s="143"/>
      <c r="P13" s="143"/>
      <c r="Q13" s="143"/>
      <c r="R13" s="18"/>
      <c r="S13" s="144"/>
    </row>
    <row r="14" spans="1:19" ht="15" customHeight="1" x14ac:dyDescent="0.2">
      <c r="A14" s="311" t="s">
        <v>13</v>
      </c>
      <c r="B14" s="180" t="s">
        <v>14</v>
      </c>
      <c r="C14" s="150" t="s">
        <v>126</v>
      </c>
      <c r="D14" s="229">
        <f t="shared" ca="1" si="2"/>
        <v>0.9163</v>
      </c>
      <c r="E14" s="229">
        <f t="shared" ca="1" si="0"/>
        <v>0.32214198473272276</v>
      </c>
      <c r="F14" s="234" t="s">
        <v>524</v>
      </c>
      <c r="G14" s="235">
        <f t="shared" ca="1" si="1"/>
        <v>1.2384419847327228</v>
      </c>
      <c r="H14" s="232" cm="1">
        <f t="array" aca="1" ref="H14" ca="1">INDIRECT("磁盘统计！F38")</f>
        <v>11</v>
      </c>
      <c r="I14" s="233" cm="1">
        <f t="array" aca="1" ref="I14" ca="1">INDIRECT("磁盘统计！L38")</f>
        <v>0</v>
      </c>
      <c r="J14" s="249" t="s">
        <v>529</v>
      </c>
      <c r="K14" s="244" cm="1">
        <f t="array" aca="1" ref="K14" ca="1">INDIRECT("前端运行数据统计!T" &amp; ROW(T13))/MAX(INDIRECT("前端运行数据统计！T60"),1)</f>
        <v>4.5968557506665441E-3</v>
      </c>
      <c r="L14" s="244" cm="1">
        <f t="array" aca="1" ref="L14" ca="1">INDIRECT("前端运行数据统计!S" &amp; ROW(S13))/MAX(INDIRECT("前端运行数据统计！S60"),1)</f>
        <v>5.7006042640519892E-3</v>
      </c>
      <c r="M14" s="244" cm="1">
        <f t="array" aca="1" ref="M14" ca="1">INDIRECT("前端运行数据统计!R" &amp; ROW(R13))/MAX(INDIRECT("前端运行数据统计！R60"),1)</f>
        <v>4.5968557506665441E-3</v>
      </c>
      <c r="N14" s="244" cm="1">
        <f t="array" aca="1" ref="N14" ca="1">INDIRECT("前端运行数据统计!Q" &amp; ROW(Q13))/MAX(INDIRECT("前端运行数据统计！Q60"),1)</f>
        <v>5.1456210764639293E-3</v>
      </c>
      <c r="O14" s="143"/>
      <c r="P14" s="143"/>
      <c r="Q14" s="143"/>
      <c r="R14" s="18"/>
      <c r="S14" s="144"/>
    </row>
    <row r="15" spans="1:19" ht="15" customHeight="1" x14ac:dyDescent="0.2">
      <c r="A15" s="309"/>
      <c r="B15" s="180" t="s">
        <v>114</v>
      </c>
      <c r="C15" s="147" t="s">
        <v>115</v>
      </c>
      <c r="D15" s="229">
        <f t="shared" ca="1" si="2"/>
        <v>0</v>
      </c>
      <c r="E15" s="229">
        <f t="shared" ca="1" si="0"/>
        <v>0.32214198473272276</v>
      </c>
      <c r="F15" s="234" t="s">
        <v>524</v>
      </c>
      <c r="G15" s="235">
        <f t="shared" ca="1" si="1"/>
        <v>0.32214198473272276</v>
      </c>
      <c r="H15" s="232" cm="1">
        <f t="array" aca="1" ref="H15" ca="1">INDIRECT("磁盘统计！F40")</f>
        <v>0</v>
      </c>
      <c r="I15" s="233" cm="1">
        <f t="array" aca="1" ref="I15" ca="1">INDIRECT("磁盘统计！L40")</f>
        <v>0</v>
      </c>
      <c r="J15" s="249" t="s">
        <v>529</v>
      </c>
      <c r="K15" s="244" cm="1">
        <f t="array" aca="1" ref="K15" ca="1">INDIRECT("前端运行数据统计!T" &amp; ROW(T14))/MAX(INDIRECT("前端运行数据统计！T60"),1)</f>
        <v>4.5968557506665441E-3</v>
      </c>
      <c r="L15" s="244" cm="1">
        <f t="array" aca="1" ref="L15" ca="1">INDIRECT("前端运行数据统计!S" &amp; ROW(S14))/MAX(INDIRECT("前端运行数据统计！S60"),1)</f>
        <v>5.7006042640519892E-3</v>
      </c>
      <c r="M15" s="244" cm="1">
        <f t="array" aca="1" ref="M15" ca="1">INDIRECT("前端运行数据统计!R" &amp; ROW(R14))/MAX(INDIRECT("前端运行数据统计！R60"),1)</f>
        <v>4.5968557506665441E-3</v>
      </c>
      <c r="N15" s="244" cm="1">
        <f t="array" aca="1" ref="N15" ca="1">INDIRECT("前端运行数据统计!Q" &amp; ROW(Q14))/MAX(INDIRECT("前端运行数据统计！Q60"),1)</f>
        <v>5.1456210764639293E-3</v>
      </c>
      <c r="O15" s="143"/>
      <c r="P15" s="143"/>
      <c r="Q15" s="143"/>
      <c r="R15" s="18"/>
      <c r="S15" s="144"/>
    </row>
    <row r="16" spans="1:19" ht="15" customHeight="1" x14ac:dyDescent="0.2">
      <c r="A16" s="306"/>
      <c r="B16" s="180" t="s">
        <v>360</v>
      </c>
      <c r="C16" s="147" t="s">
        <v>517</v>
      </c>
      <c r="D16" s="229">
        <f t="shared" ca="1" si="2"/>
        <v>0.37485000000000002</v>
      </c>
      <c r="E16" s="229">
        <f t="shared" ca="1" si="0"/>
        <v>0</v>
      </c>
      <c r="F16" s="234" t="s">
        <v>524</v>
      </c>
      <c r="G16" s="235">
        <f t="shared" ca="1" si="1"/>
        <v>0.37485000000000002</v>
      </c>
      <c r="H16" s="232" cm="1">
        <f t="array" aca="1" ref="H16" ca="1">INDIRECT("磁盘统计！F41")</f>
        <v>4.5</v>
      </c>
      <c r="I16" s="233" cm="1">
        <f t="array" aca="1" ref="I16" ca="1">INDIRECT("磁盘统计！L41")</f>
        <v>0</v>
      </c>
      <c r="J16" s="249" t="s">
        <v>529</v>
      </c>
      <c r="K16" s="154" t="s">
        <v>524</v>
      </c>
      <c r="L16" s="154" t="s">
        <v>524</v>
      </c>
      <c r="M16" s="154" t="s">
        <v>524</v>
      </c>
      <c r="N16" s="154" t="s">
        <v>524</v>
      </c>
      <c r="O16" s="143"/>
      <c r="P16" s="143"/>
      <c r="Q16" s="143"/>
      <c r="R16" s="18"/>
      <c r="S16" s="144"/>
    </row>
    <row r="17" spans="1:19" ht="15" customHeight="1" x14ac:dyDescent="0.2">
      <c r="A17" s="306"/>
      <c r="B17" s="180" t="s">
        <v>515</v>
      </c>
      <c r="C17" s="147" t="s">
        <v>518</v>
      </c>
      <c r="D17" s="229">
        <f t="shared" ca="1" si="2"/>
        <v>0.3332</v>
      </c>
      <c r="E17" s="229">
        <f t="shared" ca="1" si="0"/>
        <v>0</v>
      </c>
      <c r="F17" s="234" t="s">
        <v>524</v>
      </c>
      <c r="G17" s="235">
        <f t="shared" ca="1" si="1"/>
        <v>0.3332</v>
      </c>
      <c r="H17" s="232" cm="1">
        <f t="array" aca="1" ref="H17" ca="1">INDIRECT("磁盘统计！F42")</f>
        <v>4</v>
      </c>
      <c r="I17" s="233" cm="1">
        <f t="array" aca="1" ref="I17" ca="1">INDIRECT("磁盘统计！L42")</f>
        <v>0.5</v>
      </c>
      <c r="J17" s="249" t="s">
        <v>529</v>
      </c>
      <c r="K17" s="154" t="s">
        <v>524</v>
      </c>
      <c r="L17" s="154" t="s">
        <v>524</v>
      </c>
      <c r="M17" s="154" t="s">
        <v>524</v>
      </c>
      <c r="N17" s="154" t="s">
        <v>524</v>
      </c>
      <c r="O17" s="143"/>
      <c r="P17" s="143"/>
      <c r="Q17" s="143"/>
      <c r="R17" s="18"/>
      <c r="S17" s="144"/>
    </row>
    <row r="18" spans="1:19" ht="15" customHeight="1" x14ac:dyDescent="0.2">
      <c r="A18" s="307"/>
      <c r="B18" s="180" t="s">
        <v>516</v>
      </c>
      <c r="C18" s="147" t="s">
        <v>519</v>
      </c>
      <c r="D18" s="229">
        <f t="shared" ca="1" si="2"/>
        <v>0.3332</v>
      </c>
      <c r="E18" s="229">
        <f t="shared" ca="1" si="0"/>
        <v>0</v>
      </c>
      <c r="F18" s="234" t="s">
        <v>524</v>
      </c>
      <c r="G18" s="235">
        <f t="shared" ca="1" si="1"/>
        <v>0.3332</v>
      </c>
      <c r="H18" s="232" cm="1">
        <f t="array" aca="1" ref="H18" ca="1">INDIRECT("磁盘统计！F44")</f>
        <v>4</v>
      </c>
      <c r="I18" s="233" cm="1">
        <f t="array" aca="1" ref="I18" ca="1">INDIRECT("磁盘统计！L44")</f>
        <v>0</v>
      </c>
      <c r="J18" s="249" t="s">
        <v>529</v>
      </c>
      <c r="K18" s="154" t="s">
        <v>524</v>
      </c>
      <c r="L18" s="154" t="s">
        <v>524</v>
      </c>
      <c r="M18" s="154" t="s">
        <v>524</v>
      </c>
      <c r="N18" s="154" t="s">
        <v>524</v>
      </c>
      <c r="O18" s="143"/>
      <c r="P18" s="143"/>
      <c r="Q18" s="143"/>
      <c r="R18" s="18"/>
      <c r="S18" s="144"/>
    </row>
    <row r="19" spans="1:19" ht="15" customHeight="1" x14ac:dyDescent="0.2">
      <c r="A19" s="208" t="s">
        <v>192</v>
      </c>
      <c r="B19" s="209" t="s">
        <v>193</v>
      </c>
      <c r="C19" s="209" t="s">
        <v>244</v>
      </c>
      <c r="D19" s="229">
        <f t="shared" ca="1" si="2"/>
        <v>12.828200000000001</v>
      </c>
      <c r="E19" s="236">
        <f ca="1">(IF(K19="-",0,K19)*$D$41+IF(L19="-",0,L19)*$G$41+IF(M19="-",0,M19)*$J$41+IF(N19="-",0,N19)*$M$41)/($D$41+$G$41+$J$41+$M$41)*$C$41</f>
        <v>4.1730816088753393</v>
      </c>
      <c r="F19" s="234" t="s">
        <v>524</v>
      </c>
      <c r="G19" s="235">
        <f t="shared" ca="1" si="1"/>
        <v>17.001281608875338</v>
      </c>
      <c r="H19" s="232" cm="1">
        <f t="array" aca="1" ref="H19" ca="1">INDIRECT("磁盘统计！F45")</f>
        <v>154</v>
      </c>
      <c r="I19" s="233" cm="1">
        <f t="array" aca="1" ref="I19" ca="1">INDIRECT("磁盘统计！L45")</f>
        <v>17.2</v>
      </c>
      <c r="J19" s="250" t="s">
        <v>530</v>
      </c>
      <c r="K19" s="245" cm="1">
        <f t="array" aca="1" ref="K19" ca="1">INDIRECT("中端运行数据统计！T" &amp; ROW(T3))/MAX(INDIRECT("中端运行数据统计！T54"),1)</f>
        <v>0.24806201550387597</v>
      </c>
      <c r="L19" s="245" cm="1">
        <f t="array" aca="1" ref="L19" ca="1">INDIRECT("中端运行数据统计！S" &amp; ROW(S3))/MAX(INDIRECT("中端运行数据统计！S54"),1)</f>
        <v>0.21080368906455862</v>
      </c>
      <c r="M19" s="245" cm="1">
        <f t="array" aca="1" ref="M19" ca="1">INDIRECT("中端运行数据统计！R" &amp; ROW(R3))/MAX(INDIRECT("中端运行数据统计！R54"),1)</f>
        <v>0.24806201550387597</v>
      </c>
      <c r="N19" s="245" cm="1">
        <f t="array" aca="1" ref="N19" ca="1">INDIRECT("中端运行数据统计！Q" &amp; ROW(Q3))/MAX(INDIRECT("中端运行数据统计！Q54"),1)</f>
        <v>0.19536019536019536</v>
      </c>
      <c r="O19" s="143"/>
      <c r="P19" s="143"/>
      <c r="Q19" s="143"/>
      <c r="R19" s="18"/>
      <c r="S19" s="144"/>
    </row>
    <row r="20" spans="1:19" ht="15" customHeight="1" x14ac:dyDescent="0.2">
      <c r="A20" s="218" t="s">
        <v>199</v>
      </c>
      <c r="B20" s="210" t="s">
        <v>199</v>
      </c>
      <c r="C20" s="209" t="s">
        <v>245</v>
      </c>
      <c r="D20" s="229">
        <f t="shared" ca="1" si="2"/>
        <v>7.2470999999999997</v>
      </c>
      <c r="E20" s="236">
        <f t="shared" ref="E20:E23" ca="1" si="3">(IF(K20="-",0,K20)*$D$41+IF(L20="-",0,L20)*$G$41+IF(M20="-",0,M20)*$J$41+IF(N20="-",0,N20)*$M$41)/($D$41+$G$41+$J$41+$M$41)*$C$41</f>
        <v>11.606771500603655</v>
      </c>
      <c r="F20" s="234" t="s">
        <v>524</v>
      </c>
      <c r="G20" s="235">
        <f t="shared" ca="1" si="1"/>
        <v>18.853871500603653</v>
      </c>
      <c r="H20" s="232" cm="1">
        <f t="array" aca="1" ref="H20" ca="1">INDIRECT("磁盘统计！F59")</f>
        <v>87</v>
      </c>
      <c r="I20" s="233" cm="1">
        <f t="array" aca="1" ref="I20" ca="1">INDIRECT("磁盘统计！L59")</f>
        <v>1.2</v>
      </c>
      <c r="J20" s="250" t="s">
        <v>530</v>
      </c>
      <c r="K20" s="245" cm="1">
        <f t="array" aca="1" ref="K20" ca="1">INDIRECT("中端运行数据统计！T" &amp; ROW(T4))/MAX(INDIRECT("中端运行数据统计！T54"),1)</f>
        <v>0.62015503875968991</v>
      </c>
      <c r="L20" s="245" cm="1">
        <f t="array" aca="1" ref="L20" ca="1">INDIRECT("中端运行数据统计！S" &amp; ROW(S4))/MAX(INDIRECT("中端运行数据统计！S54"),1)</f>
        <v>0.65876152832674562</v>
      </c>
      <c r="M20" s="245" cm="1">
        <f t="array" aca="1" ref="M20" ca="1">INDIRECT("中端运行数据统计！R" &amp; ROW(R4))/MAX(INDIRECT("中端运行数据统计！R54"),1)</f>
        <v>0.62015503875968991</v>
      </c>
      <c r="N20" s="245" cm="1">
        <f t="array" aca="1" ref="N20" ca="1">INDIRECT("中端运行数据统计！Q" &amp; ROW(Q4))/MAX(INDIRECT("中端运行数据统计！Q54"),1)</f>
        <v>0.61050061050061044</v>
      </c>
      <c r="O20" s="143"/>
      <c r="P20" s="143"/>
      <c r="Q20" s="143"/>
      <c r="R20" s="18"/>
      <c r="S20" s="144"/>
    </row>
    <row r="21" spans="1:19" ht="15" customHeight="1" x14ac:dyDescent="0.2">
      <c r="A21" s="308" t="s">
        <v>13</v>
      </c>
      <c r="B21" s="210" t="s">
        <v>146</v>
      </c>
      <c r="C21" s="210" t="s">
        <v>202</v>
      </c>
      <c r="D21" s="229">
        <f t="shared" ca="1" si="2"/>
        <v>8.1633999999999993</v>
      </c>
      <c r="E21" s="236">
        <f t="shared" ca="1" si="3"/>
        <v>0.91955676611895021</v>
      </c>
      <c r="F21" s="234" t="s">
        <v>524</v>
      </c>
      <c r="G21" s="235">
        <f t="shared" ca="1" si="1"/>
        <v>9.082956766118949</v>
      </c>
      <c r="H21" s="232" cm="1">
        <f t="array" aca="1" ref="H21" ca="1">INDIRECT("磁盘统计！F61")</f>
        <v>98</v>
      </c>
      <c r="I21" s="233" cm="1">
        <f t="array" aca="1" ref="I21" ca="1">INDIRECT("磁盘统计！L61")</f>
        <v>88.3</v>
      </c>
      <c r="J21" s="250" t="s">
        <v>530</v>
      </c>
      <c r="K21" s="245" cm="1">
        <f t="array" aca="1" ref="K21" ca="1">INDIRECT("中端运行数据统计！T" &amp; ROW(T5))/MAX(INDIRECT("中端运行数据统计！T54"),1)</f>
        <v>2.3255813953488372E-2</v>
      </c>
      <c r="L21" s="245" cm="1">
        <f t="array" aca="1" ref="L21" ca="1">INDIRECT("中端运行数据统计！S" &amp; ROW(S5))/MAX(INDIRECT("中端运行数据统计！S54"),1)</f>
        <v>7.9051383399209474E-2</v>
      </c>
      <c r="M21" s="245" cm="1">
        <f t="array" aca="1" ref="M21" ca="1">INDIRECT("中端运行数据统计！R" &amp; ROW(R5))/MAX(INDIRECT("中端运行数据统计！R54"),1)</f>
        <v>2.3255813953488372E-2</v>
      </c>
      <c r="N21" s="245" cm="1">
        <f t="array" aca="1" ref="N21" ca="1">INDIRECT("中端运行数据统计！Q" &amp; ROW(Q5))/MAX(INDIRECT("中端运行数据统计！Q54"),1)</f>
        <v>7.326007326007325E-2</v>
      </c>
      <c r="O21" s="143"/>
      <c r="P21" s="143"/>
      <c r="Q21" s="143"/>
      <c r="R21" s="18"/>
      <c r="S21" s="144"/>
    </row>
    <row r="22" spans="1:19" ht="15" customHeight="1" x14ac:dyDescent="0.2">
      <c r="A22" s="308"/>
      <c r="B22" s="210" t="s">
        <v>204</v>
      </c>
      <c r="C22" s="210" t="s">
        <v>205</v>
      </c>
      <c r="D22" s="229">
        <f t="shared" ca="1" si="2"/>
        <v>0.99960000000000004</v>
      </c>
      <c r="E22" s="236">
        <f t="shared" ca="1" si="3"/>
        <v>0.78245280166412612</v>
      </c>
      <c r="F22" s="234" t="s">
        <v>524</v>
      </c>
      <c r="G22" s="235">
        <f t="shared" ca="1" si="1"/>
        <v>1.7820528016641262</v>
      </c>
      <c r="H22" s="232" cm="1">
        <f t="array" aca="1" ref="H22" ca="1">INDIRECT("磁盘统计！F72")</f>
        <v>12</v>
      </c>
      <c r="I22" s="233" cm="1">
        <f t="array" aca="1" ref="I22" ca="1">INDIRECT("磁盘统计！L72")</f>
        <v>3</v>
      </c>
      <c r="J22" s="250" t="s">
        <v>530</v>
      </c>
      <c r="K22" s="245" cm="1">
        <f t="array" aca="1" ref="K22" ca="1">INDIRECT("中端运行数据统计！T" &amp; ROW(T6))/MAX(INDIRECT("中端运行数据统计！T54"),1)</f>
        <v>4.6511627906976744E-2</v>
      </c>
      <c r="L22" s="245" cm="1">
        <f t="array" aca="1" ref="L22" ca="1">INDIRECT("中端运行数据统计！S" &amp; ROW(S6))/MAX(INDIRECT("中端运行数据统计！S54"),1)</f>
        <v>3.9525691699604737E-2</v>
      </c>
      <c r="M22" s="245" cm="1">
        <f t="array" aca="1" ref="M22" ca="1">INDIRECT("中端运行数据统计！R" &amp; ROW(R6))/MAX(INDIRECT("中端运行数据统计！R54"),1)</f>
        <v>4.6511627906976744E-2</v>
      </c>
      <c r="N22" s="245" cm="1">
        <f t="array" aca="1" ref="N22" ca="1">INDIRECT("中端运行数据统计！Q" &amp; ROW(Q6))/MAX(INDIRECT("中端运行数据统计！Q54"),1)</f>
        <v>3.6630036630036625E-2</v>
      </c>
      <c r="O22" s="143"/>
      <c r="P22" s="143"/>
      <c r="Q22" s="143"/>
      <c r="R22" s="18"/>
      <c r="S22" s="144"/>
    </row>
    <row r="23" spans="1:19" ht="15" customHeight="1" x14ac:dyDescent="0.2">
      <c r="A23" s="308"/>
      <c r="B23" s="210" t="s">
        <v>207</v>
      </c>
      <c r="C23" s="210" t="s">
        <v>208</v>
      </c>
      <c r="D23" s="229">
        <f t="shared" ca="1" si="2"/>
        <v>0.66639999999999999</v>
      </c>
      <c r="E23" s="236">
        <f t="shared" ca="1" si="3"/>
        <v>1.0432704022188348</v>
      </c>
      <c r="F23" s="234" t="s">
        <v>524</v>
      </c>
      <c r="G23" s="235">
        <f t="shared" ca="1" si="1"/>
        <v>1.7096704022188347</v>
      </c>
      <c r="H23" s="232" cm="1">
        <f t="array" aca="1" ref="H23" ca="1">INDIRECT("磁盘统计！F73")</f>
        <v>8</v>
      </c>
      <c r="I23" s="233" cm="1">
        <f t="array" aca="1" ref="I23" ca="1">INDIRECT("磁盘统计！L73")</f>
        <v>0</v>
      </c>
      <c r="J23" s="250" t="s">
        <v>530</v>
      </c>
      <c r="K23" s="245" cm="1">
        <f t="array" aca="1" ref="K23" ca="1">INDIRECT("中端运行数据统计！T" &amp; ROW(T7))/MAX(INDIRECT("中端运行数据统计！T54"),1)</f>
        <v>6.2015503875968991E-2</v>
      </c>
      <c r="L23" s="245" cm="1">
        <f t="array" aca="1" ref="L23" ca="1">INDIRECT("中端运行数据统计！S" &amp; ROW(S7))/MAX(INDIRECT("中端运行数据统计！S54"),1)</f>
        <v>5.2700922266139656E-2</v>
      </c>
      <c r="M23" s="245" cm="1">
        <f t="array" aca="1" ref="M23" ca="1">INDIRECT("中端运行数据统计！R" &amp; ROW(R7))/MAX(INDIRECT("中端运行数据统计！R54"),1)</f>
        <v>6.2015503875968991E-2</v>
      </c>
      <c r="N23" s="245" cm="1">
        <f t="array" aca="1" ref="N23" ca="1">INDIRECT("中端运行数据统计！Q" &amp; ROW(Q7))/MAX(INDIRECT("中端运行数据统计！Q54"),1)</f>
        <v>4.884004884004884E-2</v>
      </c>
      <c r="O23" s="143"/>
      <c r="P23" s="143"/>
      <c r="Q23" s="143"/>
      <c r="R23" s="18"/>
      <c r="S23" s="144"/>
    </row>
    <row r="24" spans="1:19" ht="15" customHeight="1" x14ac:dyDescent="0.2">
      <c r="A24" s="151" t="s">
        <v>13</v>
      </c>
      <c r="B24" s="148" t="s">
        <v>146</v>
      </c>
      <c r="C24" s="148" t="s">
        <v>202</v>
      </c>
      <c r="D24" s="229">
        <f t="shared" si="2"/>
        <v>0</v>
      </c>
      <c r="E24" s="230">
        <f ca="1">C43</f>
        <v>2</v>
      </c>
      <c r="F24" s="234" t="s">
        <v>524</v>
      </c>
      <c r="G24" s="235">
        <f t="shared" ca="1" si="1"/>
        <v>2</v>
      </c>
      <c r="H24" s="219" t="s">
        <v>524</v>
      </c>
      <c r="I24" s="154" t="s">
        <v>524</v>
      </c>
      <c r="J24" s="250" t="s">
        <v>528</v>
      </c>
      <c r="K24" s="154" t="s">
        <v>524</v>
      </c>
      <c r="L24" s="154" t="s">
        <v>524</v>
      </c>
      <c r="M24" s="154" t="s">
        <v>524</v>
      </c>
      <c r="N24" s="154" t="s">
        <v>524</v>
      </c>
      <c r="O24" s="18"/>
      <c r="P24" s="18"/>
      <c r="Q24" s="18"/>
      <c r="R24" s="18"/>
      <c r="S24" s="144"/>
    </row>
    <row r="25" spans="1:19" ht="15" customHeight="1" thickBot="1" x14ac:dyDescent="0.25">
      <c r="A25" s="152" t="s">
        <v>13</v>
      </c>
      <c r="B25" s="153" t="s">
        <v>214</v>
      </c>
      <c r="C25" s="153" t="s">
        <v>215</v>
      </c>
      <c r="D25" s="237">
        <f t="shared" ca="1" si="2"/>
        <v>28.838459999999998</v>
      </c>
      <c r="E25" s="237">
        <f ca="1">C42+C44+C45+C46+C47</f>
        <v>18.400000000000002</v>
      </c>
      <c r="F25" s="238" t="s">
        <v>524</v>
      </c>
      <c r="G25" s="239">
        <f t="shared" ca="1" si="1"/>
        <v>47.238460000000003</v>
      </c>
      <c r="H25" s="240" cm="1">
        <f t="array" aca="1" ref="H25" ca="1">INDIRECT("磁盘统计！F75")</f>
        <v>346.2</v>
      </c>
      <c r="I25" s="241" cm="1">
        <f t="array" aca="1" ref="I25" ca="1">INDIRECT("磁盘统计！L75")</f>
        <v>139.82</v>
      </c>
      <c r="J25" s="246" t="s">
        <v>527</v>
      </c>
      <c r="K25" s="246" t="s">
        <v>524</v>
      </c>
      <c r="L25" s="246" t="s">
        <v>524</v>
      </c>
      <c r="M25" s="246" t="s">
        <v>524</v>
      </c>
      <c r="N25" s="246" t="s">
        <v>524</v>
      </c>
      <c r="O25" s="145"/>
      <c r="P25" s="145"/>
      <c r="Q25" s="145"/>
      <c r="R25" s="145"/>
      <c r="S25" s="146"/>
    </row>
    <row r="26" spans="1:19" ht="15" customHeight="1" thickBot="1" x14ac:dyDescent="0.25">
      <c r="A26" s="222" t="s">
        <v>536</v>
      </c>
      <c r="B26" s="223"/>
      <c r="C26" s="223"/>
      <c r="D26" s="242">
        <f ca="1">SUM(D4:D25)</f>
        <v>80.526109999999989</v>
      </c>
      <c r="E26" s="242">
        <f t="shared" ref="E26:K26" ca="1" si="4">SUM(E4:E25)</f>
        <v>96.72580786809182</v>
      </c>
      <c r="F26" s="242">
        <f t="shared" si="4"/>
        <v>0</v>
      </c>
      <c r="G26" s="242">
        <f t="shared" ca="1" si="4"/>
        <v>177.25191786809179</v>
      </c>
      <c r="H26" s="243">
        <f t="shared" ca="1" si="4"/>
        <v>966.7</v>
      </c>
      <c r="I26" s="243">
        <f t="shared" ca="1" si="4"/>
        <v>259.21999999999997</v>
      </c>
      <c r="J26" s="224"/>
      <c r="K26" s="247">
        <f t="shared" ca="1" si="4"/>
        <v>1.863473384205204</v>
      </c>
      <c r="L26" s="247">
        <f t="shared" ref="L26" ca="1" si="5">SUM(L4:L25)</f>
        <v>1.9378332957048385</v>
      </c>
      <c r="M26" s="247">
        <f t="shared" ref="M26" ca="1" si="6">SUM(M4:M25)</f>
        <v>1.863473384205204</v>
      </c>
      <c r="N26" s="248">
        <f t="shared" ref="N26" ca="1" si="7">SUM(N4:N25)</f>
        <v>1.9363415048811776</v>
      </c>
      <c r="O26" s="221"/>
      <c r="P26" s="221"/>
      <c r="Q26" s="221"/>
      <c r="R26" s="221"/>
      <c r="S26" s="221"/>
    </row>
    <row r="28" spans="1:19" ht="15" thickBot="1" x14ac:dyDescent="0.25">
      <c r="A28" s="123" t="s">
        <v>276</v>
      </c>
    </row>
    <row r="29" spans="1:19" ht="42.75" x14ac:dyDescent="0.2">
      <c r="A29" s="158" t="s">
        <v>171</v>
      </c>
      <c r="B29" s="159" t="s">
        <v>172</v>
      </c>
      <c r="C29" s="159" t="s">
        <v>312</v>
      </c>
      <c r="D29" s="271" t="s">
        <v>301</v>
      </c>
      <c r="E29" s="271"/>
      <c r="F29" s="271" t="s">
        <v>304</v>
      </c>
      <c r="G29" s="274"/>
    </row>
    <row r="30" spans="1:19" x14ac:dyDescent="0.2">
      <c r="A30" s="306" t="s">
        <v>173</v>
      </c>
      <c r="B30" s="120" t="s">
        <v>249</v>
      </c>
      <c r="C30" s="120">
        <v>833</v>
      </c>
      <c r="D30" s="272" t="s">
        <v>302</v>
      </c>
      <c r="E30" s="272"/>
      <c r="F30" s="272" t="s">
        <v>305</v>
      </c>
      <c r="G30" s="275"/>
    </row>
    <row r="31" spans="1:19" ht="29.45" customHeight="1" x14ac:dyDescent="0.2">
      <c r="A31" s="307"/>
      <c r="B31" s="2" t="s">
        <v>307</v>
      </c>
      <c r="C31" s="135">
        <v>0</v>
      </c>
      <c r="D31" s="273" t="s">
        <v>308</v>
      </c>
      <c r="E31" s="273"/>
      <c r="F31" s="273" t="s">
        <v>305</v>
      </c>
      <c r="G31" s="276"/>
    </row>
    <row r="32" spans="1:19" x14ac:dyDescent="0.2">
      <c r="A32" s="284" t="s">
        <v>266</v>
      </c>
      <c r="B32" s="135" t="s">
        <v>250</v>
      </c>
      <c r="C32" s="135">
        <v>1000</v>
      </c>
      <c r="D32" s="273" t="s">
        <v>302</v>
      </c>
      <c r="E32" s="273"/>
      <c r="F32" s="273" t="s">
        <v>306</v>
      </c>
      <c r="G32" s="276"/>
    </row>
    <row r="33" spans="1:15" x14ac:dyDescent="0.2">
      <c r="A33" s="307"/>
      <c r="B33" s="135" t="s">
        <v>251</v>
      </c>
      <c r="C33" s="135">
        <v>4000</v>
      </c>
      <c r="D33" s="273" t="s">
        <v>302</v>
      </c>
      <c r="E33" s="273"/>
      <c r="F33" s="273" t="s">
        <v>306</v>
      </c>
      <c r="G33" s="276"/>
    </row>
    <row r="34" spans="1:15" x14ac:dyDescent="0.2">
      <c r="A34" s="284" t="s">
        <v>253</v>
      </c>
      <c r="B34" s="135" t="s">
        <v>250</v>
      </c>
      <c r="C34" s="135">
        <v>6336</v>
      </c>
      <c r="D34" s="273" t="s">
        <v>303</v>
      </c>
      <c r="E34" s="273"/>
      <c r="F34" s="273" t="s">
        <v>306</v>
      </c>
      <c r="G34" s="276"/>
    </row>
    <row r="35" spans="1:15" ht="15" thickBot="1" x14ac:dyDescent="0.25">
      <c r="A35" s="285"/>
      <c r="B35" s="137" t="s">
        <v>251</v>
      </c>
      <c r="C35" s="137">
        <v>11070</v>
      </c>
      <c r="D35" s="277" t="s">
        <v>303</v>
      </c>
      <c r="E35" s="277"/>
      <c r="F35" s="277" t="s">
        <v>306</v>
      </c>
      <c r="G35" s="278"/>
    </row>
    <row r="36" spans="1:15" x14ac:dyDescent="0.2"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</row>
    <row r="37" spans="1:15" ht="15" thickBot="1" x14ac:dyDescent="0.25">
      <c r="A37" s="123" t="s">
        <v>277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</row>
    <row r="38" spans="1:15" x14ac:dyDescent="0.2">
      <c r="A38" s="286" t="s">
        <v>174</v>
      </c>
      <c r="B38" s="288" t="s">
        <v>271</v>
      </c>
      <c r="C38" s="290" t="s">
        <v>523</v>
      </c>
      <c r="D38" s="282" t="s">
        <v>262</v>
      </c>
      <c r="E38" s="259"/>
      <c r="F38" s="283"/>
      <c r="G38" s="258" t="s">
        <v>274</v>
      </c>
      <c r="H38" s="259"/>
      <c r="I38" s="283"/>
      <c r="J38" s="258" t="s">
        <v>263</v>
      </c>
      <c r="K38" s="259"/>
      <c r="L38" s="283"/>
      <c r="M38" s="258" t="s">
        <v>264</v>
      </c>
      <c r="N38" s="259"/>
      <c r="O38" s="260"/>
    </row>
    <row r="39" spans="1:15" x14ac:dyDescent="0.2">
      <c r="A39" s="287"/>
      <c r="B39" s="289"/>
      <c r="C39" s="291"/>
      <c r="D39" s="213" t="s">
        <v>265</v>
      </c>
      <c r="E39" s="104" t="s">
        <v>257</v>
      </c>
      <c r="F39" s="104" t="s">
        <v>258</v>
      </c>
      <c r="G39" s="206" t="s">
        <v>265</v>
      </c>
      <c r="H39" s="104" t="s">
        <v>257</v>
      </c>
      <c r="I39" s="104" t="s">
        <v>258</v>
      </c>
      <c r="J39" s="206" t="s">
        <v>265</v>
      </c>
      <c r="K39" s="104" t="s">
        <v>257</v>
      </c>
      <c r="L39" s="104" t="s">
        <v>258</v>
      </c>
      <c r="M39" s="206" t="s">
        <v>265</v>
      </c>
      <c r="N39" s="104" t="s">
        <v>257</v>
      </c>
      <c r="O39" s="207" t="s">
        <v>258</v>
      </c>
    </row>
    <row r="40" spans="1:15" x14ac:dyDescent="0.2">
      <c r="A40" s="279" t="s">
        <v>272</v>
      </c>
      <c r="B40" s="122" t="s">
        <v>293</v>
      </c>
      <c r="C40" s="216">
        <f ca="1">(SUM(E40,H40,K40,N40)/4*$C$32+SUM(F40,I40,L40,O40)/4*$C$33)/10000</f>
        <v>64.3</v>
      </c>
      <c r="D40" s="214" cm="1">
        <f t="array" aca="1" ref="D40" ca="1">INDIRECT("集群统计!AE" &amp; ROW(AE4))</f>
        <v>256</v>
      </c>
      <c r="E40" s="132" cm="1">
        <f t="array" aca="1" ref="E40" ca="1">INDIRECT("集群统计!AC" &amp; ROW(AC4))</f>
        <v>127</v>
      </c>
      <c r="F40" s="132" cm="1">
        <f t="array" aca="1" ref="F40" ca="1">INDIRECT("集群统计!AD" &amp; ROW(AD4))</f>
        <v>129</v>
      </c>
      <c r="G40" s="132" cm="1">
        <f t="array" aca="1" ref="G40" ca="1">INDIRECT("集群统计!Z" &amp; ROW(Z4))</f>
        <v>256</v>
      </c>
      <c r="H40" s="132" cm="1">
        <f t="array" aca="1" ref="H40" ca="1">INDIRECT("集群统计!X" &amp; ROW(X4))</f>
        <v>127</v>
      </c>
      <c r="I40" s="132" cm="1">
        <f t="array" aca="1" ref="I40" ca="1">INDIRECT("集群统计!Y" &amp; ROW(Y4))</f>
        <v>129</v>
      </c>
      <c r="J40" s="132" cm="1">
        <f t="array" aca="1" ref="J40" ca="1">INDIRECT("集群统计!U" &amp; ROW(U4))</f>
        <v>256</v>
      </c>
      <c r="K40" s="132" cm="1">
        <f t="array" aca="1" ref="K40" ca="1">INDIRECT("集群统计!S" &amp; ROW(S4))</f>
        <v>127</v>
      </c>
      <c r="L40" s="132" cm="1">
        <f t="array" aca="1" ref="L40" ca="1">INDIRECT("集群统计!T" &amp; ROW(T4))</f>
        <v>129</v>
      </c>
      <c r="M40" s="132" cm="1">
        <f t="array" aca="1" ref="M40" ca="1">INDIRECT("集群统计!P" &amp; ROW(P4))</f>
        <v>256</v>
      </c>
      <c r="N40" s="132" cm="1">
        <f t="array" aca="1" ref="N40" ca="1">INDIRECT("集群统计!N" &amp; ROW(N4))</f>
        <v>127</v>
      </c>
      <c r="O40" s="138" cm="1">
        <f t="array" aca="1" ref="O40" ca="1">INDIRECT("集群统计!O" &amp; ROW(O4))</f>
        <v>129</v>
      </c>
    </row>
    <row r="41" spans="1:15" x14ac:dyDescent="0.2">
      <c r="A41" s="280"/>
      <c r="B41" s="122" t="s">
        <v>294</v>
      </c>
      <c r="C41" s="216">
        <f t="shared" ref="C41:C47" ca="1" si="8">(SUM(E41,H41,K41,N41)/4*$C$32+SUM(F41,I41,L41,O41)/4*$C$33)/10000</f>
        <v>18.5</v>
      </c>
      <c r="D41" s="214" cm="1">
        <f t="array" aca="1" ref="D41" ca="1">INDIRECT("集群统计!AE" &amp; ROW(AE5))</f>
        <v>59</v>
      </c>
      <c r="E41" s="132" cm="1">
        <f t="array" aca="1" ref="E41" ca="1">INDIRECT("集群统计!AC" &amp; ROW(AC5))</f>
        <v>17</v>
      </c>
      <c r="F41" s="132" cm="1">
        <f t="array" aca="1" ref="F41" ca="1">INDIRECT("集群统计!AD" &amp; ROW(AD5))</f>
        <v>42</v>
      </c>
      <c r="G41" s="132" cm="1">
        <f t="array" aca="1" ref="G41" ca="1">INDIRECT("集群统计!Z" &amp; ROW(Z5))</f>
        <v>59</v>
      </c>
      <c r="H41" s="132" cm="1">
        <f t="array" aca="1" ref="H41" ca="1">INDIRECT("集群统计!X" &amp; ROW(X5))</f>
        <v>17</v>
      </c>
      <c r="I41" s="132" cm="1">
        <f t="array" aca="1" ref="I41" ca="1">INDIRECT("集群统计!Y" &amp; ROW(Y5))</f>
        <v>42</v>
      </c>
      <c r="J41" s="132" cm="1">
        <f t="array" aca="1" ref="J41" ca="1">INDIRECT("集群统计!U" &amp; ROW(U5))</f>
        <v>59</v>
      </c>
      <c r="K41" s="132" cm="1">
        <f t="array" aca="1" ref="K41" ca="1">INDIRECT("集群统计!S" &amp; ROW(S5))</f>
        <v>17</v>
      </c>
      <c r="L41" s="132" cm="1">
        <f t="array" aca="1" ref="L41" ca="1">INDIRECT("集群统计!T" &amp; ROW(T5))</f>
        <v>42</v>
      </c>
      <c r="M41" s="132" cm="1">
        <f t="array" aca="1" ref="M41" ca="1">INDIRECT("集群统计!P" &amp; ROW(P5))</f>
        <v>59</v>
      </c>
      <c r="N41" s="132" cm="1">
        <f t="array" aca="1" ref="N41" ca="1">INDIRECT("集群统计!N" &amp; ROW(N5))</f>
        <v>17</v>
      </c>
      <c r="O41" s="138" cm="1">
        <f t="array" aca="1" ref="O41" ca="1">INDIRECT("集群统计!O" &amp; ROW(O5))</f>
        <v>42</v>
      </c>
    </row>
    <row r="42" spans="1:15" x14ac:dyDescent="0.2">
      <c r="A42" s="280"/>
      <c r="B42" s="122" t="s">
        <v>295</v>
      </c>
      <c r="C42" s="216">
        <f t="shared" ca="1" si="8"/>
        <v>1.3</v>
      </c>
      <c r="D42" s="214" cm="1">
        <f t="array" aca="1" ref="D42" ca="1">INDIRECT("集群统计!AE" &amp; ROW(AE6))</f>
        <v>4</v>
      </c>
      <c r="E42" s="132" cm="1">
        <f t="array" aca="1" ref="E42" ca="1">INDIRECT("集群统计!AC" &amp; ROW(AC6))</f>
        <v>1</v>
      </c>
      <c r="F42" s="132" cm="1">
        <f t="array" aca="1" ref="F42" ca="1">INDIRECT("集群统计!AD" &amp; ROW(AD6))</f>
        <v>3</v>
      </c>
      <c r="G42" s="132" cm="1">
        <f t="array" aca="1" ref="G42" ca="1">INDIRECT("集群统计!Z" &amp; ROW(Z6))</f>
        <v>4</v>
      </c>
      <c r="H42" s="132" cm="1">
        <f t="array" aca="1" ref="H42" ca="1">INDIRECT("集群统计!X" &amp; ROW(X6))</f>
        <v>1</v>
      </c>
      <c r="I42" s="132" cm="1">
        <f t="array" aca="1" ref="I42" ca="1">INDIRECT("集群统计!Y" &amp; ROW(Y6))</f>
        <v>3</v>
      </c>
      <c r="J42" s="132" cm="1">
        <f t="array" aca="1" ref="J42" ca="1">INDIRECT("集群统计!U" &amp; ROW(U6))</f>
        <v>4</v>
      </c>
      <c r="K42" s="132" cm="1">
        <f t="array" aca="1" ref="K42" ca="1">INDIRECT("集群统计!S" &amp; ROW(S6))</f>
        <v>1</v>
      </c>
      <c r="L42" s="132" cm="1">
        <f t="array" aca="1" ref="L42" ca="1">INDIRECT("集群统计!T" &amp; ROW(T6))</f>
        <v>3</v>
      </c>
      <c r="M42" s="132" cm="1">
        <f t="array" aca="1" ref="M42" ca="1">INDIRECT("集群统计!P" &amp; ROW(P6))</f>
        <v>4</v>
      </c>
      <c r="N42" s="132" cm="1">
        <f t="array" aca="1" ref="N42" ca="1">INDIRECT("集群统计!N" &amp; ROW(N6))</f>
        <v>1</v>
      </c>
      <c r="O42" s="138" cm="1">
        <f t="array" aca="1" ref="O42" ca="1">INDIRECT("集群统计!O" &amp; ROW(O6))</f>
        <v>3</v>
      </c>
    </row>
    <row r="43" spans="1:15" ht="35.1" customHeight="1" x14ac:dyDescent="0.2">
      <c r="A43" s="280"/>
      <c r="B43" s="122" t="s">
        <v>296</v>
      </c>
      <c r="C43" s="216">
        <f t="shared" ca="1" si="8"/>
        <v>2</v>
      </c>
      <c r="D43" s="214" cm="1">
        <f t="array" aca="1" ref="D43" ca="1">INDIRECT("集群统计!AE" &amp; ROW(AE7))</f>
        <v>5</v>
      </c>
      <c r="E43" s="132" cm="1">
        <f t="array" aca="1" ref="E43" ca="1">INDIRECT("集群统计!AC" &amp; ROW(AC7))</f>
        <v>0</v>
      </c>
      <c r="F43" s="132" cm="1">
        <f t="array" aca="1" ref="F43" ca="1">INDIRECT("集群统计!AD" &amp; ROW(AD7))</f>
        <v>5</v>
      </c>
      <c r="G43" s="132" cm="1">
        <f t="array" aca="1" ref="G43" ca="1">INDIRECT("集群统计!Z" &amp; ROW(Z7))</f>
        <v>5</v>
      </c>
      <c r="H43" s="132" cm="1">
        <f t="array" aca="1" ref="H43" ca="1">INDIRECT("集群统计!X" &amp; ROW(X7))</f>
        <v>0</v>
      </c>
      <c r="I43" s="132" cm="1">
        <f t="array" aca="1" ref="I43" ca="1">INDIRECT("集群统计!Y" &amp; ROW(Y7))</f>
        <v>5</v>
      </c>
      <c r="J43" s="132" cm="1">
        <f t="array" aca="1" ref="J43" ca="1">INDIRECT("集群统计!U" &amp; ROW(U7))</f>
        <v>5</v>
      </c>
      <c r="K43" s="132" cm="1">
        <f t="array" aca="1" ref="K43" ca="1">INDIRECT("集群统计!S" &amp; ROW(S7))</f>
        <v>0</v>
      </c>
      <c r="L43" s="132" cm="1">
        <f t="array" aca="1" ref="L43" ca="1">INDIRECT("集群统计!T" &amp; ROW(T7))</f>
        <v>5</v>
      </c>
      <c r="M43" s="132" cm="1">
        <f t="array" aca="1" ref="M43" ca="1">INDIRECT("集群统计!P" &amp; ROW(P7))</f>
        <v>5</v>
      </c>
      <c r="N43" s="132" cm="1">
        <f t="array" aca="1" ref="N43" ca="1">INDIRECT("集群统计!N" &amp; ROW(N7))</f>
        <v>0</v>
      </c>
      <c r="O43" s="138" cm="1">
        <f t="array" aca="1" ref="O43" ca="1">INDIRECT("集群统计!O" &amp; ROW(O7))</f>
        <v>5</v>
      </c>
    </row>
    <row r="44" spans="1:15" ht="42.75" x14ac:dyDescent="0.2">
      <c r="A44" s="280"/>
      <c r="B44" s="122" t="s">
        <v>297</v>
      </c>
      <c r="C44" s="216">
        <f t="shared" ca="1" si="8"/>
        <v>6</v>
      </c>
      <c r="D44" s="214" cm="1">
        <f t="array" aca="1" ref="D44" ca="1">INDIRECT("集群统计!AE" &amp; ROW(AE8))</f>
        <v>15</v>
      </c>
      <c r="E44" s="132" cm="1">
        <f t="array" aca="1" ref="E44" ca="1">INDIRECT("集群统计!AC" &amp; ROW(AC8))</f>
        <v>0</v>
      </c>
      <c r="F44" s="132" cm="1">
        <f t="array" aca="1" ref="F44" ca="1">INDIRECT("集群统计!AD" &amp; ROW(AD8))</f>
        <v>15</v>
      </c>
      <c r="G44" s="132" cm="1">
        <f t="array" aca="1" ref="G44" ca="1">INDIRECT("集群统计!Z" &amp; ROW(Z8))</f>
        <v>15</v>
      </c>
      <c r="H44" s="132" cm="1">
        <f t="array" aca="1" ref="H44" ca="1">INDIRECT("集群统计!X" &amp; ROW(X8))</f>
        <v>0</v>
      </c>
      <c r="I44" s="132" cm="1">
        <f t="array" aca="1" ref="I44" ca="1">INDIRECT("集群统计!Y" &amp; ROW(Y8))</f>
        <v>15</v>
      </c>
      <c r="J44" s="132" cm="1">
        <f t="array" aca="1" ref="J44" ca="1">INDIRECT("集群统计!U" &amp; ROW(U8))</f>
        <v>15</v>
      </c>
      <c r="K44" s="132" cm="1">
        <f t="array" aca="1" ref="K44" ca="1">INDIRECT("集群统计!S" &amp; ROW(S8))</f>
        <v>0</v>
      </c>
      <c r="L44" s="132" cm="1">
        <f t="array" aca="1" ref="L44" ca="1">INDIRECT("集群统计!T" &amp; ROW(T8))</f>
        <v>15</v>
      </c>
      <c r="M44" s="132" cm="1">
        <f t="array" aca="1" ref="M44" ca="1">INDIRECT("集群统计!P" &amp; ROW(P8))</f>
        <v>15</v>
      </c>
      <c r="N44" s="132" cm="1">
        <f t="array" aca="1" ref="N44" ca="1">INDIRECT("集群统计!N" &amp; ROW(N8))</f>
        <v>0</v>
      </c>
      <c r="O44" s="138" cm="1">
        <f t="array" aca="1" ref="O44" ca="1">INDIRECT("集群统计!O" &amp; ROW(O8))</f>
        <v>15</v>
      </c>
    </row>
    <row r="45" spans="1:15" ht="42.75" x14ac:dyDescent="0.2">
      <c r="A45" s="280"/>
      <c r="B45" s="122" t="s">
        <v>298</v>
      </c>
      <c r="C45" s="216">
        <f t="shared" ca="1" si="8"/>
        <v>2</v>
      </c>
      <c r="D45" s="214" cm="1">
        <f t="array" aca="1" ref="D45" ca="1">INDIRECT("集群统计!AE" &amp; ROW(AE9))</f>
        <v>5</v>
      </c>
      <c r="E45" s="132" cm="1">
        <f t="array" aca="1" ref="E45" ca="1">INDIRECT("集群统计!AC" &amp; ROW(AC9))</f>
        <v>0</v>
      </c>
      <c r="F45" s="132" cm="1">
        <f t="array" aca="1" ref="F45" ca="1">INDIRECT("集群统计!AD" &amp; ROW(AD9))</f>
        <v>5</v>
      </c>
      <c r="G45" s="132" cm="1">
        <f t="array" aca="1" ref="G45" ca="1">INDIRECT("集群统计!Z" &amp; ROW(Z9))</f>
        <v>5</v>
      </c>
      <c r="H45" s="132" cm="1">
        <f t="array" aca="1" ref="H45" ca="1">INDIRECT("集群统计!X" &amp; ROW(X9))</f>
        <v>0</v>
      </c>
      <c r="I45" s="132" cm="1">
        <f t="array" aca="1" ref="I45" ca="1">INDIRECT("集群统计!Y" &amp; ROW(Y9))</f>
        <v>5</v>
      </c>
      <c r="J45" s="132" cm="1">
        <f t="array" aca="1" ref="J45" ca="1">INDIRECT("集群统计!U" &amp; ROW(U9))</f>
        <v>5</v>
      </c>
      <c r="K45" s="132" cm="1">
        <f t="array" aca="1" ref="K45" ca="1">INDIRECT("集群统计!S" &amp; ROW(S9))</f>
        <v>0</v>
      </c>
      <c r="L45" s="132" cm="1">
        <f t="array" aca="1" ref="L45" ca="1">INDIRECT("集群统计!T" &amp; ROW(T9))</f>
        <v>5</v>
      </c>
      <c r="M45" s="132" cm="1">
        <f t="array" aca="1" ref="M45" ca="1">INDIRECT("集群统计!P" &amp; ROW(P9))</f>
        <v>5</v>
      </c>
      <c r="N45" s="132" cm="1">
        <f t="array" aca="1" ref="N45" ca="1">INDIRECT("集群统计!N" &amp; ROW(N9))</f>
        <v>0</v>
      </c>
      <c r="O45" s="138" cm="1">
        <f t="array" aca="1" ref="O45" ca="1">INDIRECT("集群统计!O" &amp; ROW(O9))</f>
        <v>5</v>
      </c>
    </row>
    <row r="46" spans="1:15" ht="42.75" x14ac:dyDescent="0.2">
      <c r="A46" s="280"/>
      <c r="B46" s="122" t="s">
        <v>299</v>
      </c>
      <c r="C46" s="216">
        <f t="shared" ca="1" si="8"/>
        <v>4.3</v>
      </c>
      <c r="D46" s="214" cm="1">
        <f t="array" aca="1" ref="D46" ca="1">INDIRECT("集群统计!AE" &amp; ROW(AE10))</f>
        <v>40</v>
      </c>
      <c r="E46" s="132" cm="1">
        <f t="array" aca="1" ref="E46" ca="1">INDIRECT("集群统计!AC" &amp; ROW(AC10))</f>
        <v>39</v>
      </c>
      <c r="F46" s="132" cm="1">
        <f t="array" aca="1" ref="F46" ca="1">INDIRECT("集群统计!AD" &amp; ROW(AD10))</f>
        <v>1</v>
      </c>
      <c r="G46" s="132" cm="1">
        <f t="array" aca="1" ref="G46" ca="1">INDIRECT("集群统计!Z" &amp; ROW(Z10))</f>
        <v>40</v>
      </c>
      <c r="H46" s="132" cm="1">
        <f t="array" aca="1" ref="H46" ca="1">INDIRECT("集群统计!X" &amp; ROW(X10))</f>
        <v>39</v>
      </c>
      <c r="I46" s="132" cm="1">
        <f t="array" aca="1" ref="I46" ca="1">INDIRECT("集群统计!Y" &amp; ROW(Y10))</f>
        <v>1</v>
      </c>
      <c r="J46" s="132" cm="1">
        <f t="array" aca="1" ref="J46" ca="1">INDIRECT("集群统计!U" &amp; ROW(U10))</f>
        <v>40</v>
      </c>
      <c r="K46" s="132" cm="1">
        <f t="array" aca="1" ref="K46" ca="1">INDIRECT("集群统计!S" &amp; ROW(S10))</f>
        <v>39</v>
      </c>
      <c r="L46" s="132" cm="1">
        <f t="array" aca="1" ref="L46" ca="1">INDIRECT("集群统计!T" &amp; ROW(T10))</f>
        <v>1</v>
      </c>
      <c r="M46" s="132" cm="1">
        <f t="array" aca="1" ref="M46" ca="1">INDIRECT("集群统计!P" &amp; ROW(P10))</f>
        <v>40</v>
      </c>
      <c r="N46" s="132" cm="1">
        <f t="array" aca="1" ref="N46" ca="1">INDIRECT("集群统计!N" &amp; ROW(N10))</f>
        <v>39</v>
      </c>
      <c r="O46" s="138" cm="1">
        <f t="array" aca="1" ref="O46" ca="1">INDIRECT("集群统计!O" &amp; ROW(O10))</f>
        <v>1</v>
      </c>
    </row>
    <row r="47" spans="1:15" ht="42.75" x14ac:dyDescent="0.2">
      <c r="A47" s="281"/>
      <c r="B47" s="122" t="s">
        <v>300</v>
      </c>
      <c r="C47" s="216">
        <f t="shared" ca="1" si="8"/>
        <v>4.8</v>
      </c>
      <c r="D47" s="214" cm="1">
        <f t="array" aca="1" ref="D47" ca="1">INDIRECT("集群统计!AE" &amp; ROW(AE11))</f>
        <v>12</v>
      </c>
      <c r="E47" s="132" cm="1">
        <f t="array" aca="1" ref="E47" ca="1">INDIRECT("集群统计!AC" &amp; ROW(AC11))</f>
        <v>0</v>
      </c>
      <c r="F47" s="132" cm="1">
        <f t="array" aca="1" ref="F47" ca="1">INDIRECT("集群统计!AD" &amp; ROW(AD11))</f>
        <v>12</v>
      </c>
      <c r="G47" s="132" cm="1">
        <f t="array" aca="1" ref="G47" ca="1">INDIRECT("集群统计!Z" &amp; ROW(Z11))</f>
        <v>12</v>
      </c>
      <c r="H47" s="132" cm="1">
        <f t="array" aca="1" ref="H47" ca="1">INDIRECT("集群统计!X" &amp; ROW(X11))</f>
        <v>0</v>
      </c>
      <c r="I47" s="132" cm="1">
        <f t="array" aca="1" ref="I47" ca="1">INDIRECT("集群统计!Y" &amp; ROW(Y11))</f>
        <v>12</v>
      </c>
      <c r="J47" s="132" cm="1">
        <f t="array" aca="1" ref="J47" ca="1">INDIRECT("集群统计!U" &amp; ROW(U11))</f>
        <v>12</v>
      </c>
      <c r="K47" s="132" cm="1">
        <f t="array" aca="1" ref="K47" ca="1">INDIRECT("集群统计!S" &amp; ROW(S11))</f>
        <v>0</v>
      </c>
      <c r="L47" s="132" cm="1">
        <f t="array" aca="1" ref="L47" ca="1">INDIRECT("集群统计!T" &amp; ROW(T11))</f>
        <v>12</v>
      </c>
      <c r="M47" s="132" cm="1">
        <f t="array" aca="1" ref="M47" ca="1">INDIRECT("集群统计!P" &amp; ROW(P11))</f>
        <v>12</v>
      </c>
      <c r="N47" s="132" cm="1">
        <f t="array" aca="1" ref="N47" ca="1">INDIRECT("集群统计!N" &amp; ROW(N11))</f>
        <v>0</v>
      </c>
      <c r="O47" s="138" cm="1">
        <f t="array" aca="1" ref="O47" ca="1">INDIRECT("集群统计!O" &amp; ROW(O11))</f>
        <v>12</v>
      </c>
    </row>
    <row r="48" spans="1:15" ht="15" thickBot="1" x14ac:dyDescent="0.25">
      <c r="A48" s="139" t="s">
        <v>273</v>
      </c>
      <c r="B48" s="140"/>
      <c r="C48" s="217"/>
      <c r="D48" s="215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2"/>
    </row>
    <row r="49" spans="1:15" ht="15" thickBot="1" x14ac:dyDescent="0.25">
      <c r="A49" s="225" t="s">
        <v>536</v>
      </c>
      <c r="B49" s="226"/>
      <c r="C49" s="227">
        <f ca="1">SUM(C40:C47)</f>
        <v>103.19999999999999</v>
      </c>
      <c r="D49" s="227">
        <f t="shared" ref="D49:O49" ca="1" si="9">SUM(D40:D47)</f>
        <v>396</v>
      </c>
      <c r="E49" s="227">
        <f t="shared" ca="1" si="9"/>
        <v>184</v>
      </c>
      <c r="F49" s="227">
        <f t="shared" ca="1" si="9"/>
        <v>212</v>
      </c>
      <c r="G49" s="227">
        <f t="shared" ca="1" si="9"/>
        <v>396</v>
      </c>
      <c r="H49" s="227">
        <f t="shared" ca="1" si="9"/>
        <v>184</v>
      </c>
      <c r="I49" s="227">
        <f t="shared" ca="1" si="9"/>
        <v>212</v>
      </c>
      <c r="J49" s="227">
        <f t="shared" ca="1" si="9"/>
        <v>396</v>
      </c>
      <c r="K49" s="227">
        <f t="shared" ca="1" si="9"/>
        <v>184</v>
      </c>
      <c r="L49" s="227">
        <f t="shared" ca="1" si="9"/>
        <v>212</v>
      </c>
      <c r="M49" s="227">
        <f t="shared" ca="1" si="9"/>
        <v>396</v>
      </c>
      <c r="N49" s="227">
        <f t="shared" ca="1" si="9"/>
        <v>184</v>
      </c>
      <c r="O49" s="228">
        <f t="shared" ca="1" si="9"/>
        <v>212</v>
      </c>
    </row>
    <row r="51" spans="1:15" ht="15" thickBot="1" x14ac:dyDescent="0.25">
      <c r="A51" s="136" t="s">
        <v>309</v>
      </c>
    </row>
    <row r="52" spans="1:15" ht="19.5" customHeight="1" thickBot="1" x14ac:dyDescent="0.25">
      <c r="A52" s="315" t="s">
        <v>310</v>
      </c>
      <c r="B52" s="316"/>
      <c r="C52" s="316"/>
      <c r="D52" s="316"/>
      <c r="E52" s="316"/>
      <c r="F52" s="316"/>
      <c r="G52" s="316"/>
      <c r="H52" s="316"/>
      <c r="I52" s="316"/>
      <c r="J52" s="317"/>
    </row>
    <row r="53" spans="1:15" ht="61.5" customHeight="1" x14ac:dyDescent="0.2">
      <c r="A53" s="312" t="s">
        <v>526</v>
      </c>
      <c r="B53" s="313"/>
      <c r="C53" s="313"/>
      <c r="D53" s="313"/>
      <c r="E53" s="313"/>
      <c r="F53" s="313"/>
      <c r="G53" s="313"/>
      <c r="H53" s="313"/>
      <c r="I53" s="313"/>
      <c r="J53" s="314"/>
    </row>
    <row r="54" spans="1:15" ht="16.5" customHeight="1" x14ac:dyDescent="0.2">
      <c r="A54" s="292" t="s">
        <v>525</v>
      </c>
      <c r="B54" s="293"/>
      <c r="C54" s="293"/>
      <c r="D54" s="293"/>
      <c r="E54" s="293"/>
      <c r="F54" s="293"/>
      <c r="G54" s="293"/>
      <c r="H54" s="293"/>
      <c r="I54" s="294"/>
      <c r="J54" s="295"/>
    </row>
    <row r="55" spans="1:15" ht="17.100000000000001" customHeight="1" thickBot="1" x14ac:dyDescent="0.25">
      <c r="A55" s="296" t="s">
        <v>533</v>
      </c>
      <c r="B55" s="297"/>
      <c r="C55" s="297"/>
      <c r="D55" s="297"/>
      <c r="E55" s="297"/>
      <c r="F55" s="297"/>
      <c r="G55" s="297"/>
      <c r="H55" s="297"/>
      <c r="I55" s="298"/>
      <c r="J55" s="299"/>
    </row>
  </sheetData>
  <mergeCells count="41"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M38:O38"/>
    <mergeCell ref="D1:G1"/>
    <mergeCell ref="J2:N2"/>
    <mergeCell ref="O2:S2"/>
    <mergeCell ref="H2:I2"/>
    <mergeCell ref="H1:S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</mergeCells>
  <phoneticPr fontId="7" type="noConversion"/>
  <hyperlinks>
    <hyperlink ref="D3" location="费用统计!A50" display="公式1" xr:uid="{00000000-0004-0000-0000-000000000000}"/>
    <hyperlink ref="E3" location="费用统计!A51" display="公式2" xr:uid="{00000000-0004-0000-0000-000001000000}"/>
    <hyperlink ref="F3" location="费用统计!A52" display="公式3" xr:uid="{00000000-0004-0000-0000-000002000000}"/>
    <hyperlink ref="G3" location="费用统计!A53" display="公式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"/>
  <sheetViews>
    <sheetView topLeftCell="AI1" zoomScale="160" zoomScaleNormal="160" workbookViewId="0">
      <selection activeCell="W15" sqref="W15"/>
    </sheetView>
  </sheetViews>
  <sheetFormatPr defaultRowHeight="14.25" x14ac:dyDescent="0.2"/>
  <cols>
    <col min="1" max="1" width="19.875" customWidth="1"/>
    <col min="2" max="2" width="5.875" customWidth="1"/>
    <col min="3" max="3" width="9.375" customWidth="1"/>
    <col min="4" max="5" width="6.625" customWidth="1"/>
    <col min="6" max="6" width="9.875" customWidth="1"/>
    <col min="7" max="7" width="12.625" customWidth="1"/>
    <col min="8" max="8" width="14.125" customWidth="1"/>
    <col min="9" max="9" width="14" customWidth="1"/>
    <col min="10" max="10" width="14.375" customWidth="1"/>
    <col min="11" max="11" width="14" customWidth="1"/>
    <col min="12" max="13" width="8.25" customWidth="1"/>
    <col min="14" max="15" width="6.5" customWidth="1"/>
    <col min="16" max="16" width="7" customWidth="1"/>
    <col min="17" max="17" width="5.625" customWidth="1"/>
    <col min="18" max="31" width="7" customWidth="1"/>
    <col min="32" max="35" width="14.5" customWidth="1"/>
    <col min="36" max="47" width="15" customWidth="1"/>
  </cols>
  <sheetData>
    <row r="1" spans="1:47" x14ac:dyDescent="0.2">
      <c r="A1" s="5"/>
      <c r="B1" s="318" t="s">
        <v>542</v>
      </c>
      <c r="C1" s="319"/>
      <c r="D1" s="318" t="s">
        <v>289</v>
      </c>
      <c r="E1" s="319"/>
      <c r="F1" s="5"/>
      <c r="G1" s="81" t="s">
        <v>542</v>
      </c>
      <c r="H1" s="320" t="s">
        <v>542</v>
      </c>
      <c r="I1" s="321"/>
      <c r="J1" s="321"/>
      <c r="K1" s="322"/>
      <c r="L1" s="329" t="s">
        <v>288</v>
      </c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1"/>
      <c r="AF1" s="329" t="s">
        <v>288</v>
      </c>
      <c r="AG1" s="330"/>
      <c r="AH1" s="330"/>
      <c r="AI1" s="330"/>
      <c r="AJ1" s="330"/>
      <c r="AK1" s="330"/>
      <c r="AL1" s="330"/>
      <c r="AM1" s="330"/>
      <c r="AN1" s="330"/>
      <c r="AO1" s="330"/>
      <c r="AP1" s="330"/>
      <c r="AQ1" s="330"/>
      <c r="AR1" s="330"/>
      <c r="AS1" s="330"/>
      <c r="AT1" s="330"/>
      <c r="AU1" s="331"/>
    </row>
    <row r="2" spans="1:47" ht="15.95" customHeight="1" x14ac:dyDescent="0.2">
      <c r="A2" s="124"/>
      <c r="B2" s="124"/>
      <c r="C2" s="124"/>
      <c r="D2" s="124"/>
      <c r="E2" s="124"/>
      <c r="F2" s="124"/>
      <c r="G2" s="124"/>
      <c r="H2" s="326" t="s">
        <v>176</v>
      </c>
      <c r="I2" s="327"/>
      <c r="J2" s="327"/>
      <c r="K2" s="328"/>
      <c r="L2" s="125" t="s">
        <v>183</v>
      </c>
      <c r="M2" s="125" t="s">
        <v>287</v>
      </c>
      <c r="N2" s="126" t="s">
        <v>181</v>
      </c>
      <c r="O2" s="126" t="s">
        <v>182</v>
      </c>
      <c r="P2" s="127" t="s">
        <v>265</v>
      </c>
      <c r="Q2" s="125" t="s">
        <v>183</v>
      </c>
      <c r="R2" s="125" t="s">
        <v>287</v>
      </c>
      <c r="S2" s="126" t="s">
        <v>181</v>
      </c>
      <c r="T2" s="126" t="s">
        <v>182</v>
      </c>
      <c r="U2" s="127" t="s">
        <v>265</v>
      </c>
      <c r="V2" s="125" t="s">
        <v>183</v>
      </c>
      <c r="W2" s="125" t="s">
        <v>287</v>
      </c>
      <c r="X2" s="126" t="s">
        <v>181</v>
      </c>
      <c r="Y2" s="126" t="s">
        <v>182</v>
      </c>
      <c r="Z2" s="127" t="s">
        <v>265</v>
      </c>
      <c r="AA2" s="125" t="s">
        <v>183</v>
      </c>
      <c r="AB2" s="125" t="s">
        <v>287</v>
      </c>
      <c r="AC2" s="126" t="s">
        <v>181</v>
      </c>
      <c r="AD2" s="126" t="s">
        <v>182</v>
      </c>
      <c r="AE2" s="127" t="s">
        <v>265</v>
      </c>
      <c r="AF2" s="128" t="s">
        <v>177</v>
      </c>
      <c r="AG2" s="128" t="s">
        <v>178</v>
      </c>
      <c r="AH2" s="128" t="s">
        <v>179</v>
      </c>
      <c r="AI2" s="128" t="s">
        <v>180</v>
      </c>
      <c r="AJ2" s="128" t="s">
        <v>177</v>
      </c>
      <c r="AK2" s="128" t="s">
        <v>178</v>
      </c>
      <c r="AL2" s="128" t="s">
        <v>179</v>
      </c>
      <c r="AM2" s="128" t="s">
        <v>180</v>
      </c>
      <c r="AN2" s="128" t="s">
        <v>177</v>
      </c>
      <c r="AO2" s="128" t="s">
        <v>178</v>
      </c>
      <c r="AP2" s="128" t="s">
        <v>179</v>
      </c>
      <c r="AQ2" s="128" t="s">
        <v>180</v>
      </c>
      <c r="AR2" s="128" t="s">
        <v>177</v>
      </c>
      <c r="AS2" s="128" t="s">
        <v>178</v>
      </c>
      <c r="AT2" s="128" t="s">
        <v>179</v>
      </c>
      <c r="AU2" s="128" t="s">
        <v>180</v>
      </c>
    </row>
    <row r="3" spans="1:47" ht="23.1" customHeight="1" x14ac:dyDescent="0.2">
      <c r="A3" s="125" t="s">
        <v>184</v>
      </c>
      <c r="B3" s="125" t="s">
        <v>183</v>
      </c>
      <c r="C3" s="125" t="s">
        <v>238</v>
      </c>
      <c r="D3" s="126" t="s">
        <v>181</v>
      </c>
      <c r="E3" s="126" t="s">
        <v>182</v>
      </c>
      <c r="F3" s="126" t="s">
        <v>174</v>
      </c>
      <c r="G3" s="127" t="s">
        <v>175</v>
      </c>
      <c r="H3" s="128" t="s">
        <v>177</v>
      </c>
      <c r="I3" s="128" t="s">
        <v>178</v>
      </c>
      <c r="J3" s="128" t="s">
        <v>179</v>
      </c>
      <c r="K3" s="128" t="s">
        <v>180</v>
      </c>
      <c r="L3" s="323" t="s">
        <v>286</v>
      </c>
      <c r="M3" s="324"/>
      <c r="N3" s="324"/>
      <c r="O3" s="324"/>
      <c r="P3" s="325"/>
      <c r="Q3" s="323" t="s">
        <v>285</v>
      </c>
      <c r="R3" s="324"/>
      <c r="S3" s="324"/>
      <c r="T3" s="324"/>
      <c r="U3" s="325"/>
      <c r="V3" s="323" t="s">
        <v>284</v>
      </c>
      <c r="W3" s="324"/>
      <c r="X3" s="324"/>
      <c r="Y3" s="324"/>
      <c r="Z3" s="325"/>
      <c r="AA3" s="323" t="s">
        <v>283</v>
      </c>
      <c r="AB3" s="324"/>
      <c r="AC3" s="324"/>
      <c r="AD3" s="324"/>
      <c r="AE3" s="325"/>
      <c r="AF3" s="323" t="s">
        <v>286</v>
      </c>
      <c r="AG3" s="324"/>
      <c r="AH3" s="324"/>
      <c r="AI3" s="325"/>
      <c r="AJ3" s="323" t="s">
        <v>285</v>
      </c>
      <c r="AK3" s="324"/>
      <c r="AL3" s="324"/>
      <c r="AM3" s="325"/>
      <c r="AN3" s="323" t="s">
        <v>284</v>
      </c>
      <c r="AO3" s="324"/>
      <c r="AP3" s="324"/>
      <c r="AQ3" s="325"/>
      <c r="AR3" s="323" t="s">
        <v>283</v>
      </c>
      <c r="AS3" s="324"/>
      <c r="AT3" s="324"/>
      <c r="AU3" s="325"/>
    </row>
    <row r="4" spans="1:47" x14ac:dyDescent="0.2">
      <c r="A4" s="72" t="s">
        <v>237</v>
      </c>
      <c r="B4" s="72">
        <v>21754</v>
      </c>
      <c r="C4" s="72">
        <v>253</v>
      </c>
      <c r="D4" s="115">
        <v>127</v>
      </c>
      <c r="E4" s="115">
        <v>129</v>
      </c>
      <c r="F4" s="71" t="s">
        <v>151</v>
      </c>
      <c r="G4" s="80">
        <v>256</v>
      </c>
      <c r="H4" s="79">
        <v>0.63100000000000001</v>
      </c>
      <c r="I4" s="79">
        <v>0.89100000000000001</v>
      </c>
      <c r="J4" s="79">
        <v>0.374</v>
      </c>
      <c r="K4" s="79">
        <v>0.46500000000000002</v>
      </c>
      <c r="L4" s="72">
        <v>21754</v>
      </c>
      <c r="M4" s="72">
        <v>253</v>
      </c>
      <c r="N4" s="115">
        <v>127</v>
      </c>
      <c r="O4" s="115">
        <v>129</v>
      </c>
      <c r="P4" s="80">
        <v>256</v>
      </c>
      <c r="Q4" s="72">
        <v>21754</v>
      </c>
      <c r="R4" s="72">
        <v>253</v>
      </c>
      <c r="S4" s="115">
        <v>127</v>
      </c>
      <c r="T4" s="115">
        <v>129</v>
      </c>
      <c r="U4" s="80">
        <v>256</v>
      </c>
      <c r="V4" s="116">
        <v>21754</v>
      </c>
      <c r="W4" s="72">
        <v>253</v>
      </c>
      <c r="X4" s="115">
        <v>127</v>
      </c>
      <c r="Y4" s="115">
        <v>129</v>
      </c>
      <c r="Z4" s="80">
        <v>256</v>
      </c>
      <c r="AA4" s="72">
        <v>21754</v>
      </c>
      <c r="AB4" s="72">
        <v>253</v>
      </c>
      <c r="AC4" s="115">
        <v>127</v>
      </c>
      <c r="AD4" s="115">
        <v>129</v>
      </c>
      <c r="AE4" s="80">
        <v>256</v>
      </c>
      <c r="AF4" s="79">
        <v>0.63100000000000001</v>
      </c>
      <c r="AG4" s="79">
        <v>0.89100000000000001</v>
      </c>
      <c r="AH4" s="79">
        <v>0.374</v>
      </c>
      <c r="AI4" s="79">
        <v>0.46500000000000002</v>
      </c>
      <c r="AJ4" s="79">
        <v>0.63100000000000001</v>
      </c>
      <c r="AK4" s="79">
        <v>0.89100000000000001</v>
      </c>
      <c r="AL4" s="79">
        <v>0.374</v>
      </c>
      <c r="AM4" s="79">
        <v>0.46500000000000002</v>
      </c>
      <c r="AN4" s="79">
        <v>0.63100000000000001</v>
      </c>
      <c r="AO4" s="79">
        <v>0.89100000000000001</v>
      </c>
      <c r="AP4" s="79">
        <v>0.374</v>
      </c>
      <c r="AQ4" s="79">
        <v>0.46500000000000002</v>
      </c>
      <c r="AR4" s="79">
        <v>0.63100000000000001</v>
      </c>
      <c r="AS4" s="79">
        <v>0.89100000000000001</v>
      </c>
      <c r="AT4" s="79">
        <v>0.374</v>
      </c>
      <c r="AU4" s="79">
        <v>0.46500000000000002</v>
      </c>
    </row>
    <row r="5" spans="1:47" x14ac:dyDescent="0.2">
      <c r="A5" s="72" t="s">
        <v>543</v>
      </c>
      <c r="B5" s="72">
        <v>3104</v>
      </c>
      <c r="C5" s="72">
        <v>45</v>
      </c>
      <c r="D5" s="115">
        <v>17</v>
      </c>
      <c r="E5" s="115">
        <v>42</v>
      </c>
      <c r="F5" s="71" t="s">
        <v>152</v>
      </c>
      <c r="G5" s="80">
        <v>59</v>
      </c>
      <c r="H5" s="79">
        <v>0.152</v>
      </c>
      <c r="I5" s="79">
        <v>0.76700000000000002</v>
      </c>
      <c r="J5" s="79">
        <v>0.248</v>
      </c>
      <c r="K5" s="79">
        <v>0.63100000000000001</v>
      </c>
      <c r="L5" s="72">
        <v>3104</v>
      </c>
      <c r="M5" s="72">
        <v>45</v>
      </c>
      <c r="N5" s="115">
        <v>17</v>
      </c>
      <c r="O5" s="115">
        <v>42</v>
      </c>
      <c r="P5" s="80">
        <v>59</v>
      </c>
      <c r="Q5" s="72">
        <v>3104</v>
      </c>
      <c r="R5" s="72">
        <v>45</v>
      </c>
      <c r="S5" s="115">
        <v>17</v>
      </c>
      <c r="T5" s="115">
        <v>42</v>
      </c>
      <c r="U5" s="80">
        <v>59</v>
      </c>
      <c r="V5" s="72">
        <v>3104</v>
      </c>
      <c r="W5" s="72">
        <v>45</v>
      </c>
      <c r="X5" s="115">
        <v>17</v>
      </c>
      <c r="Y5" s="115">
        <v>42</v>
      </c>
      <c r="Z5" s="80">
        <v>59</v>
      </c>
      <c r="AA5" s="72">
        <v>3104</v>
      </c>
      <c r="AB5" s="72">
        <v>45</v>
      </c>
      <c r="AC5" s="115">
        <v>17</v>
      </c>
      <c r="AD5" s="115">
        <v>42</v>
      </c>
      <c r="AE5" s="80">
        <v>59</v>
      </c>
      <c r="AF5" s="79">
        <v>0.152</v>
      </c>
      <c r="AG5" s="79">
        <v>0.76700000000000002</v>
      </c>
      <c r="AH5" s="79">
        <v>0.248</v>
      </c>
      <c r="AI5" s="79">
        <v>0.63100000000000001</v>
      </c>
      <c r="AJ5" s="79">
        <v>0.152</v>
      </c>
      <c r="AK5" s="79">
        <v>0.76700000000000002</v>
      </c>
      <c r="AL5" s="79">
        <v>0.248</v>
      </c>
      <c r="AM5" s="79">
        <v>0.63100000000000001</v>
      </c>
      <c r="AN5" s="79">
        <v>0.152</v>
      </c>
      <c r="AO5" s="79">
        <v>0.76700000000000002</v>
      </c>
      <c r="AP5" s="79">
        <v>0.248</v>
      </c>
      <c r="AQ5" s="79">
        <v>0.63100000000000001</v>
      </c>
      <c r="AR5" s="79">
        <v>0.152</v>
      </c>
      <c r="AS5" s="79">
        <v>0.76700000000000002</v>
      </c>
      <c r="AT5" s="79">
        <v>0.248</v>
      </c>
      <c r="AU5" s="79">
        <v>0.63100000000000001</v>
      </c>
    </row>
    <row r="6" spans="1:47" x14ac:dyDescent="0.2">
      <c r="A6" s="72" t="s">
        <v>544</v>
      </c>
      <c r="B6" s="72">
        <v>492</v>
      </c>
      <c r="C6" s="72">
        <v>5.16</v>
      </c>
      <c r="D6" s="115">
        <v>1</v>
      </c>
      <c r="E6" s="115">
        <v>3</v>
      </c>
      <c r="F6" s="71" t="s">
        <v>153</v>
      </c>
      <c r="G6" s="80">
        <v>4</v>
      </c>
      <c r="H6" s="79">
        <v>0.18</v>
      </c>
      <c r="I6" s="79">
        <v>1</v>
      </c>
      <c r="J6" s="79">
        <v>0.247</v>
      </c>
      <c r="K6" s="79">
        <v>0.82699999999999996</v>
      </c>
      <c r="L6" s="72">
        <v>492</v>
      </c>
      <c r="M6" s="72">
        <v>5.16</v>
      </c>
      <c r="N6" s="115">
        <v>1</v>
      </c>
      <c r="O6" s="115">
        <v>3</v>
      </c>
      <c r="P6" s="80">
        <v>4</v>
      </c>
      <c r="Q6" s="72">
        <v>492</v>
      </c>
      <c r="R6" s="72">
        <v>5.16</v>
      </c>
      <c r="S6" s="115">
        <v>1</v>
      </c>
      <c r="T6" s="115">
        <v>3</v>
      </c>
      <c r="U6" s="80">
        <v>4</v>
      </c>
      <c r="V6" s="72">
        <v>492</v>
      </c>
      <c r="W6" s="72">
        <v>5.16</v>
      </c>
      <c r="X6" s="115">
        <v>1</v>
      </c>
      <c r="Y6" s="115">
        <v>3</v>
      </c>
      <c r="Z6" s="80">
        <v>4</v>
      </c>
      <c r="AA6" s="72">
        <v>492</v>
      </c>
      <c r="AB6" s="72">
        <v>5.16</v>
      </c>
      <c r="AC6" s="115">
        <v>1</v>
      </c>
      <c r="AD6" s="115">
        <v>3</v>
      </c>
      <c r="AE6" s="80">
        <v>4</v>
      </c>
      <c r="AF6" s="79">
        <v>0.18</v>
      </c>
      <c r="AG6" s="79">
        <v>1</v>
      </c>
      <c r="AH6" s="79">
        <v>0.247</v>
      </c>
      <c r="AI6" s="79">
        <v>0.82699999999999996</v>
      </c>
      <c r="AJ6" s="79">
        <v>0.18</v>
      </c>
      <c r="AK6" s="79">
        <v>1</v>
      </c>
      <c r="AL6" s="79">
        <v>0.247</v>
      </c>
      <c r="AM6" s="79">
        <v>0.82699999999999996</v>
      </c>
      <c r="AN6" s="79">
        <v>0.18</v>
      </c>
      <c r="AO6" s="79">
        <v>1</v>
      </c>
      <c r="AP6" s="79">
        <v>0.247</v>
      </c>
      <c r="AQ6" s="79">
        <v>0.82699999999999996</v>
      </c>
      <c r="AR6" s="79">
        <v>0.18</v>
      </c>
      <c r="AS6" s="79">
        <v>1</v>
      </c>
      <c r="AT6" s="79">
        <v>0.247</v>
      </c>
      <c r="AU6" s="79">
        <v>0.82699999999999996</v>
      </c>
    </row>
    <row r="7" spans="1:47" ht="23.1" customHeight="1" x14ac:dyDescent="0.2">
      <c r="A7" s="72" t="s">
        <v>279</v>
      </c>
      <c r="B7" s="72">
        <v>715</v>
      </c>
      <c r="C7" s="72">
        <v>10.3</v>
      </c>
      <c r="D7" s="115">
        <v>0</v>
      </c>
      <c r="E7" s="115">
        <v>5</v>
      </c>
      <c r="F7" s="71" t="s">
        <v>154</v>
      </c>
      <c r="G7" s="80">
        <v>5</v>
      </c>
      <c r="H7" s="79">
        <v>0.104</v>
      </c>
      <c r="I7" s="79">
        <v>0.36799999999999999</v>
      </c>
      <c r="J7" s="79">
        <v>0.251</v>
      </c>
      <c r="K7" s="79">
        <v>0.40600000000000003</v>
      </c>
      <c r="L7" s="72">
        <v>715</v>
      </c>
      <c r="M7" s="72">
        <v>10.3</v>
      </c>
      <c r="N7" s="115">
        <v>0</v>
      </c>
      <c r="O7" s="115">
        <v>5</v>
      </c>
      <c r="P7" s="80">
        <v>5</v>
      </c>
      <c r="Q7" s="72">
        <v>715</v>
      </c>
      <c r="R7" s="72">
        <v>10.3</v>
      </c>
      <c r="S7" s="115">
        <v>0</v>
      </c>
      <c r="T7" s="115">
        <v>5</v>
      </c>
      <c r="U7" s="80">
        <v>5</v>
      </c>
      <c r="V7" s="72">
        <v>715</v>
      </c>
      <c r="W7" s="72">
        <v>10.3</v>
      </c>
      <c r="X7" s="115">
        <v>0</v>
      </c>
      <c r="Y7" s="115">
        <v>5</v>
      </c>
      <c r="Z7" s="80">
        <v>5</v>
      </c>
      <c r="AA7" s="72">
        <v>715</v>
      </c>
      <c r="AB7" s="72">
        <v>10.3</v>
      </c>
      <c r="AC7" s="115">
        <v>0</v>
      </c>
      <c r="AD7" s="115">
        <v>5</v>
      </c>
      <c r="AE7" s="80">
        <v>5</v>
      </c>
      <c r="AF7" s="79">
        <v>0.104</v>
      </c>
      <c r="AG7" s="79">
        <v>0.36799999999999999</v>
      </c>
      <c r="AH7" s="79">
        <v>0.251</v>
      </c>
      <c r="AI7" s="79">
        <v>0.40600000000000003</v>
      </c>
      <c r="AJ7" s="79">
        <v>0.104</v>
      </c>
      <c r="AK7" s="79">
        <v>0.36799999999999999</v>
      </c>
      <c r="AL7" s="79">
        <v>0.251</v>
      </c>
      <c r="AM7" s="79">
        <v>0.40600000000000003</v>
      </c>
      <c r="AN7" s="79">
        <v>0.104</v>
      </c>
      <c r="AO7" s="79">
        <v>0.36799999999999999</v>
      </c>
      <c r="AP7" s="79">
        <v>0.251</v>
      </c>
      <c r="AQ7" s="79">
        <v>0.40600000000000003</v>
      </c>
      <c r="AR7" s="79">
        <v>0.104</v>
      </c>
      <c r="AS7" s="79">
        <v>0.36799999999999999</v>
      </c>
      <c r="AT7" s="79">
        <v>0.251</v>
      </c>
      <c r="AU7" s="79">
        <v>0.40600000000000003</v>
      </c>
    </row>
    <row r="8" spans="1:47" x14ac:dyDescent="0.2">
      <c r="A8" s="72" t="s">
        <v>278</v>
      </c>
      <c r="B8" s="72">
        <v>2145</v>
      </c>
      <c r="C8" s="72">
        <v>30</v>
      </c>
      <c r="D8" s="115">
        <v>0</v>
      </c>
      <c r="E8" s="115">
        <v>15</v>
      </c>
      <c r="F8" s="71" t="s">
        <v>155</v>
      </c>
      <c r="G8" s="80">
        <v>15</v>
      </c>
      <c r="H8" s="79">
        <v>9.7000000000000003E-2</v>
      </c>
      <c r="I8" s="79">
        <v>0.61099999999999999</v>
      </c>
      <c r="J8" s="79">
        <v>0.318</v>
      </c>
      <c r="K8" s="79">
        <v>0.69499999999999995</v>
      </c>
      <c r="L8" s="72">
        <v>2145</v>
      </c>
      <c r="M8" s="72">
        <v>30</v>
      </c>
      <c r="N8" s="115">
        <v>0</v>
      </c>
      <c r="O8" s="115">
        <v>15</v>
      </c>
      <c r="P8" s="80">
        <v>15</v>
      </c>
      <c r="Q8" s="72">
        <v>2145</v>
      </c>
      <c r="R8" s="72">
        <v>30</v>
      </c>
      <c r="S8" s="115">
        <v>0</v>
      </c>
      <c r="T8" s="115">
        <v>15</v>
      </c>
      <c r="U8" s="80">
        <v>15</v>
      </c>
      <c r="V8" s="72">
        <v>2145</v>
      </c>
      <c r="W8" s="72">
        <v>30</v>
      </c>
      <c r="X8" s="115">
        <v>0</v>
      </c>
      <c r="Y8" s="115">
        <v>15</v>
      </c>
      <c r="Z8" s="80">
        <v>15</v>
      </c>
      <c r="AA8" s="72">
        <v>2145</v>
      </c>
      <c r="AB8" s="72">
        <v>30</v>
      </c>
      <c r="AC8" s="115">
        <v>0</v>
      </c>
      <c r="AD8" s="115">
        <v>15</v>
      </c>
      <c r="AE8" s="80">
        <v>15</v>
      </c>
      <c r="AF8" s="79">
        <v>9.7000000000000003E-2</v>
      </c>
      <c r="AG8" s="79">
        <v>0.61099999999999999</v>
      </c>
      <c r="AH8" s="79">
        <v>0.318</v>
      </c>
      <c r="AI8" s="79">
        <v>0.69499999999999995</v>
      </c>
      <c r="AJ8" s="79">
        <v>9.7000000000000003E-2</v>
      </c>
      <c r="AK8" s="79">
        <v>0.61099999999999999</v>
      </c>
      <c r="AL8" s="79">
        <v>0.318</v>
      </c>
      <c r="AM8" s="79">
        <v>0.69499999999999995</v>
      </c>
      <c r="AN8" s="79">
        <v>9.7000000000000003E-2</v>
      </c>
      <c r="AO8" s="79">
        <v>0.61099999999999999</v>
      </c>
      <c r="AP8" s="79">
        <v>0.318</v>
      </c>
      <c r="AQ8" s="79">
        <v>0.69499999999999995</v>
      </c>
      <c r="AR8" s="79">
        <v>9.7000000000000003E-2</v>
      </c>
      <c r="AS8" s="79">
        <v>0.61099999999999999</v>
      </c>
      <c r="AT8" s="79">
        <v>0.318</v>
      </c>
      <c r="AU8" s="79">
        <v>0.69499999999999995</v>
      </c>
    </row>
    <row r="9" spans="1:47" x14ac:dyDescent="0.2">
      <c r="A9" s="72" t="s">
        <v>281</v>
      </c>
      <c r="B9" s="72">
        <v>1035</v>
      </c>
      <c r="C9" s="72">
        <v>26.6</v>
      </c>
      <c r="D9" s="115">
        <v>0</v>
      </c>
      <c r="E9" s="115">
        <v>5</v>
      </c>
      <c r="F9" s="71" t="s">
        <v>156</v>
      </c>
      <c r="G9" s="80">
        <v>5</v>
      </c>
      <c r="H9" s="79">
        <v>7.5999999999999998E-2</v>
      </c>
      <c r="I9" s="79">
        <v>0.84799999999999998</v>
      </c>
      <c r="J9" s="79">
        <v>8.4000000000000005E-2</v>
      </c>
      <c r="K9" s="79">
        <v>0.48599999999999999</v>
      </c>
      <c r="L9" s="72">
        <v>1035</v>
      </c>
      <c r="M9" s="72">
        <v>26.6</v>
      </c>
      <c r="N9" s="115">
        <v>0</v>
      </c>
      <c r="O9" s="115">
        <v>5</v>
      </c>
      <c r="P9" s="80">
        <v>5</v>
      </c>
      <c r="Q9" s="72">
        <v>1035</v>
      </c>
      <c r="R9" s="72">
        <v>26.6</v>
      </c>
      <c r="S9" s="115">
        <v>0</v>
      </c>
      <c r="T9" s="115">
        <v>5</v>
      </c>
      <c r="U9" s="80">
        <v>5</v>
      </c>
      <c r="V9" s="72">
        <v>1035</v>
      </c>
      <c r="W9" s="72">
        <v>26.6</v>
      </c>
      <c r="X9" s="115">
        <v>0</v>
      </c>
      <c r="Y9" s="115">
        <v>5</v>
      </c>
      <c r="Z9" s="80">
        <v>5</v>
      </c>
      <c r="AA9" s="72">
        <v>1035</v>
      </c>
      <c r="AB9" s="72">
        <v>26.6</v>
      </c>
      <c r="AC9" s="115">
        <v>0</v>
      </c>
      <c r="AD9" s="115">
        <v>5</v>
      </c>
      <c r="AE9" s="80">
        <v>5</v>
      </c>
      <c r="AF9" s="79">
        <v>7.5999999999999998E-2</v>
      </c>
      <c r="AG9" s="79">
        <v>0.84799999999999998</v>
      </c>
      <c r="AH9" s="79">
        <v>8.4000000000000005E-2</v>
      </c>
      <c r="AI9" s="79">
        <v>0.48599999999999999</v>
      </c>
      <c r="AJ9" s="79">
        <v>7.5999999999999998E-2</v>
      </c>
      <c r="AK9" s="79">
        <v>0.84799999999999998</v>
      </c>
      <c r="AL9" s="79">
        <v>8.4000000000000005E-2</v>
      </c>
      <c r="AM9" s="79">
        <v>0.48599999999999999</v>
      </c>
      <c r="AN9" s="79">
        <v>7.5999999999999998E-2</v>
      </c>
      <c r="AO9" s="79">
        <v>0.84799999999999998</v>
      </c>
      <c r="AP9" s="79">
        <v>8.4000000000000005E-2</v>
      </c>
      <c r="AQ9" s="79">
        <v>0.48599999999999999</v>
      </c>
      <c r="AR9" s="79">
        <v>7.5999999999999998E-2</v>
      </c>
      <c r="AS9" s="79">
        <v>0.84799999999999998</v>
      </c>
      <c r="AT9" s="79">
        <v>8.4000000000000005E-2</v>
      </c>
      <c r="AU9" s="79">
        <v>0.48599999999999999</v>
      </c>
    </row>
    <row r="10" spans="1:47" x14ac:dyDescent="0.2">
      <c r="A10" s="72" t="s">
        <v>282</v>
      </c>
      <c r="B10" s="72">
        <v>2552</v>
      </c>
      <c r="C10" s="72">
        <v>31.7</v>
      </c>
      <c r="D10" s="115">
        <v>39</v>
      </c>
      <c r="E10" s="115">
        <v>1</v>
      </c>
      <c r="F10" s="71" t="s">
        <v>157</v>
      </c>
      <c r="G10" s="80">
        <v>40</v>
      </c>
      <c r="H10" s="79">
        <v>5.2999999999999999E-2</v>
      </c>
      <c r="I10" s="79">
        <v>0.49199999999999999</v>
      </c>
      <c r="J10" s="79">
        <v>0.11899999999999999</v>
      </c>
      <c r="K10" s="79">
        <v>0.67600000000000005</v>
      </c>
      <c r="L10" s="72">
        <v>2552</v>
      </c>
      <c r="M10" s="72">
        <v>31.7</v>
      </c>
      <c r="N10" s="115">
        <v>39</v>
      </c>
      <c r="O10" s="115">
        <v>1</v>
      </c>
      <c r="P10" s="80">
        <v>40</v>
      </c>
      <c r="Q10" s="72">
        <v>2552</v>
      </c>
      <c r="R10" s="72">
        <v>31.7</v>
      </c>
      <c r="S10" s="115">
        <v>39</v>
      </c>
      <c r="T10" s="115">
        <v>1</v>
      </c>
      <c r="U10" s="80">
        <v>40</v>
      </c>
      <c r="V10" s="72">
        <v>2552</v>
      </c>
      <c r="W10" s="72">
        <v>31.7</v>
      </c>
      <c r="X10" s="115">
        <v>39</v>
      </c>
      <c r="Y10" s="115">
        <v>1</v>
      </c>
      <c r="Z10" s="80">
        <v>40</v>
      </c>
      <c r="AA10" s="72">
        <v>2552</v>
      </c>
      <c r="AB10" s="72">
        <v>31.7</v>
      </c>
      <c r="AC10" s="115">
        <v>39</v>
      </c>
      <c r="AD10" s="115">
        <v>1</v>
      </c>
      <c r="AE10" s="80">
        <v>40</v>
      </c>
      <c r="AF10" s="79">
        <v>5.2999999999999999E-2</v>
      </c>
      <c r="AG10" s="79">
        <v>0.49199999999999999</v>
      </c>
      <c r="AH10" s="79">
        <v>0.11899999999999999</v>
      </c>
      <c r="AI10" s="79">
        <v>0.67600000000000005</v>
      </c>
      <c r="AJ10" s="79">
        <v>5.2999999999999999E-2</v>
      </c>
      <c r="AK10" s="79">
        <v>0.49199999999999999</v>
      </c>
      <c r="AL10" s="79">
        <v>0.11899999999999999</v>
      </c>
      <c r="AM10" s="79">
        <v>0.67600000000000005</v>
      </c>
      <c r="AN10" s="79">
        <v>5.2999999999999999E-2</v>
      </c>
      <c r="AO10" s="79">
        <v>0.49199999999999999</v>
      </c>
      <c r="AP10" s="79">
        <v>0.11899999999999999</v>
      </c>
      <c r="AQ10" s="79">
        <v>0.67600000000000005</v>
      </c>
      <c r="AR10" s="79">
        <v>5.2999999999999999E-2</v>
      </c>
      <c r="AS10" s="79">
        <v>0.49199999999999999</v>
      </c>
      <c r="AT10" s="79">
        <v>0.11899999999999999</v>
      </c>
      <c r="AU10" s="79">
        <v>0.67600000000000005</v>
      </c>
    </row>
    <row r="11" spans="1:47" x14ac:dyDescent="0.2">
      <c r="A11" s="72" t="s">
        <v>280</v>
      </c>
      <c r="B11" s="72">
        <v>1716</v>
      </c>
      <c r="C11" s="72">
        <v>18.7</v>
      </c>
      <c r="D11" s="115">
        <v>0</v>
      </c>
      <c r="E11" s="115">
        <v>12</v>
      </c>
      <c r="F11" s="71" t="s">
        <v>158</v>
      </c>
      <c r="G11" s="80">
        <v>12</v>
      </c>
      <c r="H11" s="79">
        <v>0.17799999999999999</v>
      </c>
      <c r="I11" s="79">
        <v>0.69499999999999995</v>
      </c>
      <c r="J11" s="79">
        <v>0.17</v>
      </c>
      <c r="K11" s="79">
        <v>0.52</v>
      </c>
      <c r="L11" s="72">
        <v>1716</v>
      </c>
      <c r="M11" s="72">
        <v>18.7</v>
      </c>
      <c r="N11" s="115">
        <v>0</v>
      </c>
      <c r="O11" s="115">
        <v>12</v>
      </c>
      <c r="P11" s="80">
        <v>12</v>
      </c>
      <c r="Q11" s="72">
        <v>1716</v>
      </c>
      <c r="R11" s="72">
        <v>18.7</v>
      </c>
      <c r="S11" s="115">
        <v>0</v>
      </c>
      <c r="T11" s="115">
        <v>12</v>
      </c>
      <c r="U11" s="80">
        <v>12</v>
      </c>
      <c r="V11" s="72">
        <v>1716</v>
      </c>
      <c r="W11" s="72">
        <v>18.7</v>
      </c>
      <c r="X11" s="115">
        <v>0</v>
      </c>
      <c r="Y11" s="115">
        <v>12</v>
      </c>
      <c r="Z11" s="80">
        <v>12</v>
      </c>
      <c r="AA11" s="72">
        <v>1716</v>
      </c>
      <c r="AB11" s="72">
        <v>18.7</v>
      </c>
      <c r="AC11" s="115">
        <v>0</v>
      </c>
      <c r="AD11" s="115">
        <v>12</v>
      </c>
      <c r="AE11" s="80">
        <v>12</v>
      </c>
      <c r="AF11" s="79">
        <v>0.17799999999999999</v>
      </c>
      <c r="AG11" s="79">
        <v>0.69499999999999995</v>
      </c>
      <c r="AH11" s="79">
        <v>0.17</v>
      </c>
      <c r="AI11" s="79">
        <v>0.52</v>
      </c>
      <c r="AJ11" s="79">
        <v>0.17799999999999999</v>
      </c>
      <c r="AK11" s="79">
        <v>0.69499999999999995</v>
      </c>
      <c r="AL11" s="79">
        <v>0.17</v>
      </c>
      <c r="AM11" s="79">
        <v>0.52</v>
      </c>
      <c r="AN11" s="79">
        <v>0.17799999999999999</v>
      </c>
      <c r="AO11" s="79">
        <v>0.69499999999999995</v>
      </c>
      <c r="AP11" s="79">
        <v>0.17</v>
      </c>
      <c r="AQ11" s="79">
        <v>0.52</v>
      </c>
      <c r="AR11" s="79">
        <v>0.17799999999999999</v>
      </c>
      <c r="AS11" s="79">
        <v>0.69499999999999995</v>
      </c>
      <c r="AT11" s="79">
        <v>0.17</v>
      </c>
      <c r="AU11" s="79">
        <v>0.52</v>
      </c>
    </row>
  </sheetData>
  <mergeCells count="14">
    <mergeCell ref="AN3:AQ3"/>
    <mergeCell ref="AR3:AU3"/>
    <mergeCell ref="L1:AE1"/>
    <mergeCell ref="AF1:AU1"/>
    <mergeCell ref="Q3:U3"/>
    <mergeCell ref="V3:Z3"/>
    <mergeCell ref="AA3:AE3"/>
    <mergeCell ref="L3:P3"/>
    <mergeCell ref="B1:C1"/>
    <mergeCell ref="H1:K1"/>
    <mergeCell ref="D1:E1"/>
    <mergeCell ref="AF3:AI3"/>
    <mergeCell ref="AJ3:AM3"/>
    <mergeCell ref="H2:K2"/>
  </mergeCells>
  <phoneticPr fontId="7" type="noConversion"/>
  <conditionalFormatting sqref="H4">
    <cfRule type="cellIs" dxfId="42" priority="119" operator="greaterThan">
      <formula>0.7</formula>
    </cfRule>
  </conditionalFormatting>
  <conditionalFormatting sqref="H4:K11">
    <cfRule type="cellIs" dxfId="41" priority="120" operator="greaterThan">
      <formula>0.75</formula>
    </cfRule>
    <cfRule type="cellIs" dxfId="40" priority="118" operator="between">
      <formula>0.5</formula>
      <formula>0.7</formula>
    </cfRule>
    <cfRule type="cellIs" dxfId="39" priority="117" operator="between">
      <formula>50</formula>
      <formula>70</formula>
    </cfRule>
    <cfRule type="cellIs" dxfId="38" priority="115" operator="lessThan">
      <formula>0.5</formula>
    </cfRule>
    <cfRule type="cellIs" dxfId="37" priority="116" operator="greaterThan">
      <formula>0.7</formula>
    </cfRule>
    <cfRule type="cellIs" dxfId="36" priority="111" operator="between">
      <formula>0.5</formula>
      <formula>0.7</formula>
    </cfRule>
    <cfRule type="cellIs" dxfId="35" priority="114" operator="between">
      <formula>0.5</formula>
      <formula>0.7</formula>
    </cfRule>
    <cfRule type="cellIs" dxfId="34" priority="113" operator="lessThan">
      <formula>0.5</formula>
    </cfRule>
    <cfRule type="cellIs" dxfId="33" priority="112" operator="greaterThan">
      <formula>0.7</formula>
    </cfRule>
    <cfRule type="cellIs" dxfId="32" priority="121" operator="greaterThan">
      <formula>70</formula>
    </cfRule>
  </conditionalFormatting>
  <conditionalFormatting sqref="M14:M16">
    <cfRule type="cellIs" dxfId="31" priority="57" operator="equal">
      <formula>"&lt;50%"</formula>
    </cfRule>
    <cfRule type="cellIs" dxfId="30" priority="58" operator="equal">
      <formula>"&gt;70%"</formula>
    </cfRule>
    <cfRule type="cellIs" dxfId="29" priority="59" operator="equal">
      <formula>"[50%, 70%]"</formula>
    </cfRule>
    <cfRule type="cellIs" dxfId="28" priority="60" operator="equal">
      <formula>"&lt;50%"</formula>
    </cfRule>
    <cfRule type="cellIs" dxfId="27" priority="62" operator="greaterThan">
      <formula>0.7</formula>
    </cfRule>
    <cfRule type="cellIs" dxfId="26" priority="63" operator="equal">
      <formula>"[50%, 70%]"</formula>
    </cfRule>
    <cfRule type="containsText" dxfId="25" priority="64" operator="containsText" text="50%,70%">
      <formula>NOT(ISERROR(SEARCH("50%,70%",M14)))</formula>
    </cfRule>
    <cfRule type="cellIs" dxfId="24" priority="65" operator="equal">
      <formula>"&lt;50%"</formula>
    </cfRule>
    <cfRule type="cellIs" dxfId="23" priority="66" operator="equal">
      <formula>"&gt;70%"</formula>
    </cfRule>
    <cfRule type="cellIs" dxfId="22" priority="56" operator="equal">
      <formula>"[50%, 70%]"</formula>
    </cfRule>
    <cfRule type="cellIs" dxfId="21" priority="61" operator="equal">
      <formula>"&gt;70%"</formula>
    </cfRule>
  </conditionalFormatting>
  <conditionalFormatting sqref="AF4">
    <cfRule type="cellIs" dxfId="20" priority="20" operator="greaterThan">
      <formula>0.7</formula>
    </cfRule>
  </conditionalFormatting>
  <conditionalFormatting sqref="AF4:AI11">
    <cfRule type="cellIs" dxfId="19" priority="18" operator="between">
      <formula>50</formula>
      <formula>70</formula>
    </cfRule>
    <cfRule type="cellIs" dxfId="18" priority="15" operator="between">
      <formula>0.5</formula>
      <formula>0.7</formula>
    </cfRule>
  </conditionalFormatting>
  <conditionalFormatting sqref="AF4:AM11">
    <cfRule type="cellIs" dxfId="17" priority="19" operator="between">
      <formula>0.5</formula>
      <formula>0.7</formula>
    </cfRule>
  </conditionalFormatting>
  <conditionalFormatting sqref="AF4:AU11">
    <cfRule type="cellIs" dxfId="16" priority="1" operator="between">
      <formula>0.5</formula>
      <formula>0.7</formula>
    </cfRule>
    <cfRule type="cellIs" dxfId="15" priority="2" operator="greaterThan">
      <formula>0.7</formula>
    </cfRule>
    <cfRule type="cellIs" dxfId="14" priority="3" operator="lessThan">
      <formula>0.5</formula>
    </cfRule>
    <cfRule type="cellIs" dxfId="13" priority="5" operator="lessThan">
      <formula>0.5</formula>
    </cfRule>
    <cfRule type="cellIs" dxfId="12" priority="10" operator="greaterThan">
      <formula>0.75</formula>
    </cfRule>
    <cfRule type="cellIs" dxfId="11" priority="6" operator="greaterThan">
      <formula>0.7</formula>
    </cfRule>
    <cfRule type="cellIs" dxfId="10" priority="11" operator="greaterThan">
      <formula>70</formula>
    </cfRule>
  </conditionalFormatting>
  <conditionalFormatting sqref="AJ4">
    <cfRule type="cellIs" dxfId="9" priority="31" operator="greaterThan">
      <formula>0.7</formula>
    </cfRule>
  </conditionalFormatting>
  <conditionalFormatting sqref="AJ4:AM11">
    <cfRule type="cellIs" dxfId="8" priority="29" operator="between">
      <formula>50</formula>
      <formula>70</formula>
    </cfRule>
  </conditionalFormatting>
  <conditionalFormatting sqref="AJ4:AQ11">
    <cfRule type="cellIs" dxfId="7" priority="30" operator="between">
      <formula>0.5</formula>
      <formula>0.7</formula>
    </cfRule>
  </conditionalFormatting>
  <conditionalFormatting sqref="AN4">
    <cfRule type="cellIs" dxfId="6" priority="42" operator="greaterThan">
      <formula>0.7</formula>
    </cfRule>
  </conditionalFormatting>
  <conditionalFormatting sqref="AN4:AQ11">
    <cfRule type="cellIs" dxfId="5" priority="41" operator="between">
      <formula>0.5</formula>
      <formula>0.7</formula>
    </cfRule>
    <cfRule type="cellIs" dxfId="4" priority="40" operator="between">
      <formula>50</formula>
      <formula>70</formula>
    </cfRule>
  </conditionalFormatting>
  <conditionalFormatting sqref="AR4">
    <cfRule type="cellIs" dxfId="3" priority="9" operator="greaterThan">
      <formula>0.7</formula>
    </cfRule>
  </conditionalFormatting>
  <conditionalFormatting sqref="AR4:AU11">
    <cfRule type="cellIs" dxfId="2" priority="4" operator="between">
      <formula>0.5</formula>
      <formula>0.7</formula>
    </cfRule>
    <cfRule type="cellIs" dxfId="1" priority="7" operator="between">
      <formula>50</formula>
      <formula>70</formula>
    </cfRule>
    <cfRule type="cellIs" dxfId="0" priority="8" operator="between">
      <formula>0.5</formula>
      <formula>0.7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zoomScaleNormal="100" workbookViewId="0">
      <selection activeCell="Q32" sqref="Q32"/>
    </sheetView>
  </sheetViews>
  <sheetFormatPr defaultColWidth="8.75" defaultRowHeight="14.25" x14ac:dyDescent="0.2"/>
  <cols>
    <col min="1" max="1" width="12.875" style="1" customWidth="1"/>
    <col min="2" max="2" width="13.25" style="1" customWidth="1"/>
    <col min="3" max="3" width="12.375" style="1" customWidth="1"/>
    <col min="4" max="4" width="19.125" style="1" customWidth="1"/>
    <col min="5" max="5" width="14" style="1" customWidth="1"/>
    <col min="6" max="6" width="8.125" style="10" customWidth="1"/>
    <col min="7" max="7" width="32.875" style="1" customWidth="1"/>
    <col min="8" max="8" width="12.75" style="1" customWidth="1"/>
    <col min="9" max="10" width="13.5" style="11" customWidth="1"/>
    <col min="11" max="11" width="12.37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75" style="1" customWidth="1"/>
    <col min="59" max="16384" width="8.75" style="1"/>
  </cols>
  <sheetData>
    <row r="1" spans="1:14" ht="34.5" customHeigh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34" t="s">
        <v>131</v>
      </c>
      <c r="J1" s="334"/>
      <c r="K1" s="332" t="s">
        <v>120</v>
      </c>
      <c r="L1" s="332"/>
      <c r="M1" s="332"/>
      <c r="N1" s="333"/>
    </row>
    <row r="2" spans="1:14" ht="81.599999999999994" customHeight="1" x14ac:dyDescent="0.2">
      <c r="A2" s="3" t="s">
        <v>0</v>
      </c>
      <c r="B2" s="3" t="s">
        <v>1</v>
      </c>
      <c r="C2" s="3" t="s">
        <v>2</v>
      </c>
      <c r="D2" s="3" t="s">
        <v>150</v>
      </c>
      <c r="E2" s="3" t="s">
        <v>9</v>
      </c>
      <c r="F2" s="31" t="s">
        <v>119</v>
      </c>
      <c r="G2" s="3" t="s">
        <v>10</v>
      </c>
      <c r="H2" s="3" t="s">
        <v>29</v>
      </c>
      <c r="I2" s="200" t="s">
        <v>122</v>
      </c>
      <c r="J2" s="200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2">
      <c r="A3" s="335" t="s">
        <v>15</v>
      </c>
      <c r="B3" s="15" t="s">
        <v>44</v>
      </c>
      <c r="C3" s="15" t="s">
        <v>45</v>
      </c>
      <c r="D3" s="15" t="s">
        <v>46</v>
      </c>
      <c r="E3" s="195">
        <v>100</v>
      </c>
      <c r="F3" s="181">
        <f>SUM(E3:E6)</f>
        <v>445</v>
      </c>
      <c r="G3" s="15" t="s">
        <v>11</v>
      </c>
      <c r="H3" s="16" t="s">
        <v>31</v>
      </c>
      <c r="I3" s="199">
        <v>0.39</v>
      </c>
      <c r="J3" s="52"/>
      <c r="K3" s="27">
        <f>E3*I3</f>
        <v>39</v>
      </c>
      <c r="L3" s="27">
        <f>SUM(K3:K6)</f>
        <v>289.03000000000003</v>
      </c>
      <c r="M3" s="37">
        <f ca="1">F3/E52</f>
        <v>2.0456008090466122E-2</v>
      </c>
      <c r="N3" s="41">
        <f>L3/F3</f>
        <v>0.64950561797752815</v>
      </c>
    </row>
    <row r="4" spans="1:14" ht="14.25" customHeight="1" x14ac:dyDescent="0.2">
      <c r="A4" s="335"/>
      <c r="B4" s="15" t="s">
        <v>44</v>
      </c>
      <c r="C4" s="15" t="s">
        <v>45</v>
      </c>
      <c r="D4" s="15" t="s">
        <v>47</v>
      </c>
      <c r="E4" s="195">
        <v>320</v>
      </c>
      <c r="F4" s="181"/>
      <c r="G4" s="15" t="s">
        <v>12</v>
      </c>
      <c r="H4" s="16" t="s">
        <v>31</v>
      </c>
      <c r="I4" s="199">
        <v>0.71399999999999997</v>
      </c>
      <c r="J4" s="52"/>
      <c r="K4" s="27">
        <f t="shared" ref="K4:K49" si="0">E4*I4</f>
        <v>228.48</v>
      </c>
      <c r="L4" s="27"/>
      <c r="M4" s="37"/>
      <c r="N4" s="41"/>
    </row>
    <row r="5" spans="1:14" ht="14.25" customHeight="1" x14ac:dyDescent="0.2">
      <c r="A5" s="335"/>
      <c r="B5" s="15" t="s">
        <v>44</v>
      </c>
      <c r="C5" s="15" t="s">
        <v>45</v>
      </c>
      <c r="D5" s="15" t="s">
        <v>48</v>
      </c>
      <c r="E5" s="195">
        <v>0</v>
      </c>
      <c r="F5" s="181"/>
      <c r="G5" s="15" t="s">
        <v>49</v>
      </c>
      <c r="H5" s="16" t="s">
        <v>31</v>
      </c>
      <c r="I5" s="199">
        <v>0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2">
      <c r="A6" s="335"/>
      <c r="B6" s="15" t="s">
        <v>44</v>
      </c>
      <c r="C6" s="15" t="s">
        <v>45</v>
      </c>
      <c r="D6" s="15" t="s">
        <v>50</v>
      </c>
      <c r="E6" s="195">
        <v>25</v>
      </c>
      <c r="F6" s="181"/>
      <c r="G6" s="15" t="s">
        <v>51</v>
      </c>
      <c r="H6" s="16" t="s">
        <v>31</v>
      </c>
      <c r="I6" s="199">
        <v>0.86199999999999999</v>
      </c>
      <c r="J6" s="52"/>
      <c r="K6" s="27">
        <f t="shared" si="0"/>
        <v>21.55</v>
      </c>
      <c r="L6" s="27"/>
      <c r="M6" s="37"/>
      <c r="N6" s="41"/>
    </row>
    <row r="7" spans="1:14" ht="14.25" customHeight="1" x14ac:dyDescent="0.2">
      <c r="A7" s="335" t="s">
        <v>21</v>
      </c>
      <c r="B7" s="17" t="s">
        <v>22</v>
      </c>
      <c r="C7" s="17" t="s">
        <v>103</v>
      </c>
      <c r="D7" s="17" t="s">
        <v>104</v>
      </c>
      <c r="E7" s="196">
        <v>100</v>
      </c>
      <c r="F7" s="132">
        <f>SUM(E7:E10)</f>
        <v>700</v>
      </c>
      <c r="G7" s="17" t="s">
        <v>108</v>
      </c>
      <c r="H7" s="18" t="s">
        <v>30</v>
      </c>
      <c r="I7" s="65">
        <v>0.21299999999999999</v>
      </c>
      <c r="J7" s="51"/>
      <c r="K7" s="27">
        <f t="shared" si="0"/>
        <v>21.3</v>
      </c>
      <c r="L7" s="27">
        <f>SUM(K7:K10)</f>
        <v>340.50000000000006</v>
      </c>
      <c r="M7" s="37">
        <f ca="1">F7/E52</f>
        <v>3.2177990254665806E-2</v>
      </c>
      <c r="N7" s="41">
        <f>L7/F7</f>
        <v>0.48642857142857149</v>
      </c>
    </row>
    <row r="8" spans="1:14" ht="14.25" customHeight="1" x14ac:dyDescent="0.2">
      <c r="A8" s="335"/>
      <c r="B8" s="17" t="s">
        <v>22</v>
      </c>
      <c r="C8" s="17" t="s">
        <v>103</v>
      </c>
      <c r="D8" s="17" t="s">
        <v>107</v>
      </c>
      <c r="E8" s="196">
        <v>0</v>
      </c>
      <c r="F8" s="132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2">
      <c r="A9" s="335"/>
      <c r="B9" s="17" t="s">
        <v>22</v>
      </c>
      <c r="C9" s="17" t="s">
        <v>103</v>
      </c>
      <c r="D9" s="17" t="s">
        <v>105</v>
      </c>
      <c r="E9" s="254">
        <v>600</v>
      </c>
      <c r="F9" s="132"/>
      <c r="G9" s="17" t="s">
        <v>110</v>
      </c>
      <c r="H9" s="18" t="s">
        <v>30</v>
      </c>
      <c r="I9" s="65">
        <v>0.53200000000000003</v>
      </c>
      <c r="J9" s="51"/>
      <c r="K9" s="27">
        <f t="shared" si="0"/>
        <v>319.20000000000005</v>
      </c>
      <c r="L9" s="27"/>
      <c r="M9" s="37"/>
      <c r="N9" s="41"/>
    </row>
    <row r="10" spans="1:14" ht="14.25" customHeight="1" x14ac:dyDescent="0.2">
      <c r="A10" s="335"/>
      <c r="B10" s="17" t="s">
        <v>22</v>
      </c>
      <c r="C10" s="17" t="s">
        <v>103</v>
      </c>
      <c r="D10" s="17" t="s">
        <v>106</v>
      </c>
      <c r="E10" s="196">
        <v>0</v>
      </c>
      <c r="F10" s="132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2">
      <c r="A11" s="335"/>
      <c r="B11" s="6" t="s">
        <v>21</v>
      </c>
      <c r="C11" s="6" t="s">
        <v>85</v>
      </c>
      <c r="D11" s="6" t="s">
        <v>86</v>
      </c>
      <c r="E11" s="197">
        <v>300</v>
      </c>
      <c r="F11" s="182">
        <f>SUM(E11:E20)</f>
        <v>14100</v>
      </c>
      <c r="G11" s="6" t="s">
        <v>87</v>
      </c>
      <c r="H11" s="14" t="s">
        <v>30</v>
      </c>
      <c r="I11" s="65">
        <v>0.27400000000000002</v>
      </c>
      <c r="J11" s="51"/>
      <c r="K11" s="27">
        <f t="shared" si="0"/>
        <v>82.2</v>
      </c>
      <c r="L11" s="27">
        <f>SUM(K11:K20)</f>
        <v>12240.000000000002</v>
      </c>
      <c r="M11" s="37">
        <f ca="1">F11/E52</f>
        <v>0.64815666084398271</v>
      </c>
      <c r="N11" s="41">
        <f>L11/F11</f>
        <v>0.86808510638297887</v>
      </c>
    </row>
    <row r="12" spans="1:14" ht="14.25" customHeight="1" x14ac:dyDescent="0.2">
      <c r="A12" s="335"/>
      <c r="B12" s="6" t="s">
        <v>21</v>
      </c>
      <c r="C12" s="6" t="s">
        <v>85</v>
      </c>
      <c r="D12" s="19" t="s">
        <v>88</v>
      </c>
      <c r="E12" s="197">
        <v>10000</v>
      </c>
      <c r="F12" s="182"/>
      <c r="G12" s="6" t="s">
        <v>89</v>
      </c>
      <c r="H12" s="14" t="s">
        <v>30</v>
      </c>
      <c r="I12" s="65">
        <v>0.92900000000000005</v>
      </c>
      <c r="J12" s="51"/>
      <c r="K12" s="27">
        <f t="shared" si="0"/>
        <v>9290</v>
      </c>
      <c r="L12" s="27"/>
      <c r="M12" s="37"/>
      <c r="N12" s="41"/>
    </row>
    <row r="13" spans="1:14" ht="14.25" customHeight="1" x14ac:dyDescent="0.2">
      <c r="A13" s="335"/>
      <c r="B13" s="6" t="s">
        <v>21</v>
      </c>
      <c r="C13" s="6" t="s">
        <v>85</v>
      </c>
      <c r="D13" s="19" t="s">
        <v>43</v>
      </c>
      <c r="E13" s="197">
        <v>2000</v>
      </c>
      <c r="F13" s="182"/>
      <c r="G13" s="6" t="s">
        <v>90</v>
      </c>
      <c r="H13" s="14" t="s">
        <v>30</v>
      </c>
      <c r="I13" s="65">
        <v>0.98</v>
      </c>
      <c r="J13" s="51"/>
      <c r="K13" s="27">
        <f t="shared" si="0"/>
        <v>1960</v>
      </c>
      <c r="L13" s="27"/>
      <c r="M13" s="37"/>
      <c r="N13" s="41"/>
    </row>
    <row r="14" spans="1:14" ht="14.25" customHeight="1" x14ac:dyDescent="0.2">
      <c r="A14" s="335"/>
      <c r="B14" s="6" t="s">
        <v>21</v>
      </c>
      <c r="C14" s="6" t="s">
        <v>85</v>
      </c>
      <c r="D14" s="19" t="s">
        <v>91</v>
      </c>
      <c r="E14" s="197">
        <v>800</v>
      </c>
      <c r="F14" s="182"/>
      <c r="G14" s="6" t="s">
        <v>92</v>
      </c>
      <c r="H14" s="14" t="s">
        <v>30</v>
      </c>
      <c r="I14" s="65">
        <v>0.73399999999999999</v>
      </c>
      <c r="J14" s="51"/>
      <c r="K14" s="27">
        <f t="shared" si="0"/>
        <v>587.20000000000005</v>
      </c>
      <c r="L14" s="27"/>
      <c r="M14" s="37"/>
      <c r="N14" s="41"/>
    </row>
    <row r="15" spans="1:14" ht="14.25" customHeight="1" x14ac:dyDescent="0.2">
      <c r="A15" s="335"/>
      <c r="B15" s="6" t="s">
        <v>21</v>
      </c>
      <c r="C15" s="6" t="s">
        <v>85</v>
      </c>
      <c r="D15" s="19" t="s">
        <v>93</v>
      </c>
      <c r="E15" s="197">
        <v>0</v>
      </c>
      <c r="F15" s="182"/>
      <c r="G15" s="6" t="s">
        <v>94</v>
      </c>
      <c r="H15" s="14" t="s">
        <v>30</v>
      </c>
      <c r="I15" s="256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2">
      <c r="A16" s="335"/>
      <c r="B16" s="6" t="s">
        <v>21</v>
      </c>
      <c r="C16" s="6" t="s">
        <v>85</v>
      </c>
      <c r="D16" s="19" t="s">
        <v>102</v>
      </c>
      <c r="E16" s="197">
        <v>300</v>
      </c>
      <c r="F16" s="182"/>
      <c r="G16" s="19" t="s">
        <v>95</v>
      </c>
      <c r="H16" s="14" t="s">
        <v>30</v>
      </c>
      <c r="I16" s="65">
        <v>0.46400000000000002</v>
      </c>
      <c r="J16" s="51"/>
      <c r="K16" s="27">
        <f t="shared" si="0"/>
        <v>139.20000000000002</v>
      </c>
      <c r="L16" s="27"/>
      <c r="M16" s="37"/>
      <c r="N16" s="41"/>
    </row>
    <row r="17" spans="1:14" ht="14.25" customHeight="1" x14ac:dyDescent="0.2">
      <c r="A17" s="335"/>
      <c r="B17" s="6" t="s">
        <v>21</v>
      </c>
      <c r="C17" s="6" t="s">
        <v>85</v>
      </c>
      <c r="D17" s="19" t="s">
        <v>96</v>
      </c>
      <c r="E17" s="197">
        <v>0</v>
      </c>
      <c r="F17" s="182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2">
      <c r="A18" s="335"/>
      <c r="B18" s="6" t="s">
        <v>21</v>
      </c>
      <c r="C18" s="6" t="s">
        <v>85</v>
      </c>
      <c r="D18" s="19" t="s">
        <v>98</v>
      </c>
      <c r="E18" s="196">
        <v>300</v>
      </c>
      <c r="F18" s="182"/>
      <c r="G18" s="6" t="s">
        <v>99</v>
      </c>
      <c r="H18" s="14" t="s">
        <v>30</v>
      </c>
      <c r="I18" s="65">
        <v>0.34200000000000003</v>
      </c>
      <c r="J18" s="51"/>
      <c r="K18" s="27">
        <f t="shared" si="0"/>
        <v>102.60000000000001</v>
      </c>
      <c r="L18" s="27"/>
      <c r="M18" s="37"/>
      <c r="N18" s="41"/>
    </row>
    <row r="19" spans="1:14" ht="14.25" customHeight="1" x14ac:dyDescent="0.2">
      <c r="A19" s="335"/>
      <c r="B19" s="6" t="s">
        <v>21</v>
      </c>
      <c r="C19" s="6" t="s">
        <v>85</v>
      </c>
      <c r="D19" s="19" t="s">
        <v>100</v>
      </c>
      <c r="E19" s="196">
        <v>400</v>
      </c>
      <c r="F19" s="182"/>
      <c r="G19" s="6" t="s">
        <v>101</v>
      </c>
      <c r="H19" s="14" t="s">
        <v>30</v>
      </c>
      <c r="I19" s="65">
        <v>0.19700000000000001</v>
      </c>
      <c r="J19" s="51"/>
      <c r="K19" s="27">
        <f t="shared" si="0"/>
        <v>78.8</v>
      </c>
      <c r="L19" s="27"/>
      <c r="M19" s="37"/>
      <c r="N19" s="41"/>
    </row>
    <row r="20" spans="1:14" ht="14.25" customHeight="1" x14ac:dyDescent="0.2">
      <c r="A20" s="9"/>
      <c r="B20" s="6" t="s">
        <v>21</v>
      </c>
      <c r="C20" s="6" t="s">
        <v>85</v>
      </c>
      <c r="D20" s="19" t="s">
        <v>239</v>
      </c>
      <c r="E20" s="196">
        <v>0</v>
      </c>
      <c r="F20" s="182"/>
      <c r="G20" s="6" t="s">
        <v>240</v>
      </c>
      <c r="H20" s="14" t="s">
        <v>30</v>
      </c>
      <c r="I20" s="256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2">
      <c r="A21" s="335" t="s">
        <v>17</v>
      </c>
      <c r="B21" s="17" t="s">
        <v>23</v>
      </c>
      <c r="C21" s="17" t="s">
        <v>80</v>
      </c>
      <c r="D21" s="17" t="s">
        <v>73</v>
      </c>
      <c r="E21" s="196">
        <v>64</v>
      </c>
      <c r="F21" s="132">
        <f>SUM(E21:E22)</f>
        <v>564</v>
      </c>
      <c r="G21" s="17" t="s">
        <v>74</v>
      </c>
      <c r="H21" s="18" t="s">
        <v>30</v>
      </c>
      <c r="I21" s="65">
        <v>0.42699999999999999</v>
      </c>
      <c r="J21" s="51"/>
      <c r="K21" s="27">
        <f t="shared" si="0"/>
        <v>27.327999999999999</v>
      </c>
      <c r="L21" s="27">
        <f>SUM(K21:K22)</f>
        <v>211.828</v>
      </c>
      <c r="M21" s="37">
        <f ca="1">F21/E52</f>
        <v>2.592626643375931E-2</v>
      </c>
      <c r="N21" s="41">
        <f>L21/F21</f>
        <v>0.37558156028368794</v>
      </c>
    </row>
    <row r="22" spans="1:14" ht="14.25" customHeight="1" x14ac:dyDescent="0.2">
      <c r="A22" s="335"/>
      <c r="B22" s="17" t="s">
        <v>23</v>
      </c>
      <c r="C22" s="17" t="s">
        <v>80</v>
      </c>
      <c r="D22" s="17" t="s">
        <v>39</v>
      </c>
      <c r="E22" s="197">
        <v>500</v>
      </c>
      <c r="F22" s="132"/>
      <c r="G22" s="17" t="s">
        <v>75</v>
      </c>
      <c r="H22" s="18" t="s">
        <v>30</v>
      </c>
      <c r="I22" s="65">
        <v>0.36899999999999999</v>
      </c>
      <c r="J22" s="51"/>
      <c r="K22" s="27">
        <f t="shared" si="0"/>
        <v>184.5</v>
      </c>
      <c r="L22" s="27"/>
      <c r="M22" s="37"/>
      <c r="N22" s="41"/>
    </row>
    <row r="23" spans="1:14" ht="14.25" customHeight="1" x14ac:dyDescent="0.2">
      <c r="A23" s="335"/>
      <c r="B23" s="6" t="s">
        <v>6</v>
      </c>
      <c r="C23" s="6" t="s">
        <v>25</v>
      </c>
      <c r="D23" s="6" t="s">
        <v>7</v>
      </c>
      <c r="E23" s="196">
        <v>50</v>
      </c>
      <c r="F23" s="182">
        <f>SUM(E23:E26)</f>
        <v>1000</v>
      </c>
      <c r="G23" s="6" t="s">
        <v>11</v>
      </c>
      <c r="H23" s="14" t="s">
        <v>31</v>
      </c>
      <c r="I23" s="65">
        <v>0.33500000000000002</v>
      </c>
      <c r="J23" s="51"/>
      <c r="K23" s="27">
        <f t="shared" si="0"/>
        <v>16.75</v>
      </c>
      <c r="L23" s="27">
        <f>SUM(K23:K26)</f>
        <v>819.4</v>
      </c>
      <c r="M23" s="37">
        <f ca="1">F23/E52</f>
        <v>4.5968557506665439E-2</v>
      </c>
      <c r="N23" s="41">
        <f>L23/F23</f>
        <v>0.81940000000000002</v>
      </c>
    </row>
    <row r="24" spans="1:14" ht="14.25" customHeight="1" x14ac:dyDescent="0.2">
      <c r="A24" s="335"/>
      <c r="B24" s="6" t="s">
        <v>6</v>
      </c>
      <c r="C24" s="6" t="s">
        <v>25</v>
      </c>
      <c r="D24" s="6" t="s">
        <v>8</v>
      </c>
      <c r="E24" s="255">
        <v>750</v>
      </c>
      <c r="F24" s="182"/>
      <c r="G24" s="6" t="s">
        <v>12</v>
      </c>
      <c r="H24" s="14" t="s">
        <v>31</v>
      </c>
      <c r="I24" s="65">
        <v>0.99399999999999999</v>
      </c>
      <c r="J24" s="51"/>
      <c r="K24" s="27">
        <f t="shared" si="0"/>
        <v>745.5</v>
      </c>
      <c r="L24" s="27"/>
      <c r="M24" s="37"/>
      <c r="N24" s="41"/>
    </row>
    <row r="25" spans="1:14" ht="14.25" customHeight="1" x14ac:dyDescent="0.2">
      <c r="A25" s="335"/>
      <c r="B25" s="6" t="s">
        <v>6</v>
      </c>
      <c r="C25" s="6" t="s">
        <v>26</v>
      </c>
      <c r="D25" s="6" t="s">
        <v>27</v>
      </c>
      <c r="E25" s="196">
        <v>50</v>
      </c>
      <c r="F25" s="182"/>
      <c r="G25" s="6" t="s">
        <v>11</v>
      </c>
      <c r="H25" s="14" t="s">
        <v>31</v>
      </c>
      <c r="I25" s="65">
        <v>0.58799999999999997</v>
      </c>
      <c r="J25" s="51"/>
      <c r="K25" s="27">
        <f t="shared" si="0"/>
        <v>29.4</v>
      </c>
      <c r="L25" s="27"/>
      <c r="M25" s="37"/>
      <c r="N25" s="41"/>
    </row>
    <row r="26" spans="1:14" ht="14.25" customHeight="1" x14ac:dyDescent="0.2">
      <c r="A26" s="335"/>
      <c r="B26" s="6" t="s">
        <v>6</v>
      </c>
      <c r="C26" s="6" t="s">
        <v>26</v>
      </c>
      <c r="D26" s="6" t="s">
        <v>28</v>
      </c>
      <c r="E26" s="196">
        <v>150</v>
      </c>
      <c r="F26" s="182"/>
      <c r="G26" s="6" t="s">
        <v>12</v>
      </c>
      <c r="H26" s="14" t="s">
        <v>31</v>
      </c>
      <c r="I26" s="65">
        <v>0.185</v>
      </c>
      <c r="J26" s="51"/>
      <c r="K26" s="27">
        <f t="shared" si="0"/>
        <v>27.75</v>
      </c>
      <c r="L26" s="27"/>
      <c r="M26" s="37"/>
      <c r="N26" s="41"/>
    </row>
    <row r="27" spans="1:14" ht="14.25" customHeight="1" x14ac:dyDescent="0.2">
      <c r="A27" s="335"/>
      <c r="B27" s="17" t="s">
        <v>18</v>
      </c>
      <c r="C27" s="17" t="s">
        <v>68</v>
      </c>
      <c r="D27" s="17" t="s">
        <v>69</v>
      </c>
      <c r="E27" s="196">
        <v>100</v>
      </c>
      <c r="F27" s="132">
        <f>SUM(E27:E32)</f>
        <v>400</v>
      </c>
      <c r="G27" s="17" t="s">
        <v>11</v>
      </c>
      <c r="H27" s="18" t="s">
        <v>30</v>
      </c>
      <c r="I27" s="65">
        <v>0.157</v>
      </c>
      <c r="J27" s="51"/>
      <c r="K27" s="27">
        <f t="shared" si="0"/>
        <v>15.7</v>
      </c>
      <c r="L27" s="27">
        <f>SUM(K27:K32)</f>
        <v>66.5</v>
      </c>
      <c r="M27" s="37">
        <f ca="1">F27/E52</f>
        <v>1.8387423002666176E-2</v>
      </c>
      <c r="N27" s="41">
        <f>L27/F27</f>
        <v>0.16625000000000001</v>
      </c>
    </row>
    <row r="28" spans="1:14" ht="14.25" customHeight="1" x14ac:dyDescent="0.2">
      <c r="A28" s="335"/>
      <c r="B28" s="17" t="s">
        <v>18</v>
      </c>
      <c r="C28" s="17" t="s">
        <v>68</v>
      </c>
      <c r="D28" s="17" t="s">
        <v>70</v>
      </c>
      <c r="E28" s="196">
        <v>0</v>
      </c>
      <c r="F28" s="132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2">
      <c r="A29" s="335"/>
      <c r="B29" s="17" t="s">
        <v>18</v>
      </c>
      <c r="C29" s="17" t="s">
        <v>68</v>
      </c>
      <c r="D29" s="17" t="s">
        <v>71</v>
      </c>
      <c r="E29" s="196">
        <v>0</v>
      </c>
      <c r="F29" s="132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2">
      <c r="A30" s="335"/>
      <c r="B30" s="17" t="s">
        <v>18</v>
      </c>
      <c r="C30" s="17" t="s">
        <v>64</v>
      </c>
      <c r="D30" s="17" t="s">
        <v>65</v>
      </c>
      <c r="E30" s="196">
        <v>100</v>
      </c>
      <c r="F30" s="132"/>
      <c r="G30" s="17" t="s">
        <v>11</v>
      </c>
      <c r="H30" s="18" t="s">
        <v>30</v>
      </c>
      <c r="I30" s="65">
        <v>0.214</v>
      </c>
      <c r="J30" s="51"/>
      <c r="K30" s="27">
        <f t="shared" si="0"/>
        <v>21.4</v>
      </c>
      <c r="L30" s="27"/>
      <c r="M30" s="37"/>
      <c r="N30" s="41"/>
    </row>
    <row r="31" spans="1:14" ht="14.25" customHeight="1" x14ac:dyDescent="0.2">
      <c r="A31" s="335"/>
      <c r="B31" s="17" t="s">
        <v>18</v>
      </c>
      <c r="C31" s="17" t="s">
        <v>64</v>
      </c>
      <c r="D31" s="17" t="s">
        <v>66</v>
      </c>
      <c r="E31" s="196">
        <v>200</v>
      </c>
      <c r="F31" s="132"/>
      <c r="G31" s="17" t="s">
        <v>12</v>
      </c>
      <c r="H31" s="18" t="s">
        <v>30</v>
      </c>
      <c r="I31" s="65">
        <v>0.14699999999999999</v>
      </c>
      <c r="J31" s="51"/>
      <c r="K31" s="27">
        <f t="shared" si="0"/>
        <v>29.4</v>
      </c>
      <c r="L31" s="27"/>
      <c r="M31" s="37"/>
      <c r="N31" s="41"/>
    </row>
    <row r="32" spans="1:14" ht="14.25" customHeight="1" x14ac:dyDescent="0.2">
      <c r="A32" s="335"/>
      <c r="B32" s="17" t="s">
        <v>18</v>
      </c>
      <c r="C32" s="17" t="s">
        <v>64</v>
      </c>
      <c r="D32" s="17" t="s">
        <v>67</v>
      </c>
      <c r="E32" s="196">
        <v>0</v>
      </c>
      <c r="F32" s="132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0.40303921568627454</v>
      </c>
      <c r="N32" s="41"/>
    </row>
    <row r="33" spans="1:14" ht="14.25" customHeight="1" x14ac:dyDescent="0.2">
      <c r="A33" s="335"/>
      <c r="B33" s="6" t="s">
        <v>19</v>
      </c>
      <c r="C33" s="6" t="s">
        <v>32</v>
      </c>
      <c r="D33" s="6" t="s">
        <v>33</v>
      </c>
      <c r="E33" s="196">
        <v>64</v>
      </c>
      <c r="F33" s="182">
        <f>SUM(E33:E35)</f>
        <v>64</v>
      </c>
      <c r="G33" s="6" t="s">
        <v>34</v>
      </c>
      <c r="H33" s="20" t="s">
        <v>30</v>
      </c>
      <c r="I33" s="65">
        <v>0.20100000000000001</v>
      </c>
      <c r="J33" s="51"/>
      <c r="K33" s="27">
        <f t="shared" si="0"/>
        <v>12.864000000000001</v>
      </c>
      <c r="L33" s="27">
        <f>SUM(K33:K35)</f>
        <v>12.864000000000001</v>
      </c>
      <c r="M33" s="37">
        <f ca="1">F33/E52</f>
        <v>2.9419876804265884E-3</v>
      </c>
      <c r="N33" s="41">
        <f>L33/F33</f>
        <v>0.20100000000000001</v>
      </c>
    </row>
    <row r="34" spans="1:14" ht="14.25" customHeight="1" x14ac:dyDescent="0.2">
      <c r="A34" s="335"/>
      <c r="B34" s="6" t="s">
        <v>19</v>
      </c>
      <c r="C34" s="6" t="s">
        <v>32</v>
      </c>
      <c r="D34" s="6" t="s">
        <v>35</v>
      </c>
      <c r="E34" s="255">
        <v>0</v>
      </c>
      <c r="F34" s="182"/>
      <c r="G34" s="6" t="s">
        <v>36</v>
      </c>
      <c r="H34" s="20" t="s">
        <v>30</v>
      </c>
      <c r="I34" s="65">
        <v>0</v>
      </c>
      <c r="J34" s="51"/>
      <c r="K34" s="27">
        <f t="shared" si="0"/>
        <v>0</v>
      </c>
      <c r="L34" s="27"/>
      <c r="M34" s="37"/>
      <c r="N34" s="41"/>
    </row>
    <row r="35" spans="1:14" ht="14.25" customHeight="1" x14ac:dyDescent="0.2">
      <c r="A35" s="335"/>
      <c r="B35" s="6" t="s">
        <v>19</v>
      </c>
      <c r="C35" s="6" t="s">
        <v>32</v>
      </c>
      <c r="D35" s="6" t="s">
        <v>37</v>
      </c>
      <c r="E35" s="196">
        <v>0</v>
      </c>
      <c r="F35" s="182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2">
      <c r="A36" s="335"/>
      <c r="B36" s="17" t="s">
        <v>58</v>
      </c>
      <c r="C36" s="17" t="s">
        <v>59</v>
      </c>
      <c r="D36" s="17" t="s">
        <v>60</v>
      </c>
      <c r="E36" s="196">
        <v>50</v>
      </c>
      <c r="F36" s="132">
        <f>SUM(E36:E38)</f>
        <v>255</v>
      </c>
      <c r="G36" s="17" t="s">
        <v>11</v>
      </c>
      <c r="H36" s="18" t="s">
        <v>30</v>
      </c>
      <c r="I36" s="65">
        <v>0.70699999999999996</v>
      </c>
      <c r="J36" s="51"/>
      <c r="K36" s="27">
        <f t="shared" si="0"/>
        <v>35.35</v>
      </c>
      <c r="L36" s="27">
        <f>SUM(K36:K38)</f>
        <v>102.77500000000001</v>
      </c>
      <c r="M36" s="37">
        <f ca="1">F36/E52</f>
        <v>1.1721982164199687E-2</v>
      </c>
      <c r="N36" s="41">
        <f>L36/F36</f>
        <v>0.40303921568627454</v>
      </c>
    </row>
    <row r="37" spans="1:14" ht="14.25" customHeight="1" x14ac:dyDescent="0.2">
      <c r="A37" s="335"/>
      <c r="B37" s="17" t="s">
        <v>58</v>
      </c>
      <c r="C37" s="17" t="s">
        <v>59</v>
      </c>
      <c r="D37" s="17" t="s">
        <v>61</v>
      </c>
      <c r="E37" s="196">
        <v>200</v>
      </c>
      <c r="F37" s="132"/>
      <c r="G37" s="17" t="s">
        <v>12</v>
      </c>
      <c r="H37" s="18" t="s">
        <v>30</v>
      </c>
      <c r="I37" s="65">
        <v>0.33700000000000002</v>
      </c>
      <c r="J37" s="51"/>
      <c r="K37" s="27">
        <f t="shared" si="0"/>
        <v>67.400000000000006</v>
      </c>
      <c r="L37" s="27"/>
      <c r="M37" s="37"/>
      <c r="N37" s="41"/>
    </row>
    <row r="38" spans="1:14" ht="14.25" customHeight="1" x14ac:dyDescent="0.2">
      <c r="A38" s="335"/>
      <c r="B38" s="17" t="s">
        <v>58</v>
      </c>
      <c r="C38" s="17" t="s">
        <v>59</v>
      </c>
      <c r="D38" s="17" t="s">
        <v>62</v>
      </c>
      <c r="E38" s="196">
        <v>5</v>
      </c>
      <c r="F38" s="132"/>
      <c r="G38" s="17" t="s">
        <v>63</v>
      </c>
      <c r="H38" s="18" t="s">
        <v>30</v>
      </c>
      <c r="I38" s="65">
        <v>5.0000000000000001E-3</v>
      </c>
      <c r="J38" s="51"/>
      <c r="K38" s="27">
        <f t="shared" si="0"/>
        <v>2.5000000000000001E-2</v>
      </c>
      <c r="L38" s="27"/>
      <c r="M38" s="37"/>
      <c r="N38" s="41"/>
    </row>
    <row r="39" spans="1:14" ht="14.25" customHeight="1" x14ac:dyDescent="0.2">
      <c r="A39" s="335"/>
      <c r="B39" s="6" t="s">
        <v>20</v>
      </c>
      <c r="C39" s="6" t="s">
        <v>52</v>
      </c>
      <c r="D39" s="6" t="s">
        <v>54</v>
      </c>
      <c r="E39" s="196">
        <v>50</v>
      </c>
      <c r="F39" s="182">
        <f>SUM(E39:E42)</f>
        <v>500</v>
      </c>
      <c r="G39" s="6" t="s">
        <v>56</v>
      </c>
      <c r="H39" s="14" t="s">
        <v>30</v>
      </c>
      <c r="I39" s="65">
        <v>0.42599999999999999</v>
      </c>
      <c r="J39" s="51"/>
      <c r="K39" s="27">
        <f t="shared" si="0"/>
        <v>21.3</v>
      </c>
      <c r="L39" s="27">
        <f>SUM(K39:K42)</f>
        <v>154.65</v>
      </c>
      <c r="M39" s="37">
        <f ca="1">F39/E52</f>
        <v>2.2984278753332719E-2</v>
      </c>
      <c r="N39" s="41">
        <f>L39/F39</f>
        <v>0.30930000000000002</v>
      </c>
    </row>
    <row r="40" spans="1:14" ht="14.25" customHeight="1" x14ac:dyDescent="0.2">
      <c r="A40" s="335"/>
      <c r="B40" s="6" t="s">
        <v>20</v>
      </c>
      <c r="C40" s="6" t="s">
        <v>52</v>
      </c>
      <c r="D40" s="6" t="s">
        <v>53</v>
      </c>
      <c r="E40" s="196">
        <v>200</v>
      </c>
      <c r="F40" s="182"/>
      <c r="G40" s="6" t="s">
        <v>57</v>
      </c>
      <c r="H40" s="14" t="s">
        <v>30</v>
      </c>
      <c r="I40" s="65">
        <v>0.128</v>
      </c>
      <c r="J40" s="51"/>
      <c r="K40" s="27">
        <f t="shared" si="0"/>
        <v>25.6</v>
      </c>
      <c r="L40" s="27"/>
      <c r="M40" s="37"/>
      <c r="N40" s="41"/>
    </row>
    <row r="41" spans="1:14" ht="14.25" customHeight="1" x14ac:dyDescent="0.2">
      <c r="A41" s="335"/>
      <c r="B41" s="6" t="s">
        <v>20</v>
      </c>
      <c r="C41" s="6" t="s">
        <v>52</v>
      </c>
      <c r="D41" s="6" t="s">
        <v>40</v>
      </c>
      <c r="E41" s="196">
        <v>50</v>
      </c>
      <c r="F41" s="182"/>
      <c r="G41" s="6" t="s">
        <v>56</v>
      </c>
      <c r="H41" s="14" t="s">
        <v>30</v>
      </c>
      <c r="I41" s="65">
        <v>0.35099999999999998</v>
      </c>
      <c r="J41" s="51"/>
      <c r="K41" s="27">
        <f t="shared" si="0"/>
        <v>17.549999999999997</v>
      </c>
      <c r="L41" s="27"/>
      <c r="M41" s="37"/>
      <c r="N41" s="41"/>
    </row>
    <row r="42" spans="1:14" ht="14.25" customHeight="1" x14ac:dyDescent="0.2">
      <c r="A42" s="335"/>
      <c r="B42" s="6" t="s">
        <v>20</v>
      </c>
      <c r="C42" s="6" t="s">
        <v>52</v>
      </c>
      <c r="D42" s="6" t="s">
        <v>55</v>
      </c>
      <c r="E42" s="196">
        <v>200</v>
      </c>
      <c r="F42" s="182"/>
      <c r="G42" s="6" t="s">
        <v>57</v>
      </c>
      <c r="H42" s="14" t="s">
        <v>30</v>
      </c>
      <c r="I42" s="65">
        <v>0.45100000000000001</v>
      </c>
      <c r="J42" s="51"/>
      <c r="K42" s="27">
        <f t="shared" si="0"/>
        <v>90.2</v>
      </c>
      <c r="L42" s="27"/>
      <c r="M42" s="37"/>
      <c r="N42" s="41"/>
    </row>
    <row r="43" spans="1:14" ht="14.25" customHeight="1" x14ac:dyDescent="0.2">
      <c r="A43" s="335" t="s">
        <v>13</v>
      </c>
      <c r="B43" s="17"/>
      <c r="C43" s="17"/>
      <c r="D43" s="21"/>
      <c r="E43" s="196"/>
      <c r="F43" s="132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2">
      <c r="A44" s="335"/>
      <c r="B44" s="22" t="s">
        <v>14</v>
      </c>
      <c r="C44" s="22" t="s">
        <v>126</v>
      </c>
      <c r="D44" s="22" t="s">
        <v>112</v>
      </c>
      <c r="E44" s="198">
        <v>100</v>
      </c>
      <c r="F44" s="183">
        <f>SUM(E44:E44)</f>
        <v>100</v>
      </c>
      <c r="G44" s="22" t="s">
        <v>113</v>
      </c>
      <c r="H44" s="23" t="s">
        <v>31</v>
      </c>
      <c r="I44" s="65">
        <v>0.38</v>
      </c>
      <c r="J44" s="51"/>
      <c r="K44" s="27">
        <f t="shared" si="0"/>
        <v>38</v>
      </c>
      <c r="L44" s="27">
        <f>SUM(K44:K44)</f>
        <v>38</v>
      </c>
      <c r="M44" s="37">
        <f ca="1">F44/E52</f>
        <v>4.5968557506665441E-3</v>
      </c>
      <c r="N44" s="41">
        <f>L44/F44</f>
        <v>0.38</v>
      </c>
    </row>
    <row r="45" spans="1:14" ht="14.25" customHeight="1" x14ac:dyDescent="0.2">
      <c r="A45" s="335"/>
      <c r="B45" s="2" t="s">
        <v>114</v>
      </c>
      <c r="C45" s="2" t="s">
        <v>115</v>
      </c>
      <c r="D45" s="2" t="s">
        <v>116</v>
      </c>
      <c r="E45" s="196">
        <v>100</v>
      </c>
      <c r="F45" s="24">
        <f>SUM(E45:E45)</f>
        <v>100</v>
      </c>
      <c r="G45" s="2" t="s">
        <v>117</v>
      </c>
      <c r="H45" s="5" t="s">
        <v>31</v>
      </c>
      <c r="I45" s="65">
        <v>4.1000000000000002E-2</v>
      </c>
      <c r="J45" s="51"/>
      <c r="K45" s="27">
        <f t="shared" si="0"/>
        <v>4.1000000000000005</v>
      </c>
      <c r="L45" s="27">
        <f>SUM(K45)</f>
        <v>4.1000000000000005</v>
      </c>
      <c r="M45" s="37">
        <f ca="1">F45/E52</f>
        <v>4.5968557506665441E-3</v>
      </c>
      <c r="N45" s="41">
        <f>L45/F45</f>
        <v>4.1000000000000009E-2</v>
      </c>
    </row>
    <row r="46" spans="1:14" ht="14.25" customHeight="1" collapsed="1" x14ac:dyDescent="0.2">
      <c r="A46" s="335" t="s">
        <v>16</v>
      </c>
      <c r="B46" s="6" t="s">
        <v>76</v>
      </c>
      <c r="C46" s="6" t="s">
        <v>77</v>
      </c>
      <c r="D46" s="6" t="s">
        <v>79</v>
      </c>
      <c r="E46" s="197">
        <v>100</v>
      </c>
      <c r="F46" s="182">
        <f>SUM(E46:E48)</f>
        <v>556</v>
      </c>
      <c r="G46" s="6" t="s">
        <v>78</v>
      </c>
      <c r="H46" s="14" t="s">
        <v>31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129.60399999999998</v>
      </c>
      <c r="M46" s="37">
        <f ca="1">F46/E52</f>
        <v>2.5558517973705987E-2</v>
      </c>
      <c r="N46" s="41">
        <f>L46/F46</f>
        <v>0.2331007194244604</v>
      </c>
    </row>
    <row r="47" spans="1:14" ht="14.25" customHeight="1" x14ac:dyDescent="0.2">
      <c r="A47" s="335"/>
      <c r="B47" s="2" t="s">
        <v>84</v>
      </c>
      <c r="C47" s="2" t="s">
        <v>81</v>
      </c>
      <c r="D47" s="2" t="s">
        <v>41</v>
      </c>
      <c r="E47" s="196">
        <v>200</v>
      </c>
      <c r="F47" s="24"/>
      <c r="G47" s="2" t="s">
        <v>82</v>
      </c>
      <c r="H47" s="5" t="s">
        <v>31</v>
      </c>
      <c r="I47" s="65">
        <v>0.40699999999999997</v>
      </c>
      <c r="J47" s="51"/>
      <c r="K47" s="27">
        <f t="shared" si="0"/>
        <v>81.399999999999991</v>
      </c>
      <c r="L47" s="27"/>
      <c r="M47" s="37"/>
      <c r="N47" s="41"/>
    </row>
    <row r="48" spans="1:14" ht="14.25" customHeight="1" x14ac:dyDescent="0.2">
      <c r="A48" s="335"/>
      <c r="B48" s="2" t="s">
        <v>84</v>
      </c>
      <c r="C48" s="2" t="s">
        <v>81</v>
      </c>
      <c r="D48" s="2" t="s">
        <v>42</v>
      </c>
      <c r="E48" s="196">
        <v>256</v>
      </c>
      <c r="F48" s="24"/>
      <c r="G48" s="2" t="s">
        <v>83</v>
      </c>
      <c r="H48" s="5" t="s">
        <v>31</v>
      </c>
      <c r="I48" s="65">
        <v>0.184</v>
      </c>
      <c r="J48" s="51"/>
      <c r="K48" s="27">
        <f t="shared" si="0"/>
        <v>47.103999999999999</v>
      </c>
      <c r="L48" s="27"/>
      <c r="M48" s="37"/>
      <c r="N48" s="41"/>
    </row>
    <row r="49" spans="1:14" ht="70.5" customHeight="1" x14ac:dyDescent="0.2">
      <c r="A49" s="187" t="s">
        <v>144</v>
      </c>
      <c r="B49" s="188" t="s">
        <v>146</v>
      </c>
      <c r="C49" s="188" t="s">
        <v>145</v>
      </c>
      <c r="D49" s="188" t="s">
        <v>149</v>
      </c>
      <c r="E49" s="64">
        <v>128</v>
      </c>
      <c r="F49" s="190">
        <v>128</v>
      </c>
      <c r="G49" s="189" t="s">
        <v>148</v>
      </c>
      <c r="H49" s="191" t="s">
        <v>147</v>
      </c>
      <c r="I49" s="70">
        <v>0.112</v>
      </c>
      <c r="J49" s="51"/>
      <c r="K49" s="192">
        <f t="shared" si="0"/>
        <v>14.336</v>
      </c>
      <c r="L49" s="26"/>
      <c r="M49" s="193"/>
      <c r="N49" s="194"/>
    </row>
    <row r="50" spans="1:14" ht="14.25" customHeight="1" x14ac:dyDescent="0.2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2">
      <c r="A51" s="9"/>
      <c r="B51" s="2"/>
      <c r="C51" s="2"/>
      <c r="D51" s="2" t="s">
        <v>123</v>
      </c>
      <c r="E51" s="24">
        <f>SUM(E3:E48)</f>
        <v>18784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2">
      <c r="A52" s="2"/>
      <c r="B52" s="2"/>
      <c r="C52" s="2"/>
      <c r="D52" s="2" t="s">
        <v>124</v>
      </c>
      <c r="E52" s="63" cm="1">
        <f t="array" aca="1" ref="E52" ca="1">INDIRECT("集群统计！B4")</f>
        <v>21754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3.950000000000003" customHeight="1" x14ac:dyDescent="0.2">
      <c r="A53" s="2"/>
      <c r="B53" s="2"/>
      <c r="C53" s="2"/>
      <c r="D53" s="2" t="s">
        <v>125</v>
      </c>
      <c r="E53" s="130">
        <f ca="1">E51/E52</f>
        <v>0.86347338420520359</v>
      </c>
      <c r="F53" s="9"/>
      <c r="G53" s="32" t="s">
        <v>241</v>
      </c>
      <c r="H53" s="2"/>
      <c r="I53" s="12"/>
      <c r="J53" s="12"/>
      <c r="K53" s="12"/>
      <c r="L53" s="12"/>
      <c r="M53" s="39"/>
      <c r="N53" s="42"/>
    </row>
    <row r="54" spans="1:14" x14ac:dyDescent="0.2">
      <c r="D54" s="1" t="s">
        <v>138</v>
      </c>
      <c r="E54" s="33">
        <f>SUM(E3,E7,E18,E21,E23,E25,E27,E30,E33,E36,E39,E41,E44:E48)</f>
        <v>1834</v>
      </c>
    </row>
    <row r="55" spans="1:14" x14ac:dyDescent="0.2">
      <c r="D55" s="1" t="s">
        <v>139</v>
      </c>
      <c r="E55" s="33">
        <f>E51-E54</f>
        <v>16950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0"/>
  <sheetViews>
    <sheetView zoomScale="145" zoomScaleNormal="145" workbookViewId="0">
      <selection activeCell="T14" sqref="T14"/>
    </sheetView>
  </sheetViews>
  <sheetFormatPr defaultRowHeight="14.25" x14ac:dyDescent="0.2"/>
  <cols>
    <col min="1" max="2" width="8.625" style="336" customWidth="1"/>
    <col min="3" max="13" width="9" style="336"/>
    <col min="14" max="14" width="20" customWidth="1"/>
    <col min="15" max="15" width="11.375" customWidth="1"/>
    <col min="16" max="16" width="11.625" style="48" bestFit="1" customWidth="1"/>
    <col min="17" max="18" width="11.625" style="48" customWidth="1"/>
    <col min="19" max="19" width="13.625" style="48" customWidth="1"/>
    <col min="20" max="20" width="11.625" style="48" customWidth="1"/>
  </cols>
  <sheetData>
    <row r="1" spans="14:20" x14ac:dyDescent="0.2">
      <c r="N1" s="53"/>
      <c r="O1" s="14"/>
      <c r="P1" s="186" t="s">
        <v>520</v>
      </c>
      <c r="Q1" s="186"/>
      <c r="R1" s="186"/>
      <c r="S1" s="186"/>
      <c r="T1" s="186"/>
    </row>
    <row r="2" spans="14:20" x14ac:dyDescent="0.2">
      <c r="N2" s="54" t="s">
        <v>136</v>
      </c>
      <c r="O2" s="36" t="s">
        <v>132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54" t="s">
        <v>85</v>
      </c>
      <c r="O3" s="62"/>
      <c r="P3" s="65" cm="1">
        <f t="array" aca="1" ref="P3" ca="1">INDIRECT("前端资源分配！M11")</f>
        <v>0.64815666084398271</v>
      </c>
      <c r="Q3" s="45">
        <v>0.72553257178141406</v>
      </c>
      <c r="R3" s="45">
        <v>0.64815666084398271</v>
      </c>
      <c r="S3" s="45">
        <v>0.62136586478166689</v>
      </c>
      <c r="T3" s="45">
        <v>0.64815666084398271</v>
      </c>
    </row>
    <row r="4" spans="14:20" x14ac:dyDescent="0.2">
      <c r="N4" s="75" t="s">
        <v>167</v>
      </c>
      <c r="O4" s="62"/>
      <c r="P4" s="65" cm="1">
        <f t="array" aca="1" ref="P4" ca="1">INDIRECT("前端资源分配！M7")</f>
        <v>3.2177990254665806E-2</v>
      </c>
      <c r="Q4" s="45">
        <v>3.6019347535247506E-2</v>
      </c>
      <c r="R4" s="45">
        <v>3.2177990254665806E-2</v>
      </c>
      <c r="S4" s="45">
        <v>3.9904229848363927E-2</v>
      </c>
      <c r="T4" s="45">
        <v>3.2177990254665806E-2</v>
      </c>
    </row>
    <row r="5" spans="14:20" x14ac:dyDescent="0.2">
      <c r="N5" s="54" t="s">
        <v>166</v>
      </c>
      <c r="O5" s="62"/>
      <c r="P5" s="65" cm="1">
        <f t="array" aca="1" ref="P5" ca="1">INDIRECT("前端资源分配！M3")</f>
        <v>2.0456008090466122E-2</v>
      </c>
      <c r="Q5" s="45">
        <v>1.0291242152927859E-2</v>
      </c>
      <c r="R5" s="45">
        <v>2.0456008090466122E-2</v>
      </c>
      <c r="S5" s="45">
        <v>1.9952114924181964E-2</v>
      </c>
      <c r="T5" s="45">
        <v>2.0456008090466122E-2</v>
      </c>
    </row>
    <row r="6" spans="14:20" x14ac:dyDescent="0.2">
      <c r="N6" s="54" t="s">
        <v>133</v>
      </c>
      <c r="O6" s="62"/>
      <c r="P6" s="65" cm="1">
        <f t="array" aca="1" ref="P6" ca="1">INDIRECT("前端资源分配！M23")</f>
        <v>4.5968557506665439E-2</v>
      </c>
      <c r="Q6" s="45">
        <v>5.660183184110322E-2</v>
      </c>
      <c r="R6" s="45">
        <v>4.5968557506665439E-2</v>
      </c>
      <c r="S6" s="45">
        <v>6.2706646904571881E-2</v>
      </c>
      <c r="T6" s="45">
        <v>4.5968557506665439E-2</v>
      </c>
    </row>
    <row r="7" spans="14:20" x14ac:dyDescent="0.2">
      <c r="N7" s="54" t="s">
        <v>80</v>
      </c>
      <c r="O7" s="62"/>
      <c r="P7" s="65">
        <f ca="1">INDIRECT("前端资源分配！M21")</f>
        <v>2.592626643375931E-2</v>
      </c>
      <c r="Q7" s="45">
        <v>2.9021302871256562E-2</v>
      </c>
      <c r="R7" s="45">
        <v>2.592626643375931E-2</v>
      </c>
      <c r="S7" s="45">
        <v>3.2151408049253219E-2</v>
      </c>
      <c r="T7" s="45">
        <v>2.592626643375931E-2</v>
      </c>
    </row>
    <row r="8" spans="14:20" x14ac:dyDescent="0.2">
      <c r="N8" s="54" t="s">
        <v>137</v>
      </c>
      <c r="O8" s="62"/>
      <c r="P8" s="65" cm="1">
        <f t="array" aca="1" ref="P8" ca="1">INDIRECT("前端资源分配！M33")</f>
        <v>2.9419876804265884E-3</v>
      </c>
      <c r="Q8" s="45">
        <v>8.4388185654008432E-3</v>
      </c>
      <c r="R8" s="45">
        <v>2.9419876804265884E-3</v>
      </c>
      <c r="S8" s="45">
        <v>3.6483867289932733E-3</v>
      </c>
      <c r="T8" s="45">
        <v>2.9419876804265884E-3</v>
      </c>
    </row>
    <row r="9" spans="14:20" x14ac:dyDescent="0.2">
      <c r="N9" s="54" t="s">
        <v>134</v>
      </c>
      <c r="O9" s="62"/>
      <c r="P9" s="65" cm="1">
        <f t="array" aca="1" ref="P9" ca="1">INDIRECT("前端资源分配！M27")</f>
        <v>1.8387423002666176E-2</v>
      </c>
      <c r="Q9" s="45">
        <v>2.0582484305855717E-2</v>
      </c>
      <c r="R9" s="45">
        <v>1.8387423002666176E-2</v>
      </c>
      <c r="S9" s="45">
        <v>2.2802417056207957E-2</v>
      </c>
      <c r="T9" s="45">
        <v>1.8387423002666176E-2</v>
      </c>
    </row>
    <row r="10" spans="14:20" x14ac:dyDescent="0.2">
      <c r="N10" s="54" t="s">
        <v>59</v>
      </c>
      <c r="O10" s="62"/>
      <c r="P10" s="65" cm="1">
        <f t="array" aca="1" ref="P10" ca="1">INDIRECT("前端资源分配！M36")</f>
        <v>1.1721982164199687E-2</v>
      </c>
      <c r="Q10" s="45">
        <v>2.0633940516620358E-2</v>
      </c>
      <c r="R10" s="45">
        <v>1.1721982164199687E-2</v>
      </c>
      <c r="S10" s="45">
        <v>2.2859423098848478E-2</v>
      </c>
      <c r="T10" s="45">
        <v>1.1721982164199687E-2</v>
      </c>
    </row>
    <row r="11" spans="14:20" x14ac:dyDescent="0.2">
      <c r="N11" s="54" t="s">
        <v>52</v>
      </c>
      <c r="O11" s="62"/>
      <c r="P11" s="65" cm="1">
        <f t="array" aca="1" ref="P11" ca="1">INDIRECT("前端资源分配！M39")</f>
        <v>2.2984278753332719E-2</v>
      </c>
      <c r="Q11" s="45">
        <v>2.5728105382319646E-2</v>
      </c>
      <c r="R11" s="45">
        <v>2.2984278753332719E-2</v>
      </c>
      <c r="S11" s="45">
        <v>2.8503021320259947E-2</v>
      </c>
      <c r="T11" s="45">
        <v>2.2984278753332719E-2</v>
      </c>
    </row>
    <row r="12" spans="14:20" x14ac:dyDescent="0.2">
      <c r="N12" s="54" t="s">
        <v>135</v>
      </c>
      <c r="O12" s="62"/>
      <c r="P12" s="65" cm="1">
        <f t="array" aca="1" ref="P12" ca="1">INDIRECT("前端资源分配！M46")</f>
        <v>2.5558517973705987E-2</v>
      </c>
      <c r="Q12" s="45">
        <v>2.8609653185139448E-2</v>
      </c>
      <c r="R12" s="45">
        <v>2.5558517973705987E-2</v>
      </c>
      <c r="S12" s="45">
        <v>3.1695359708129062E-2</v>
      </c>
      <c r="T12" s="45">
        <v>2.5558517973705987E-2</v>
      </c>
    </row>
    <row r="13" spans="14:20" x14ac:dyDescent="0.2">
      <c r="N13" s="56" t="s">
        <v>126</v>
      </c>
      <c r="O13" s="62"/>
      <c r="P13" s="65" cm="1">
        <f t="array" aca="1" ref="P13" ca="1">INDIRECT("前端资源分配！M44")</f>
        <v>4.5968557506665441E-3</v>
      </c>
      <c r="Q13" s="45">
        <v>5.1456210764639293E-3</v>
      </c>
      <c r="R13" s="45">
        <v>4.5968557506665441E-3</v>
      </c>
      <c r="S13" s="45">
        <v>5.7006042640519892E-3</v>
      </c>
      <c r="T13" s="45">
        <v>4.5968557506665441E-3</v>
      </c>
    </row>
    <row r="14" spans="14:20" x14ac:dyDescent="0.2">
      <c r="N14" s="54" t="s">
        <v>115</v>
      </c>
      <c r="O14" s="62"/>
      <c r="P14" s="65" cm="1">
        <f t="array" aca="1" ref="P14" ca="1">INDIRECT("前端资源分配！M45")</f>
        <v>4.5968557506665441E-3</v>
      </c>
      <c r="Q14" s="45">
        <v>5.1456210764639293E-3</v>
      </c>
      <c r="R14" s="45">
        <v>4.5968557506665441E-3</v>
      </c>
      <c r="S14" s="45">
        <v>5.7006042640519892E-3</v>
      </c>
      <c r="T14" s="45">
        <v>4.5968557506665441E-3</v>
      </c>
    </row>
    <row r="15" spans="14:20" x14ac:dyDescent="0.2">
      <c r="N15" s="57"/>
      <c r="O15" s="34"/>
      <c r="P15" s="46"/>
      <c r="Q15" s="46"/>
      <c r="R15" s="46"/>
      <c r="S15" s="76"/>
      <c r="T15" s="76"/>
    </row>
    <row r="16" spans="14:20" ht="14.25" customHeight="1" x14ac:dyDescent="0.2">
      <c r="N16" s="54" t="s">
        <v>85</v>
      </c>
      <c r="O16" s="36" t="s">
        <v>122</v>
      </c>
      <c r="P16" s="65" cm="1">
        <f t="array" aca="1" ref="P16" ca="1">INDIRECT("前端资源分配！N11")</f>
        <v>0.86808510638297887</v>
      </c>
      <c r="Q16" s="45">
        <v>0.8947588652482269</v>
      </c>
      <c r="R16" s="45">
        <v>0.86808510638297887</v>
      </c>
      <c r="S16" s="45">
        <v>0.67515596330275229</v>
      </c>
      <c r="T16" s="45">
        <v>0.86808510638297887</v>
      </c>
    </row>
    <row r="17" spans="14:20" x14ac:dyDescent="0.2">
      <c r="N17" s="54" t="s">
        <v>168</v>
      </c>
      <c r="O17" s="36"/>
      <c r="P17" s="65" cm="1">
        <f t="array" aca="1" ref="P17" ca="1">INDIRECT("前端资源分配！N7")</f>
        <v>0.48642857142857149</v>
      </c>
      <c r="Q17" s="45">
        <v>0.37528571428571428</v>
      </c>
      <c r="R17" s="45">
        <v>0.48642857142857149</v>
      </c>
      <c r="S17" s="45">
        <v>0.16928571428571429</v>
      </c>
      <c r="T17" s="45">
        <v>0.48642857142857149</v>
      </c>
    </row>
    <row r="18" spans="14:20" x14ac:dyDescent="0.2">
      <c r="N18" s="54" t="s">
        <v>166</v>
      </c>
      <c r="O18" s="36"/>
      <c r="P18" s="65" cm="1">
        <f t="array" aca="1" ref="P18" ca="1">INDIRECT("前端资源分配！N3")</f>
        <v>0.64950561797752815</v>
      </c>
      <c r="Q18" s="45">
        <v>0.59275</v>
      </c>
      <c r="R18" s="45">
        <v>0.64950561797752815</v>
      </c>
      <c r="S18" s="45">
        <v>0.86897142857142851</v>
      </c>
      <c r="T18" s="45">
        <v>0.64950561797752815</v>
      </c>
    </row>
    <row r="19" spans="14:20" x14ac:dyDescent="0.2">
      <c r="N19" s="54" t="s">
        <v>141</v>
      </c>
      <c r="O19" s="36"/>
      <c r="P19" s="65" cm="1">
        <f t="array" aca="1" ref="P19" ca="1">INDIRECT("前端资源分配！N23")</f>
        <v>0.81940000000000002</v>
      </c>
      <c r="Q19" s="45">
        <v>0.32229090909090907</v>
      </c>
      <c r="R19" s="45">
        <v>0.81940000000000002</v>
      </c>
      <c r="S19" s="45">
        <v>0.34870000000000007</v>
      </c>
      <c r="T19" s="45">
        <v>0.81940000000000002</v>
      </c>
    </row>
    <row r="20" spans="14:20" x14ac:dyDescent="0.2">
      <c r="N20" s="54" t="s">
        <v>80</v>
      </c>
      <c r="O20" s="36"/>
      <c r="P20" s="65" cm="1">
        <f t="array" aca="1" ref="P20" ca="1">INDIRECT("前端资源分配！N21")</f>
        <v>0.37558156028368794</v>
      </c>
      <c r="Q20" s="45">
        <v>0.34329078014184394</v>
      </c>
      <c r="R20" s="45">
        <v>0.37558156028368794</v>
      </c>
      <c r="S20" s="45">
        <v>0.27728368794326241</v>
      </c>
      <c r="T20" s="45">
        <v>0.37558156028368794</v>
      </c>
    </row>
    <row r="21" spans="14:20" x14ac:dyDescent="0.2">
      <c r="N21" s="54" t="s">
        <v>137</v>
      </c>
      <c r="O21" s="36"/>
      <c r="P21" s="65" cm="1">
        <f t="array" aca="1" ref="P21" ca="1">INDIRECT("前端资源分配！N33")</f>
        <v>0.20100000000000001</v>
      </c>
      <c r="Q21" s="45">
        <v>0.33629268292682929</v>
      </c>
      <c r="R21" s="45">
        <v>0.20100000000000001</v>
      </c>
      <c r="S21" s="45">
        <v>0.62522695035460996</v>
      </c>
      <c r="T21" s="45">
        <v>0.20100000000000001</v>
      </c>
    </row>
    <row r="22" spans="14:20" x14ac:dyDescent="0.2">
      <c r="N22" s="54" t="s">
        <v>134</v>
      </c>
      <c r="O22" s="36"/>
      <c r="P22" s="65" cm="1">
        <f t="array" aca="1" ref="P22" ca="1">INDIRECT("前端资源分配！N27")</f>
        <v>0.16625000000000001</v>
      </c>
      <c r="Q22" s="45">
        <v>0.17399999999999999</v>
      </c>
      <c r="R22" s="45">
        <v>0.16625000000000001</v>
      </c>
      <c r="S22" s="45">
        <v>9.6250000000000002E-2</v>
      </c>
      <c r="T22" s="45">
        <v>0.16625000000000001</v>
      </c>
    </row>
    <row r="23" spans="14:20" x14ac:dyDescent="0.2">
      <c r="N23" s="54" t="s">
        <v>59</v>
      </c>
      <c r="O23" s="36"/>
      <c r="P23" s="65" cm="1">
        <f t="array" aca="1" ref="P23" ca="1">INDIRECT("前端资源分配！N36")</f>
        <v>0.40303921568627454</v>
      </c>
      <c r="Q23" s="45">
        <v>0.31496259351620942</v>
      </c>
      <c r="R23" s="45">
        <v>0.40303921568627454</v>
      </c>
      <c r="S23" s="45">
        <v>0.46508728179551123</v>
      </c>
      <c r="T23" s="45">
        <v>0.40303921568627454</v>
      </c>
    </row>
    <row r="24" spans="14:20" x14ac:dyDescent="0.2">
      <c r="N24" s="54" t="s">
        <v>52</v>
      </c>
      <c r="O24" s="36"/>
      <c r="P24" s="65" cm="1">
        <f t="array" aca="1" ref="P24" ca="1">INDIRECT("前端资源分配！N39")</f>
        <v>0.30930000000000002</v>
      </c>
      <c r="Q24" s="45">
        <v>0.1489</v>
      </c>
      <c r="R24" s="45">
        <v>0.30930000000000002</v>
      </c>
      <c r="S24" s="45">
        <v>0.1401</v>
      </c>
      <c r="T24" s="45">
        <v>0.30930000000000002</v>
      </c>
    </row>
    <row r="25" spans="14:20" x14ac:dyDescent="0.2">
      <c r="N25" s="54" t="s">
        <v>135</v>
      </c>
      <c r="O25" s="36"/>
      <c r="P25" s="65" cm="1">
        <f t="array" aca="1" ref="P25" ca="1">INDIRECT("前端资源分配！N46")</f>
        <v>0.2331007194244604</v>
      </c>
      <c r="Q25" s="45">
        <v>0.27154676258992805</v>
      </c>
      <c r="R25" s="45">
        <v>0.2331007194244604</v>
      </c>
      <c r="S25" s="45">
        <v>0.16937410071942446</v>
      </c>
      <c r="T25" s="45">
        <v>0.2331007194244604</v>
      </c>
    </row>
    <row r="26" spans="14:20" x14ac:dyDescent="0.2">
      <c r="N26" s="56" t="s">
        <v>126</v>
      </c>
      <c r="O26" s="36"/>
      <c r="P26" s="65" cm="1">
        <f t="array" aca="1" ref="P26" ca="1">INDIRECT("前端资源分配！N44")</f>
        <v>0.38</v>
      </c>
      <c r="Q26" s="45">
        <v>0.254</v>
      </c>
      <c r="R26" s="45">
        <v>0.38</v>
      </c>
      <c r="S26" s="45">
        <v>0.19699999999999998</v>
      </c>
      <c r="T26" s="45">
        <v>0.38</v>
      </c>
    </row>
    <row r="27" spans="14:20" x14ac:dyDescent="0.2">
      <c r="N27" s="54" t="s">
        <v>115</v>
      </c>
      <c r="O27" s="36"/>
      <c r="P27" s="65" cm="1">
        <f t="array" aca="1" ref="P27" ca="1">INDIRECT("前端资源分配！N45")</f>
        <v>4.1000000000000009E-2</v>
      </c>
      <c r="Q27" s="45">
        <v>5.8999999999999997E-2</v>
      </c>
      <c r="R27" s="45">
        <v>4.1000000000000009E-2</v>
      </c>
      <c r="S27" s="45">
        <v>6.0999999999999999E-2</v>
      </c>
      <c r="T27" s="45">
        <v>4.1000000000000009E-2</v>
      </c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</row>
    <row r="30" spans="14:20" x14ac:dyDescent="0.2">
      <c r="N30" s="60" t="s">
        <v>45</v>
      </c>
      <c r="O30" s="49"/>
      <c r="P30" s="50">
        <v>0.38</v>
      </c>
      <c r="Q30" s="50"/>
      <c r="R30" s="50"/>
      <c r="S30" s="50"/>
      <c r="T30" s="50"/>
    </row>
    <row r="31" spans="14:20" x14ac:dyDescent="0.2">
      <c r="N31" s="59" t="s">
        <v>103</v>
      </c>
      <c r="O31" s="49"/>
      <c r="P31" s="50">
        <v>0.15</v>
      </c>
      <c r="Q31" s="50"/>
      <c r="R31" s="50"/>
      <c r="S31" s="50"/>
      <c r="T31" s="50"/>
    </row>
    <row r="32" spans="14:20" x14ac:dyDescent="0.2">
      <c r="N32" s="59" t="s">
        <v>133</v>
      </c>
      <c r="O32" s="49"/>
      <c r="P32" s="50">
        <v>0.11</v>
      </c>
      <c r="Q32" s="50"/>
      <c r="R32" s="50"/>
      <c r="S32" s="50"/>
      <c r="T32" s="50"/>
    </row>
    <row r="33" spans="1:20" x14ac:dyDescent="0.2">
      <c r="N33" s="59" t="s">
        <v>80</v>
      </c>
      <c r="O33" s="49"/>
      <c r="P33" s="50">
        <v>0.1</v>
      </c>
      <c r="Q33" s="50"/>
      <c r="R33" s="50"/>
      <c r="S33" s="50"/>
      <c r="T33" s="50"/>
    </row>
    <row r="34" spans="1:20" x14ac:dyDescent="0.2">
      <c r="N34" s="59" t="s">
        <v>137</v>
      </c>
      <c r="O34" s="49"/>
      <c r="P34" s="50">
        <v>0.06</v>
      </c>
      <c r="Q34" s="50"/>
      <c r="R34" s="50"/>
      <c r="S34" s="50"/>
      <c r="T34" s="50"/>
    </row>
    <row r="35" spans="1:20" x14ac:dyDescent="0.2">
      <c r="N35" s="59" t="s">
        <v>134</v>
      </c>
      <c r="O35" s="49"/>
      <c r="P35" s="50">
        <v>0.05</v>
      </c>
      <c r="Q35" s="50"/>
      <c r="R35" s="50"/>
      <c r="S35" s="50"/>
      <c r="T35" s="50"/>
    </row>
    <row r="36" spans="1:20" x14ac:dyDescent="0.2">
      <c r="N36" s="59" t="s">
        <v>59</v>
      </c>
      <c r="O36" s="49"/>
      <c r="P36" s="50">
        <v>0.05</v>
      </c>
      <c r="Q36" s="50"/>
      <c r="R36" s="50"/>
      <c r="S36" s="50"/>
      <c r="T36" s="50"/>
    </row>
    <row r="37" spans="1:20" x14ac:dyDescent="0.2">
      <c r="N37" s="59" t="s">
        <v>52</v>
      </c>
      <c r="O37" s="49"/>
      <c r="P37" s="50">
        <v>0.05</v>
      </c>
      <c r="Q37" s="50"/>
      <c r="R37" s="50"/>
      <c r="S37" s="50"/>
      <c r="T37" s="50"/>
    </row>
    <row r="38" spans="1:20" x14ac:dyDescent="0.2">
      <c r="N38" s="59" t="s">
        <v>135</v>
      </c>
      <c r="O38" s="49"/>
      <c r="P38" s="50">
        <v>0.03</v>
      </c>
      <c r="Q38" s="50"/>
      <c r="R38" s="50"/>
      <c r="S38" s="50"/>
      <c r="T38" s="50"/>
    </row>
    <row r="39" spans="1:20" x14ac:dyDescent="0.2">
      <c r="N39" s="61" t="s">
        <v>126</v>
      </c>
      <c r="O39" s="49"/>
      <c r="P39" s="50">
        <v>0.01</v>
      </c>
      <c r="Q39" s="50"/>
      <c r="R39" s="50"/>
      <c r="S39" s="50"/>
      <c r="T39" s="50"/>
    </row>
    <row r="40" spans="1:20" x14ac:dyDescent="0.2">
      <c r="N40" s="59" t="s">
        <v>115</v>
      </c>
      <c r="O40" s="49"/>
      <c r="P40" s="50">
        <v>0.01</v>
      </c>
      <c r="Q40" s="50"/>
      <c r="R40" s="50"/>
      <c r="S40" s="50"/>
      <c r="T40" s="50"/>
    </row>
    <row r="42" spans="1:20" x14ac:dyDescent="0.2">
      <c r="N42" s="53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 s="336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54" t="s">
        <v>136</v>
      </c>
      <c r="O43" s="36" t="s">
        <v>142</v>
      </c>
      <c r="P43" s="45" t="s">
        <v>143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 s="336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54" t="s">
        <v>85</v>
      </c>
      <c r="O44" s="62"/>
      <c r="P44" s="184" cm="1">
        <f t="array" aca="1" ref="P44" ca="1">INDIRECT("前端资源分配!L11")</f>
        <v>12240.000000000002</v>
      </c>
      <c r="Q44" s="63"/>
      <c r="R44" s="63">
        <v>12240.000000000002</v>
      </c>
      <c r="S44" s="63"/>
      <c r="T44" s="63">
        <v>12240.000000000002</v>
      </c>
    </row>
    <row r="45" spans="1:20" s="1" customFormat="1" ht="14.25" customHeight="1" x14ac:dyDescent="0.2">
      <c r="A45" s="336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75" t="s">
        <v>168</v>
      </c>
      <c r="O45" s="62"/>
      <c r="P45" s="184" cm="1">
        <f t="array" aca="1" ref="P45" ca="1">INDIRECT("前端资源分配!L7")</f>
        <v>340.50000000000006</v>
      </c>
      <c r="Q45" s="63"/>
      <c r="R45" s="63">
        <v>340.50000000000006</v>
      </c>
      <c r="S45" s="63"/>
      <c r="T45" s="63">
        <v>340.50000000000006</v>
      </c>
    </row>
    <row r="46" spans="1:20" s="1" customFormat="1" ht="14.25" customHeight="1" x14ac:dyDescent="0.2">
      <c r="A46" s="336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54" t="s">
        <v>166</v>
      </c>
      <c r="O46" s="62"/>
      <c r="P46" s="184" cm="1">
        <f t="array" aca="1" ref="P46" ca="1">INDIRECT("前端资源分配！L3")</f>
        <v>289.03000000000003</v>
      </c>
      <c r="Q46" s="63"/>
      <c r="R46" s="63">
        <v>289.03000000000003</v>
      </c>
      <c r="S46" s="63"/>
      <c r="T46" s="63">
        <v>289.03000000000003</v>
      </c>
    </row>
    <row r="47" spans="1:20" s="1" customFormat="1" ht="14.25" customHeight="1" x14ac:dyDescent="0.2">
      <c r="A47" s="336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54" t="s">
        <v>133</v>
      </c>
      <c r="O47" s="62"/>
      <c r="P47" s="184" cm="1">
        <f t="array" aca="1" ref="P47" ca="1">INDIRECT("前端资源分配！L23")</f>
        <v>819.4</v>
      </c>
      <c r="Q47" s="63"/>
      <c r="R47" s="63">
        <v>819.4</v>
      </c>
      <c r="S47" s="63"/>
      <c r="T47" s="63">
        <v>819.4</v>
      </c>
    </row>
    <row r="48" spans="1:20" s="1" customFormat="1" ht="14.25" customHeight="1" x14ac:dyDescent="0.2">
      <c r="A48" s="336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54" t="s">
        <v>80</v>
      </c>
      <c r="O48" s="62"/>
      <c r="P48" s="184" cm="1">
        <f t="array" aca="1" ref="P48" ca="1">INDIRECT("前端资源分配！L21")</f>
        <v>211.828</v>
      </c>
      <c r="Q48" s="63"/>
      <c r="R48" s="63">
        <v>211.828</v>
      </c>
      <c r="S48" s="63"/>
      <c r="T48" s="63">
        <v>211.828</v>
      </c>
    </row>
    <row r="49" spans="1:20" s="1" customFormat="1" ht="14.25" customHeight="1" x14ac:dyDescent="0.2">
      <c r="A49" s="336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54" t="s">
        <v>137</v>
      </c>
      <c r="O49" s="62"/>
      <c r="P49" s="184" cm="1">
        <f t="array" aca="1" ref="P49" ca="1">INDIRECT("前端资源分配！L33")</f>
        <v>12.864000000000001</v>
      </c>
      <c r="Q49" s="63"/>
      <c r="R49" s="63">
        <v>12.864000000000001</v>
      </c>
      <c r="S49" s="63"/>
      <c r="T49" s="63">
        <v>12.864000000000001</v>
      </c>
    </row>
    <row r="50" spans="1:20" s="1" customFormat="1" ht="14.25" customHeight="1" x14ac:dyDescent="0.2">
      <c r="A50" s="336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54" t="s">
        <v>134</v>
      </c>
      <c r="O50" s="62"/>
      <c r="P50" s="184" cm="1">
        <f t="array" aca="1" ref="P50" ca="1">INDIRECT("前端资源分配！L27")</f>
        <v>66.5</v>
      </c>
      <c r="Q50" s="63"/>
      <c r="R50" s="63">
        <v>66.5</v>
      </c>
      <c r="S50" s="63"/>
      <c r="T50" s="63">
        <v>66.5</v>
      </c>
    </row>
    <row r="51" spans="1:20" s="1" customFormat="1" ht="14.25" customHeight="1" x14ac:dyDescent="0.2">
      <c r="A51" s="336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54" t="s">
        <v>59</v>
      </c>
      <c r="O51" s="62"/>
      <c r="P51" s="184" cm="1">
        <f t="array" aca="1" ref="P51" ca="1">INDIRECT("前端资源分配！L36")</f>
        <v>102.77500000000001</v>
      </c>
      <c r="Q51" s="63"/>
      <c r="R51" s="63">
        <v>102.77500000000001</v>
      </c>
      <c r="S51" s="63"/>
      <c r="T51" s="63">
        <v>102.77500000000001</v>
      </c>
    </row>
    <row r="52" spans="1:20" s="1" customFormat="1" ht="14.25" customHeight="1" x14ac:dyDescent="0.2">
      <c r="A52" s="336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54" t="s">
        <v>52</v>
      </c>
      <c r="O52" s="62"/>
      <c r="P52" s="184" cm="1">
        <f t="array" aca="1" ref="P52" ca="1">INDIRECT("前端资源分配！L39")</f>
        <v>154.65</v>
      </c>
      <c r="Q52" s="63"/>
      <c r="R52" s="63">
        <v>154.65</v>
      </c>
      <c r="S52" s="63"/>
      <c r="T52" s="63">
        <v>154.65</v>
      </c>
    </row>
    <row r="53" spans="1:20" s="1" customFormat="1" ht="14.25" customHeight="1" x14ac:dyDescent="0.2">
      <c r="A53" s="336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54" t="s">
        <v>135</v>
      </c>
      <c r="O53" s="62"/>
      <c r="P53" s="184" cm="1">
        <f t="array" aca="1" ref="P53" ca="1">INDIRECT("前端资源分配！L46")</f>
        <v>129.60399999999998</v>
      </c>
      <c r="Q53" s="63"/>
      <c r="R53" s="63">
        <v>129.60399999999998</v>
      </c>
      <c r="S53" s="63"/>
      <c r="T53" s="63">
        <v>129.60399999999998</v>
      </c>
    </row>
    <row r="54" spans="1:20" s="1" customFormat="1" ht="14.25" customHeight="1" collapsed="1" x14ac:dyDescent="0.2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36"/>
      <c r="N54" s="56" t="s">
        <v>126</v>
      </c>
      <c r="O54" s="62"/>
      <c r="P54" s="184" cm="1">
        <f t="array" aca="1" ref="P54" ca="1">INDIRECT("前端资源分配！L44")</f>
        <v>38</v>
      </c>
      <c r="Q54" s="63"/>
      <c r="R54" s="63">
        <v>38</v>
      </c>
      <c r="S54" s="63"/>
      <c r="T54" s="63">
        <v>38</v>
      </c>
    </row>
    <row r="55" spans="1:20" s="1" customFormat="1" ht="14.25" customHeight="1" x14ac:dyDescent="0.2">
      <c r="A55" s="336"/>
      <c r="B55" s="336"/>
      <c r="C55" s="336"/>
      <c r="D55" s="336"/>
      <c r="E55" s="336"/>
      <c r="F55" s="336"/>
      <c r="G55" s="336"/>
      <c r="H55" s="336"/>
      <c r="I55" s="336"/>
      <c r="J55" s="336"/>
      <c r="K55" s="336"/>
      <c r="L55" s="336"/>
      <c r="M55" s="336"/>
      <c r="N55" s="54" t="s">
        <v>115</v>
      </c>
      <c r="O55" s="62"/>
      <c r="P55" s="184" cm="1">
        <f t="array" aca="1" ref="P55" ca="1">INDIRECT("前端资源分配！L45")</f>
        <v>4.1000000000000005</v>
      </c>
      <c r="Q55" s="63"/>
      <c r="R55" s="63">
        <v>4.1000000000000005</v>
      </c>
      <c r="S55" s="63"/>
      <c r="T55" s="63">
        <v>4.1000000000000005</v>
      </c>
    </row>
    <row r="56" spans="1:20" x14ac:dyDescent="0.2">
      <c r="N56" s="66" t="s">
        <v>162</v>
      </c>
      <c r="O56" s="67"/>
      <c r="P56" s="185">
        <f t="shared" ref="P56" ca="1" si="0">SUM(P44:P55)</f>
        <v>14409.251</v>
      </c>
      <c r="Q56" s="68"/>
      <c r="R56" s="68">
        <v>14409.251</v>
      </c>
      <c r="S56" s="68"/>
      <c r="T56" s="68">
        <v>14409.251</v>
      </c>
    </row>
    <row r="57" spans="1:20" x14ac:dyDescent="0.2">
      <c r="N57" s="18"/>
      <c r="O57" s="18"/>
      <c r="P57" s="63"/>
      <c r="Q57" s="117"/>
      <c r="R57" s="117"/>
      <c r="S57" s="117"/>
      <c r="T57" s="117"/>
    </row>
    <row r="58" spans="1:20" x14ac:dyDescent="0.2">
      <c r="N58" s="67" t="s">
        <v>242</v>
      </c>
      <c r="O58" s="67"/>
      <c r="P58" s="184" cm="1">
        <f t="array" aca="1" ref="P58" ca="1">INDIRECT("前端资源分配！E51")</f>
        <v>18784</v>
      </c>
      <c r="Q58" s="68"/>
      <c r="R58" s="68">
        <v>18784</v>
      </c>
      <c r="S58" s="68"/>
      <c r="T58" s="68">
        <v>18784</v>
      </c>
    </row>
    <row r="59" spans="1:20" x14ac:dyDescent="0.2">
      <c r="N59" s="67" t="s">
        <v>290</v>
      </c>
      <c r="O59" s="67"/>
      <c r="P59" s="73" cm="1">
        <f t="array" aca="1" ref="P59" ca="1">INDIRECT("前端资源分配！E52")</f>
        <v>21754</v>
      </c>
      <c r="Q59" s="73" cm="1">
        <f t="array" aca="1" ref="Q59" ca="1">INDIRECT("集群统计！L4")</f>
        <v>21754</v>
      </c>
      <c r="R59" s="73" cm="1">
        <f t="array" aca="1" ref="R59" ca="1">INDIRECT("集群统计！Q4")</f>
        <v>21754</v>
      </c>
      <c r="S59" s="73" cm="1">
        <f t="array" aca="1" ref="S59" ca="1">INDIRECT("集群统计！V4")</f>
        <v>21754</v>
      </c>
      <c r="T59" s="73" cm="1">
        <f t="array" aca="1" ref="T59" ca="1">INDIRECT("集群统计！AA4")</f>
        <v>21754</v>
      </c>
    </row>
    <row r="60" spans="1:20" x14ac:dyDescent="0.2">
      <c r="N60" s="67" t="s">
        <v>259</v>
      </c>
      <c r="O60" s="67"/>
      <c r="P60" s="129">
        <f ca="1">P58/P59</f>
        <v>0.86347338420520359</v>
      </c>
      <c r="Q60" s="129">
        <f ca="1">Q58/Q59</f>
        <v>0</v>
      </c>
      <c r="R60" s="129">
        <f ca="1">R58/R59</f>
        <v>0.86347338420520359</v>
      </c>
      <c r="S60" s="129">
        <f ca="1">S58/S59</f>
        <v>0</v>
      </c>
      <c r="T60" s="129">
        <f ca="1">T58/T59</f>
        <v>0.86347338420520359</v>
      </c>
    </row>
  </sheetData>
  <sortState xmlns:xlrd2="http://schemas.microsoft.com/office/spreadsheetml/2017/richdata2" ref="N17:T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zoomScale="130" zoomScaleNormal="130" workbookViewId="0">
      <selection activeCell="E20" sqref="E20"/>
    </sheetView>
  </sheetViews>
  <sheetFormatPr defaultColWidth="8.75" defaultRowHeight="14.25" x14ac:dyDescent="0.2"/>
  <cols>
    <col min="1" max="1" width="12.375" style="83" customWidth="1"/>
    <col min="2" max="2" width="13.25" style="83" customWidth="1"/>
    <col min="3" max="3" width="12.125" style="83" customWidth="1"/>
    <col min="4" max="4" width="18.875" style="83" customWidth="1"/>
    <col min="5" max="5" width="12.125" style="83" customWidth="1"/>
    <col min="6" max="6" width="6.75" style="83" customWidth="1"/>
    <col min="7" max="7" width="6.125" style="83" customWidth="1"/>
    <col min="8" max="8" width="13" style="83" customWidth="1"/>
    <col min="9" max="9" width="9.5" style="83" customWidth="1"/>
    <col min="10" max="10" width="10.375" style="83" customWidth="1"/>
    <col min="11" max="12" width="8.5" style="83" customWidth="1"/>
    <col min="13" max="13" width="9.125" style="83" customWidth="1"/>
    <col min="14" max="14" width="8.5" style="83" customWidth="1"/>
    <col min="15" max="16384" width="8.75" style="83"/>
  </cols>
  <sheetData>
    <row r="1" spans="1:14" x14ac:dyDescent="0.2">
      <c r="A1" s="82" t="s">
        <v>185</v>
      </c>
      <c r="B1" s="82"/>
    </row>
    <row r="2" spans="1:14" ht="40.5" customHeight="1" x14ac:dyDescent="0.2">
      <c r="A2" s="4" t="s">
        <v>0</v>
      </c>
      <c r="B2" s="8" t="s">
        <v>1</v>
      </c>
      <c r="C2" s="8" t="s">
        <v>2</v>
      </c>
      <c r="D2" s="8" t="s">
        <v>3</v>
      </c>
      <c r="E2" s="8" t="s">
        <v>186</v>
      </c>
      <c r="F2" s="8" t="s">
        <v>118</v>
      </c>
      <c r="G2" s="8" t="s">
        <v>5</v>
      </c>
      <c r="H2" s="3" t="s">
        <v>24</v>
      </c>
      <c r="I2" s="334" t="s">
        <v>131</v>
      </c>
      <c r="J2" s="334"/>
      <c r="K2" s="332" t="s">
        <v>120</v>
      </c>
      <c r="L2" s="332"/>
      <c r="M2" s="332"/>
      <c r="N2" s="333"/>
    </row>
    <row r="3" spans="1:14" ht="81.95" customHeight="1" x14ac:dyDescent="0.2">
      <c r="A3" s="3" t="s">
        <v>0</v>
      </c>
      <c r="B3" s="3" t="s">
        <v>1</v>
      </c>
      <c r="C3" s="3" t="s">
        <v>2</v>
      </c>
      <c r="D3" s="3" t="s">
        <v>150</v>
      </c>
      <c r="E3" s="3" t="s">
        <v>187</v>
      </c>
      <c r="F3" s="3" t="s">
        <v>188</v>
      </c>
      <c r="G3" s="3" t="s">
        <v>10</v>
      </c>
      <c r="H3" s="3" t="s">
        <v>29</v>
      </c>
      <c r="I3" s="200" t="s">
        <v>121</v>
      </c>
      <c r="J3" s="51" t="s">
        <v>122</v>
      </c>
      <c r="K3" s="26" t="s">
        <v>189</v>
      </c>
      <c r="L3" s="26" t="s">
        <v>129</v>
      </c>
      <c r="M3" s="28" t="s">
        <v>190</v>
      </c>
      <c r="N3" s="29" t="s">
        <v>191</v>
      </c>
    </row>
    <row r="4" spans="1:14" ht="15" customHeight="1" x14ac:dyDescent="0.2">
      <c r="A4" s="337" t="s">
        <v>192</v>
      </c>
      <c r="B4" s="84" t="s">
        <v>193</v>
      </c>
      <c r="C4" s="84" t="s">
        <v>194</v>
      </c>
      <c r="D4" s="85" t="s">
        <v>195</v>
      </c>
      <c r="E4" s="201">
        <v>8</v>
      </c>
      <c r="F4" s="86">
        <f>SUM(E4:E6)</f>
        <v>16</v>
      </c>
      <c r="G4" s="87"/>
      <c r="H4" s="87" t="s">
        <v>196</v>
      </c>
      <c r="I4" s="202">
        <v>0.19600000000000001</v>
      </c>
      <c r="J4" s="89">
        <v>0</v>
      </c>
      <c r="K4" s="90">
        <f>E4*I4</f>
        <v>1.5680000000000001</v>
      </c>
      <c r="L4" s="90">
        <f>SUM(K4:K6)</f>
        <v>3.7800000000000002</v>
      </c>
      <c r="M4" s="91">
        <f ca="1">LOOKUP(20000,$F$3:F4)/$E$12</f>
        <v>0.35555555555555557</v>
      </c>
      <c r="N4" s="41">
        <f>LOOKUP(20000,$L$3:L4)/LOOKUP(20000,$F$3:F4)</f>
        <v>0.23625000000000002</v>
      </c>
    </row>
    <row r="5" spans="1:14" ht="15.95" customHeight="1" x14ac:dyDescent="0.2">
      <c r="A5" s="338"/>
      <c r="B5" s="84" t="s">
        <v>193</v>
      </c>
      <c r="C5" s="84" t="s">
        <v>194</v>
      </c>
      <c r="D5" s="85" t="s">
        <v>197</v>
      </c>
      <c r="E5" s="201">
        <v>4</v>
      </c>
      <c r="F5" s="87"/>
      <c r="G5" s="87"/>
      <c r="H5" s="87" t="s">
        <v>196</v>
      </c>
      <c r="I5" s="202">
        <v>0.11600000000000001</v>
      </c>
      <c r="J5" s="89">
        <v>0</v>
      </c>
      <c r="K5" s="90">
        <f t="shared" ref="K5:K10" si="0">E5*I5</f>
        <v>0.46400000000000002</v>
      </c>
      <c r="L5" s="90"/>
      <c r="M5" s="91"/>
      <c r="N5" s="41"/>
    </row>
    <row r="6" spans="1:14" ht="15.6" customHeight="1" x14ac:dyDescent="0.2">
      <c r="A6" s="339"/>
      <c r="B6" s="84" t="s">
        <v>193</v>
      </c>
      <c r="C6" s="84" t="s">
        <v>194</v>
      </c>
      <c r="D6" s="85" t="s">
        <v>198</v>
      </c>
      <c r="E6" s="201">
        <v>4</v>
      </c>
      <c r="F6" s="87"/>
      <c r="G6" s="87"/>
      <c r="H6" s="87" t="s">
        <v>196</v>
      </c>
      <c r="I6" s="202">
        <v>0.437</v>
      </c>
      <c r="J6" s="89">
        <v>0</v>
      </c>
      <c r="K6" s="90">
        <f t="shared" si="0"/>
        <v>1.748</v>
      </c>
      <c r="L6" s="90"/>
      <c r="M6" s="91"/>
      <c r="N6" s="41"/>
    </row>
    <row r="7" spans="1:14" x14ac:dyDescent="0.2">
      <c r="A7" s="9" t="s">
        <v>199</v>
      </c>
      <c r="B7" s="92" t="s">
        <v>199</v>
      </c>
      <c r="C7" s="2" t="s">
        <v>200</v>
      </c>
      <c r="D7" s="2" t="s">
        <v>201</v>
      </c>
      <c r="E7" s="257">
        <v>40</v>
      </c>
      <c r="F7" s="93">
        <f>SUM(E7)</f>
        <v>40</v>
      </c>
      <c r="G7" s="94"/>
      <c r="H7" s="94" t="s">
        <v>196</v>
      </c>
      <c r="I7" s="202">
        <v>0.112</v>
      </c>
      <c r="J7" s="89">
        <v>0</v>
      </c>
      <c r="K7" s="90">
        <f t="shared" si="0"/>
        <v>4.4800000000000004</v>
      </c>
      <c r="L7" s="90">
        <f>SUM(K7)</f>
        <v>4.4800000000000004</v>
      </c>
      <c r="M7" s="91">
        <f ca="1">LOOKUP(20000,$F$3:F7)/$E$12</f>
        <v>0.88888888888888884</v>
      </c>
      <c r="N7" s="41">
        <f>LOOKUP(20000,$L$3:L7)/LOOKUP(20000,$F$3:F7)</f>
        <v>0.11200000000000002</v>
      </c>
    </row>
    <row r="8" spans="1:14" x14ac:dyDescent="0.2">
      <c r="A8" s="340" t="s">
        <v>13</v>
      </c>
      <c r="B8" s="95" t="s">
        <v>146</v>
      </c>
      <c r="C8" s="85" t="s">
        <v>202</v>
      </c>
      <c r="D8" s="85" t="s">
        <v>203</v>
      </c>
      <c r="E8" s="201">
        <v>1.5</v>
      </c>
      <c r="F8" s="86">
        <f>SUM(E8)</f>
        <v>1.5</v>
      </c>
      <c r="G8" s="87"/>
      <c r="H8" s="87" t="s">
        <v>196</v>
      </c>
      <c r="I8" s="202">
        <v>0</v>
      </c>
      <c r="J8" s="89">
        <v>0</v>
      </c>
      <c r="K8" s="90">
        <f t="shared" si="0"/>
        <v>0</v>
      </c>
      <c r="L8" s="90">
        <f t="shared" ref="L8:L10" si="1">SUM(K8)</f>
        <v>0</v>
      </c>
      <c r="M8" s="91">
        <f ca="1">LOOKUP(20000,$F$3:F8)/$E$12</f>
        <v>3.3333333333333333E-2</v>
      </c>
      <c r="N8" s="41">
        <f>LOOKUP(20000,$L$3:L8)/LOOKUP(20000,$F$3:F8)</f>
        <v>0</v>
      </c>
    </row>
    <row r="9" spans="1:14" x14ac:dyDescent="0.2">
      <c r="A9" s="340"/>
      <c r="B9" s="96" t="s">
        <v>204</v>
      </c>
      <c r="C9" s="17" t="s">
        <v>205</v>
      </c>
      <c r="D9" s="17" t="s">
        <v>206</v>
      </c>
      <c r="E9" s="201">
        <v>3</v>
      </c>
      <c r="F9" s="93">
        <f>SUM(E9)</f>
        <v>3</v>
      </c>
      <c r="G9" s="94"/>
      <c r="H9" s="94" t="s">
        <v>196</v>
      </c>
      <c r="I9" s="202">
        <v>3.3000000000000002E-2</v>
      </c>
      <c r="J9" s="89">
        <v>0</v>
      </c>
      <c r="K9" s="90">
        <f t="shared" si="0"/>
        <v>9.9000000000000005E-2</v>
      </c>
      <c r="L9" s="90">
        <f t="shared" si="1"/>
        <v>9.9000000000000005E-2</v>
      </c>
      <c r="M9" s="91">
        <f ca="1">LOOKUP(20000,$F$3:F9)/$E$12</f>
        <v>6.6666666666666666E-2</v>
      </c>
      <c r="N9" s="41">
        <f>LOOKUP(20000,$L$3:L9)/LOOKUP(20000,$F$3:F9)</f>
        <v>3.3000000000000002E-2</v>
      </c>
    </row>
    <row r="10" spans="1:14" x14ac:dyDescent="0.2">
      <c r="A10" s="341"/>
      <c r="B10" s="97" t="s">
        <v>207</v>
      </c>
      <c r="C10" s="85" t="s">
        <v>208</v>
      </c>
      <c r="D10" s="85" t="s">
        <v>209</v>
      </c>
      <c r="E10" s="201">
        <v>4</v>
      </c>
      <c r="F10" s="86">
        <f>SUM(E10)</f>
        <v>4</v>
      </c>
      <c r="G10" s="87"/>
      <c r="H10" s="87" t="s">
        <v>196</v>
      </c>
      <c r="I10" s="202">
        <v>3.9E-2</v>
      </c>
      <c r="J10" s="89">
        <v>0</v>
      </c>
      <c r="K10" s="90">
        <f t="shared" si="0"/>
        <v>0.156</v>
      </c>
      <c r="L10" s="90">
        <f t="shared" si="1"/>
        <v>0.156</v>
      </c>
      <c r="M10" s="91">
        <f ca="1">LOOKUP(20000,$F$3:F10)/$E$12</f>
        <v>8.8888888888888892E-2</v>
      </c>
      <c r="N10" s="41">
        <f>LOOKUP(20000,$L$3:L10)/LOOKUP(20000,$F$3:F10)</f>
        <v>3.9E-2</v>
      </c>
    </row>
    <row r="11" spans="1:14" ht="28.5" x14ac:dyDescent="0.2">
      <c r="A11" s="98"/>
      <c r="B11" s="98"/>
      <c r="C11" s="98"/>
      <c r="D11" s="92" t="s">
        <v>210</v>
      </c>
      <c r="E11" s="2">
        <f>SUM(E4:E10)</f>
        <v>64.5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98"/>
      <c r="B12" s="98"/>
      <c r="C12" s="98"/>
      <c r="D12" s="92" t="s">
        <v>211</v>
      </c>
      <c r="E12" s="63" cm="1">
        <f t="array" aca="1" ref="E12" ca="1">INDIRECT("集群统计！C5")</f>
        <v>45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98"/>
      <c r="B13" s="98"/>
      <c r="C13" s="98"/>
      <c r="D13" s="92" t="s">
        <v>212</v>
      </c>
      <c r="E13" s="42">
        <f ca="1">E11/E12</f>
        <v>1.4333333333333333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2">
      <c r="A15" s="82" t="s">
        <v>213</v>
      </c>
      <c r="B15" s="82"/>
    </row>
    <row r="16" spans="1:14" x14ac:dyDescent="0.2">
      <c r="A16" s="342" t="s">
        <v>13</v>
      </c>
      <c r="B16" s="96" t="s">
        <v>214</v>
      </c>
      <c r="C16" s="17" t="s">
        <v>215</v>
      </c>
      <c r="D16" s="17" t="s">
        <v>216</v>
      </c>
      <c r="E16" s="201">
        <v>5</v>
      </c>
      <c r="F16" s="93">
        <f>SUM(E16:E17)</f>
        <v>10</v>
      </c>
      <c r="G16" s="94"/>
      <c r="H16" s="94" t="s">
        <v>217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0.63</v>
      </c>
      <c r="M16" s="91">
        <f ca="1">LOOKUP(20000,$F$3:F16)/$E$23</f>
        <v>1.9379844961240309</v>
      </c>
      <c r="N16" s="41">
        <f>LOOKUP(20000,$L$3:L16)/LOOKUP(20000,$F$3:F16)</f>
        <v>6.3E-2</v>
      </c>
    </row>
    <row r="17" spans="1:14" x14ac:dyDescent="0.2">
      <c r="A17" s="340"/>
      <c r="B17" s="96" t="s">
        <v>214</v>
      </c>
      <c r="C17" s="17" t="s">
        <v>215</v>
      </c>
      <c r="D17" s="17" t="s">
        <v>218</v>
      </c>
      <c r="E17" s="201">
        <v>5</v>
      </c>
      <c r="F17" s="94"/>
      <c r="G17" s="94"/>
      <c r="H17" s="94" t="s">
        <v>217</v>
      </c>
      <c r="I17" s="88">
        <v>1.6E-2</v>
      </c>
      <c r="J17" s="89">
        <v>0</v>
      </c>
      <c r="K17" s="99">
        <f>E17*I17</f>
        <v>0.08</v>
      </c>
      <c r="L17" s="100"/>
      <c r="M17" s="101"/>
      <c r="N17" s="101"/>
    </row>
    <row r="18" spans="1:14" x14ac:dyDescent="0.2">
      <c r="A18" s="340"/>
      <c r="B18" s="95" t="s">
        <v>214</v>
      </c>
      <c r="C18" s="85" t="s">
        <v>215</v>
      </c>
      <c r="D18" s="85" t="s">
        <v>219</v>
      </c>
      <c r="E18" s="85" cm="1">
        <f t="array" aca="1" ref="E18" ca="1">INDIRECT("集群统计！C10")</f>
        <v>31.7</v>
      </c>
      <c r="F18" s="87"/>
      <c r="G18" s="87"/>
      <c r="H18" s="87"/>
      <c r="I18" s="130" cm="1">
        <f t="array" aca="1" ref="I18" ca="1">INDIRECT("集群统计！J10")</f>
        <v>0.11899999999999999</v>
      </c>
      <c r="J18" s="87"/>
      <c r="K18" s="87"/>
      <c r="L18" s="102">
        <f ca="1">E18*I18</f>
        <v>3.7722999999999995</v>
      </c>
      <c r="M18" s="87"/>
      <c r="N18" s="87"/>
    </row>
    <row r="19" spans="1:14" x14ac:dyDescent="0.2">
      <c r="A19" s="340"/>
      <c r="B19" s="95" t="s">
        <v>214</v>
      </c>
      <c r="C19" s="85" t="s">
        <v>215</v>
      </c>
      <c r="D19" s="85" t="s">
        <v>220</v>
      </c>
      <c r="E19" s="85" cm="1">
        <f t="array" aca="1" ref="E19" ca="1">INDIRECT("集群统计！C9")</f>
        <v>26.6</v>
      </c>
      <c r="F19" s="87"/>
      <c r="G19" s="87"/>
      <c r="H19" s="87"/>
      <c r="I19" s="130" cm="1">
        <f t="array" aca="1" ref="I19" ca="1">INDIRECT("集群统计！J9")</f>
        <v>8.4000000000000005E-2</v>
      </c>
      <c r="J19" s="87"/>
      <c r="K19" s="87"/>
      <c r="L19" s="102">
        <f t="shared" ref="L19:L21" ca="1" si="2">E19*I19</f>
        <v>2.2344000000000004</v>
      </c>
      <c r="M19" s="87"/>
      <c r="N19" s="87"/>
    </row>
    <row r="20" spans="1:14" x14ac:dyDescent="0.2">
      <c r="A20" s="340"/>
      <c r="B20" s="95" t="s">
        <v>214</v>
      </c>
      <c r="C20" s="85" t="s">
        <v>215</v>
      </c>
      <c r="D20" s="85" t="s">
        <v>221</v>
      </c>
      <c r="E20" s="85" cm="1">
        <f t="array" aca="1" ref="E20" ca="1">INDIRECT("集群统计！C8")</f>
        <v>30</v>
      </c>
      <c r="F20" s="87"/>
      <c r="G20" s="87"/>
      <c r="H20" s="87"/>
      <c r="I20" s="130" cm="1">
        <f t="array" aca="1" ref="I20" ca="1">INDIRECT("集群统计！J8")</f>
        <v>0.318</v>
      </c>
      <c r="J20" s="87"/>
      <c r="K20" s="87"/>
      <c r="L20" s="102">
        <f t="shared" ca="1" si="2"/>
        <v>9.5400000000000009</v>
      </c>
      <c r="M20" s="87"/>
      <c r="N20" s="87"/>
    </row>
    <row r="21" spans="1:14" ht="28.5" x14ac:dyDescent="0.2">
      <c r="A21" s="341"/>
      <c r="B21" s="95" t="s">
        <v>214</v>
      </c>
      <c r="C21" s="85" t="s">
        <v>215</v>
      </c>
      <c r="D21" s="85" t="s">
        <v>222</v>
      </c>
      <c r="E21" s="85" cm="1">
        <f t="array" aca="1" ref="E21" ca="1">INDIRECT("集群统计！C11")</f>
        <v>18.7</v>
      </c>
      <c r="F21" s="87"/>
      <c r="G21" s="87"/>
      <c r="H21" s="87"/>
      <c r="I21" s="130" cm="1">
        <f t="array" aca="1" ref="I21" ca="1">INDIRECT("集群统计！J11")</f>
        <v>0.17</v>
      </c>
      <c r="J21" s="87"/>
      <c r="K21" s="87"/>
      <c r="L21" s="102">
        <f t="shared" ca="1" si="2"/>
        <v>3.1790000000000003</v>
      </c>
      <c r="M21" s="87"/>
      <c r="N21" s="87"/>
    </row>
    <row r="22" spans="1:14" ht="28.5" x14ac:dyDescent="0.2">
      <c r="A22" s="103"/>
      <c r="B22" s="103"/>
      <c r="C22" s="103"/>
      <c r="D22" s="92" t="s">
        <v>210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x14ac:dyDescent="0.2">
      <c r="D23" s="92" t="s">
        <v>211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D24" s="92" t="s">
        <v>212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2">
      <c r="A26" s="82" t="s">
        <v>223</v>
      </c>
      <c r="B26" s="82"/>
    </row>
    <row r="27" spans="1:14" x14ac:dyDescent="0.2">
      <c r="A27" s="104" t="s">
        <v>13</v>
      </c>
      <c r="B27" s="85" t="s">
        <v>146</v>
      </c>
      <c r="C27" s="85" t="s">
        <v>202</v>
      </c>
      <c r="D27" s="85" t="s">
        <v>224</v>
      </c>
      <c r="E27" s="201">
        <v>11</v>
      </c>
      <c r="F27" s="86">
        <f>SUM(E27)</f>
        <v>11</v>
      </c>
      <c r="G27" s="87"/>
      <c r="H27" s="87" t="s">
        <v>225</v>
      </c>
      <c r="I27" s="256">
        <v>0.21299999999999999</v>
      </c>
      <c r="J27" s="89">
        <v>0</v>
      </c>
      <c r="K27" s="90">
        <f t="shared" ref="K27" si="3">E27*I27</f>
        <v>2.343</v>
      </c>
      <c r="L27" s="90">
        <f t="shared" ref="L27" si="4">SUM(K27)</f>
        <v>2.343</v>
      </c>
      <c r="M27" s="91">
        <f ca="1">LOOKUP(20000,$F$3:F27)/$E$29</f>
        <v>1.0679611650485437</v>
      </c>
      <c r="N27" s="41">
        <f>LOOKUP(20000,$L$3:L27)/LOOKUP(20000,$F$3:F27)</f>
        <v>0.21299999999999999</v>
      </c>
    </row>
    <row r="28" spans="1:14" ht="28.5" x14ac:dyDescent="0.2">
      <c r="D28" s="92" t="s">
        <v>210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D29" s="92" t="s">
        <v>226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D30" s="92" t="s">
        <v>212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7"/>
  <sheetViews>
    <sheetView tabSelected="1" zoomScale="145" zoomScaleNormal="145" workbookViewId="0">
      <selection activeCell="R22" sqref="R22"/>
    </sheetView>
  </sheetViews>
  <sheetFormatPr defaultRowHeight="14.25" x14ac:dyDescent="0.2"/>
  <cols>
    <col min="1" max="2" width="8.625" customWidth="1"/>
    <col min="14" max="14" width="13" customWidth="1"/>
    <col min="15" max="15" width="12.5" customWidth="1"/>
    <col min="16" max="18" width="11.125" style="48" customWidth="1"/>
    <col min="19" max="19" width="15.625" style="48" customWidth="1"/>
    <col min="20" max="20" width="11.125" style="48" customWidth="1"/>
  </cols>
  <sheetData>
    <row r="1" spans="14:20" x14ac:dyDescent="0.2">
      <c r="N1" s="53"/>
      <c r="O1" s="14"/>
      <c r="P1" s="186" t="s">
        <v>520</v>
      </c>
      <c r="Q1" s="44"/>
      <c r="R1" s="44"/>
      <c r="S1" s="44"/>
      <c r="T1" s="44"/>
    </row>
    <row r="2" spans="14:20" x14ac:dyDescent="0.2">
      <c r="N2" s="54" t="s">
        <v>136</v>
      </c>
      <c r="O2" s="36" t="s">
        <v>227</v>
      </c>
      <c r="P2" s="45" t="s">
        <v>140</v>
      </c>
      <c r="Q2" s="45" t="s">
        <v>286</v>
      </c>
      <c r="R2" s="45" t="s">
        <v>285</v>
      </c>
      <c r="S2" s="45" t="s">
        <v>284</v>
      </c>
      <c r="T2" s="45" t="s">
        <v>283</v>
      </c>
    </row>
    <row r="3" spans="14:20" ht="14.25" customHeight="1" x14ac:dyDescent="0.2">
      <c r="N3" s="105" t="s">
        <v>194</v>
      </c>
      <c r="O3" s="62"/>
      <c r="P3" s="65" cm="1">
        <f t="array" aca="1" ref="P3" ca="1">INDIRECT("中端和后端资源分配！M4")</f>
        <v>0.35555555555555557</v>
      </c>
      <c r="Q3" s="358">
        <v>0.19536019536019536</v>
      </c>
      <c r="R3" s="45">
        <v>0.35555555555555557</v>
      </c>
      <c r="S3" s="359">
        <v>0.21080368906455862</v>
      </c>
      <c r="T3" s="45">
        <v>0.35555555555555557</v>
      </c>
    </row>
    <row r="4" spans="14:20" x14ac:dyDescent="0.2">
      <c r="N4" s="17" t="s">
        <v>200</v>
      </c>
      <c r="O4" s="62"/>
      <c r="P4" s="65" cm="1">
        <f t="array" aca="1" ref="P4" ca="1">INDIRECT("中端和后端资源分配！M7")</f>
        <v>0.88888888888888884</v>
      </c>
      <c r="Q4" s="358">
        <v>0.61050061050061044</v>
      </c>
      <c r="R4" s="45">
        <v>0.88888888888888884</v>
      </c>
      <c r="S4" s="359">
        <v>0.65876152832674562</v>
      </c>
      <c r="T4" s="45">
        <v>0.88888888888888884</v>
      </c>
    </row>
    <row r="5" spans="14:20" x14ac:dyDescent="0.2">
      <c r="N5" s="17" t="s">
        <v>202</v>
      </c>
      <c r="O5" s="62"/>
      <c r="P5" s="65" cm="1">
        <f t="array" aca="1" ref="P5" ca="1">INDIRECT("中端和后端资源分配！M8")</f>
        <v>3.3333333333333333E-2</v>
      </c>
      <c r="Q5" s="358">
        <v>7.326007326007325E-2</v>
      </c>
      <c r="R5" s="45">
        <v>3.3333333333333333E-2</v>
      </c>
      <c r="S5" s="359">
        <v>7.9051383399209474E-2</v>
      </c>
      <c r="T5" s="45">
        <v>3.3333333333333333E-2</v>
      </c>
    </row>
    <row r="6" spans="14:20" x14ac:dyDescent="0.2">
      <c r="N6" s="17" t="s">
        <v>205</v>
      </c>
      <c r="O6" s="62"/>
      <c r="P6" s="65" cm="1">
        <f t="array" aca="1" ref="P6" ca="1">INDIRECT("中端和后端资源分配！M9")</f>
        <v>6.6666666666666666E-2</v>
      </c>
      <c r="Q6" s="358">
        <v>3.6630036630036625E-2</v>
      </c>
      <c r="R6" s="45">
        <v>6.6666666666666666E-2</v>
      </c>
      <c r="S6" s="359">
        <v>3.9525691699604737E-2</v>
      </c>
      <c r="T6" s="45">
        <v>6.6666666666666666E-2</v>
      </c>
    </row>
    <row r="7" spans="14:20" x14ac:dyDescent="0.2">
      <c r="N7" s="17" t="s">
        <v>208</v>
      </c>
      <c r="O7" s="62"/>
      <c r="P7" s="65" cm="1">
        <f t="array" aca="1" ref="P7" ca="1">INDIRECT("中端和后端资源分配！M10")</f>
        <v>8.8888888888888892E-2</v>
      </c>
      <c r="Q7" s="358">
        <v>4.884004884004884E-2</v>
      </c>
      <c r="R7" s="45">
        <v>8.8888888888888892E-2</v>
      </c>
      <c r="S7" s="359">
        <v>5.2700922266139656E-2</v>
      </c>
      <c r="T7" s="45">
        <v>8.8888888888888892E-2</v>
      </c>
    </row>
    <row r="8" spans="14:20" x14ac:dyDescent="0.2">
      <c r="N8" s="54"/>
      <c r="O8" s="62"/>
      <c r="P8" s="45"/>
      <c r="Q8" s="45"/>
      <c r="R8" s="45"/>
      <c r="S8" s="45"/>
      <c r="T8" s="45"/>
    </row>
    <row r="9" spans="14:20" x14ac:dyDescent="0.2">
      <c r="N9" s="54"/>
      <c r="O9" s="62"/>
      <c r="P9" s="45"/>
      <c r="Q9" s="45"/>
      <c r="R9" s="45"/>
      <c r="S9" s="45"/>
      <c r="T9" s="45"/>
    </row>
    <row r="10" spans="14:20" x14ac:dyDescent="0.2">
      <c r="N10" s="54"/>
      <c r="O10" s="62"/>
      <c r="P10" s="45"/>
      <c r="Q10" s="45"/>
      <c r="R10" s="45"/>
      <c r="S10" s="45"/>
      <c r="T10" s="45"/>
    </row>
    <row r="11" spans="14:20" x14ac:dyDescent="0.2">
      <c r="N11" s="54"/>
      <c r="O11" s="62"/>
      <c r="P11" s="45"/>
      <c r="Q11" s="45"/>
      <c r="R11" s="45"/>
      <c r="S11" s="45"/>
      <c r="T11" s="45"/>
    </row>
    <row r="12" spans="14:20" x14ac:dyDescent="0.2">
      <c r="N12" s="54"/>
      <c r="O12" s="62"/>
      <c r="P12" s="45"/>
      <c r="Q12" s="45"/>
      <c r="R12" s="45"/>
      <c r="S12" s="45"/>
      <c r="T12" s="45"/>
    </row>
    <row r="13" spans="14:20" x14ac:dyDescent="0.2">
      <c r="N13" s="106"/>
      <c r="O13" s="62"/>
      <c r="P13" s="45"/>
      <c r="Q13" s="45"/>
      <c r="R13" s="45"/>
      <c r="S13" s="45"/>
      <c r="T13" s="45"/>
    </row>
    <row r="14" spans="14:20" x14ac:dyDescent="0.2">
      <c r="N14" s="54"/>
      <c r="O14" s="62"/>
      <c r="P14" s="45"/>
      <c r="Q14" s="45"/>
      <c r="R14" s="45"/>
      <c r="S14" s="45"/>
      <c r="T14" s="45"/>
    </row>
    <row r="15" spans="14:20" x14ac:dyDescent="0.2">
      <c r="N15" s="57"/>
      <c r="O15" s="34"/>
      <c r="P15" s="46"/>
      <c r="Q15" s="46"/>
      <c r="R15" s="46"/>
      <c r="S15" s="46"/>
      <c r="T15" s="46"/>
    </row>
    <row r="16" spans="14:20" ht="14.25" customHeight="1" x14ac:dyDescent="0.2">
      <c r="N16" s="105" t="s">
        <v>194</v>
      </c>
      <c r="O16" s="36" t="s">
        <v>121</v>
      </c>
      <c r="P16" s="65" cm="1">
        <f t="array" aca="1" ref="P16" ca="1">INDIRECT("中端和后端资源分配！N4")</f>
        <v>0.23625000000000002</v>
      </c>
      <c r="Q16" s="360">
        <v>0.21775</v>
      </c>
      <c r="R16" s="45">
        <v>0.23625000000000002</v>
      </c>
      <c r="S16" s="361">
        <v>0.27725</v>
      </c>
      <c r="T16" s="45">
        <v>0.23625000000000002</v>
      </c>
    </row>
    <row r="17" spans="14:20" x14ac:dyDescent="0.2">
      <c r="N17" s="17" t="s">
        <v>200</v>
      </c>
      <c r="O17" s="36"/>
      <c r="P17" s="65" cm="1">
        <f t="array" aca="1" ref="P17" ca="1">INDIRECT("中端和后端资源分配！N7")</f>
        <v>0.11200000000000002</v>
      </c>
      <c r="Q17" s="360">
        <v>0.19900000000000001</v>
      </c>
      <c r="R17" s="45">
        <v>0.11200000000000002</v>
      </c>
      <c r="S17" s="361">
        <v>8.2000000000000017E-2</v>
      </c>
      <c r="T17" s="45">
        <v>0.11200000000000002</v>
      </c>
    </row>
    <row r="18" spans="14:20" x14ac:dyDescent="0.2">
      <c r="N18" s="17" t="s">
        <v>202</v>
      </c>
      <c r="O18" s="36"/>
      <c r="P18" s="65" cm="1">
        <f t="array" aca="1" ref="P18" ca="1">INDIRECT("中端和后端资源分配！N8")</f>
        <v>0</v>
      </c>
      <c r="Q18" s="360">
        <v>0.40500000000000003</v>
      </c>
      <c r="R18" s="45">
        <v>0</v>
      </c>
      <c r="S18" s="361">
        <v>0.17699999999999996</v>
      </c>
      <c r="T18" s="45">
        <v>0</v>
      </c>
    </row>
    <row r="19" spans="14:20" x14ac:dyDescent="0.2">
      <c r="N19" s="17" t="s">
        <v>205</v>
      </c>
      <c r="O19" s="36"/>
      <c r="P19" s="65" cm="1">
        <f t="array" aca="1" ref="P19" ca="1">INDIRECT("中端和后端资源分配！N9")</f>
        <v>3.3000000000000002E-2</v>
      </c>
      <c r="Q19" s="360">
        <v>0.06</v>
      </c>
      <c r="R19" s="45">
        <v>3.3000000000000002E-2</v>
      </c>
      <c r="S19" s="361">
        <v>1.7000000000000001E-2</v>
      </c>
      <c r="T19" s="45">
        <v>3.3000000000000002E-2</v>
      </c>
    </row>
    <row r="20" spans="14:20" x14ac:dyDescent="0.2">
      <c r="N20" s="17" t="s">
        <v>208</v>
      </c>
      <c r="O20" s="36"/>
      <c r="P20" s="65" cm="1">
        <f t="array" aca="1" ref="P20" ca="1">INDIRECT("中端和后端资源分配！N10")</f>
        <v>3.9E-2</v>
      </c>
      <c r="Q20" s="360">
        <v>9.6000000000000002E-2</v>
      </c>
      <c r="R20" s="45">
        <v>3.9E-2</v>
      </c>
      <c r="S20" s="361">
        <v>7.0000000000000007E-2</v>
      </c>
      <c r="T20" s="45">
        <v>3.9E-2</v>
      </c>
    </row>
    <row r="21" spans="14:20" x14ac:dyDescent="0.2">
      <c r="N21" s="54"/>
      <c r="O21" s="36"/>
      <c r="P21" s="45"/>
      <c r="Q21" s="45"/>
      <c r="R21" s="45"/>
      <c r="S21" s="45"/>
      <c r="T21" s="45"/>
    </row>
    <row r="22" spans="14:20" x14ac:dyDescent="0.2">
      <c r="N22" s="54"/>
      <c r="O22" s="36"/>
      <c r="P22" s="45"/>
      <c r="Q22" s="45"/>
      <c r="R22" s="45"/>
      <c r="S22" s="45"/>
      <c r="T22" s="45"/>
    </row>
    <row r="23" spans="14:20" x14ac:dyDescent="0.2">
      <c r="N23" s="54"/>
      <c r="O23" s="36"/>
      <c r="P23" s="45"/>
      <c r="Q23" s="45"/>
      <c r="R23" s="45"/>
      <c r="S23" s="45"/>
      <c r="T23" s="45"/>
    </row>
    <row r="24" spans="14:20" x14ac:dyDescent="0.2">
      <c r="N24" s="54"/>
      <c r="O24" s="36"/>
      <c r="P24" s="45"/>
      <c r="Q24" s="45"/>
      <c r="R24" s="45"/>
      <c r="S24" s="45"/>
      <c r="T24" s="45"/>
    </row>
    <row r="25" spans="14:20" x14ac:dyDescent="0.2">
      <c r="N25" s="54"/>
      <c r="O25" s="36"/>
      <c r="P25" s="45"/>
      <c r="Q25" s="45"/>
      <c r="R25" s="45"/>
      <c r="S25" s="45"/>
      <c r="T25" s="45"/>
    </row>
    <row r="26" spans="14:20" x14ac:dyDescent="0.2">
      <c r="N26" s="106"/>
      <c r="O26" s="36"/>
      <c r="P26" s="45"/>
      <c r="Q26" s="45"/>
      <c r="R26" s="45"/>
      <c r="S26" s="45"/>
      <c r="T26" s="45"/>
    </row>
    <row r="27" spans="14:20" x14ac:dyDescent="0.2">
      <c r="N27" s="54"/>
      <c r="O27" s="36"/>
      <c r="P27" s="45"/>
      <c r="Q27" s="45"/>
      <c r="R27" s="45"/>
      <c r="S27" s="45"/>
      <c r="T27" s="45"/>
    </row>
    <row r="28" spans="14:20" x14ac:dyDescent="0.2">
      <c r="N28" s="58"/>
      <c r="O28" s="35"/>
      <c r="P28" s="47"/>
      <c r="Q28" s="47"/>
      <c r="R28" s="47"/>
      <c r="S28" s="47"/>
      <c r="T28" s="47"/>
    </row>
    <row r="29" spans="14:20" ht="14.25" customHeight="1" x14ac:dyDescent="0.2">
      <c r="N29" s="107" t="s">
        <v>194</v>
      </c>
      <c r="O29" s="49" t="s">
        <v>122</v>
      </c>
      <c r="P29" s="50">
        <v>0</v>
      </c>
      <c r="Q29" s="50"/>
      <c r="R29" s="50"/>
      <c r="S29" s="50"/>
      <c r="T29" s="50"/>
    </row>
    <row r="30" spans="14:20" x14ac:dyDescent="0.2">
      <c r="N30" s="108" t="s">
        <v>200</v>
      </c>
      <c r="O30" s="49"/>
      <c r="P30" s="50">
        <v>0</v>
      </c>
      <c r="Q30" s="50"/>
      <c r="R30" s="50"/>
      <c r="S30" s="50"/>
      <c r="T30" s="50"/>
    </row>
    <row r="31" spans="14:20" x14ac:dyDescent="0.2">
      <c r="N31" s="108" t="s">
        <v>202</v>
      </c>
      <c r="O31" s="49"/>
      <c r="P31" s="50">
        <v>0</v>
      </c>
      <c r="Q31" s="50"/>
      <c r="R31" s="50"/>
      <c r="S31" s="50"/>
      <c r="T31" s="50"/>
    </row>
    <row r="32" spans="14:20" x14ac:dyDescent="0.2">
      <c r="N32" s="108" t="s">
        <v>205</v>
      </c>
      <c r="O32" s="49"/>
      <c r="P32" s="50">
        <v>0</v>
      </c>
      <c r="Q32" s="50"/>
      <c r="R32" s="50"/>
      <c r="S32" s="50"/>
      <c r="T32" s="50"/>
    </row>
    <row r="33" spans="1:20" x14ac:dyDescent="0.2">
      <c r="N33" s="108" t="s">
        <v>208</v>
      </c>
      <c r="O33" s="49"/>
      <c r="P33" s="50">
        <v>0</v>
      </c>
      <c r="Q33" s="50"/>
      <c r="R33" s="50"/>
      <c r="S33" s="50"/>
      <c r="T33" s="50"/>
    </row>
    <row r="34" spans="1:20" x14ac:dyDescent="0.2">
      <c r="N34" s="59"/>
      <c r="O34" s="49"/>
      <c r="P34" s="50"/>
      <c r="Q34" s="50"/>
      <c r="R34" s="50"/>
      <c r="S34" s="50"/>
      <c r="T34" s="50"/>
    </row>
    <row r="35" spans="1:20" x14ac:dyDescent="0.2">
      <c r="N35" s="59"/>
      <c r="O35" s="49"/>
      <c r="P35" s="50"/>
      <c r="Q35" s="50"/>
      <c r="R35" s="50"/>
      <c r="S35" s="50"/>
      <c r="T35" s="50"/>
    </row>
    <row r="36" spans="1:20" x14ac:dyDescent="0.2">
      <c r="N36" s="59"/>
      <c r="O36" s="49"/>
      <c r="P36" s="50"/>
      <c r="Q36" s="50"/>
      <c r="R36" s="50"/>
      <c r="S36" s="50"/>
      <c r="T36" s="50"/>
    </row>
    <row r="37" spans="1:20" x14ac:dyDescent="0.2">
      <c r="N37" s="59"/>
      <c r="O37" s="49"/>
      <c r="P37" s="50"/>
      <c r="Q37" s="50"/>
      <c r="R37" s="50"/>
      <c r="S37" s="50"/>
      <c r="T37" s="50"/>
    </row>
    <row r="38" spans="1:20" x14ac:dyDescent="0.2">
      <c r="N38" s="59"/>
      <c r="O38" s="49"/>
      <c r="P38" s="50"/>
      <c r="Q38" s="50"/>
      <c r="R38" s="50"/>
      <c r="S38" s="50"/>
      <c r="T38" s="50"/>
    </row>
    <row r="39" spans="1:20" x14ac:dyDescent="0.2">
      <c r="N39" s="109"/>
      <c r="O39" s="49"/>
      <c r="P39" s="50"/>
      <c r="Q39" s="50"/>
      <c r="R39" s="50"/>
      <c r="S39" s="50"/>
      <c r="T39" s="50"/>
    </row>
    <row r="40" spans="1:20" x14ac:dyDescent="0.2">
      <c r="N40" s="59"/>
      <c r="O40" s="49"/>
      <c r="P40" s="50"/>
      <c r="Q40" s="50"/>
      <c r="R40" s="50"/>
      <c r="S40" s="50"/>
      <c r="T40" s="50"/>
    </row>
    <row r="42" spans="1:20" x14ac:dyDescent="0.2">
      <c r="N42" s="14"/>
      <c r="O42" s="14"/>
      <c r="P42" s="44"/>
      <c r="Q42" s="44"/>
      <c r="R42" s="44"/>
      <c r="S42" s="44"/>
      <c r="T42" s="44"/>
    </row>
    <row r="43" spans="1:20" s="1" customFormat="1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228</v>
      </c>
      <c r="O43" s="36" t="s">
        <v>229</v>
      </c>
      <c r="P43" s="45" t="s">
        <v>140</v>
      </c>
      <c r="Q43" s="45" t="s">
        <v>286</v>
      </c>
      <c r="R43" s="45" t="s">
        <v>285</v>
      </c>
      <c r="S43" s="45" t="s">
        <v>284</v>
      </c>
      <c r="T43" s="45" t="s">
        <v>283</v>
      </c>
    </row>
    <row r="44" spans="1:20" s="1" customFormat="1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194</v>
      </c>
      <c r="O44" s="62"/>
      <c r="P44" s="203" cm="1">
        <f t="array" aca="1" ref="P44" ca="1">INDIRECT("中端和后端资源分配!L4")</f>
        <v>3.7800000000000002</v>
      </c>
      <c r="Q44" s="110"/>
      <c r="R44" s="110">
        <v>3.7800000000000002</v>
      </c>
      <c r="S44" s="110"/>
      <c r="T44" s="110">
        <v>3.7800000000000002</v>
      </c>
    </row>
    <row r="45" spans="1:20" s="1" customFormat="1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200</v>
      </c>
      <c r="O45" s="62"/>
      <c r="P45" s="203" cm="1">
        <f t="array" aca="1" ref="P45" ca="1">INDIRECT("中端和后端资源分配!L7")</f>
        <v>4.4800000000000004</v>
      </c>
      <c r="Q45" s="110"/>
      <c r="R45" s="110">
        <v>4.4800000000000004</v>
      </c>
      <c r="S45" s="110"/>
      <c r="T45" s="110">
        <v>4.4800000000000004</v>
      </c>
    </row>
    <row r="46" spans="1:20" s="1" customFormat="1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202</v>
      </c>
      <c r="O46" s="62"/>
      <c r="P46" s="203" cm="1">
        <f t="array" aca="1" ref="P46" ca="1">INDIRECT("中端和后端资源分配!L8")</f>
        <v>0</v>
      </c>
      <c r="Q46" s="110"/>
      <c r="R46" s="110">
        <v>0</v>
      </c>
      <c r="S46" s="110"/>
      <c r="T46" s="110">
        <v>0</v>
      </c>
    </row>
    <row r="47" spans="1:20" s="1" customFormat="1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205</v>
      </c>
      <c r="O47" s="62"/>
      <c r="P47" s="203" cm="1">
        <f t="array" aca="1" ref="P47" ca="1">INDIRECT("中端和后端资源分配!L9")</f>
        <v>9.9000000000000005E-2</v>
      </c>
      <c r="Q47" s="110"/>
      <c r="R47" s="110">
        <v>9.9000000000000005E-2</v>
      </c>
      <c r="S47" s="110"/>
      <c r="T47" s="110">
        <v>9.9000000000000005E-2</v>
      </c>
    </row>
    <row r="48" spans="1:20" s="1" customFormat="1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208</v>
      </c>
      <c r="O48" s="62"/>
      <c r="P48" s="203" cm="1">
        <f t="array" aca="1" ref="P48" ca="1">INDIRECT("中端和后端资源分配!L10")</f>
        <v>0.156</v>
      </c>
      <c r="Q48" s="110"/>
      <c r="R48" s="110">
        <v>0.156</v>
      </c>
      <c r="S48" s="110"/>
      <c r="T48" s="110">
        <v>0.156</v>
      </c>
    </row>
    <row r="49" spans="1:20" s="1" customFormat="1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203"/>
      <c r="Q49" s="110"/>
      <c r="R49" s="110"/>
      <c r="S49" s="110"/>
      <c r="T49" s="110"/>
    </row>
    <row r="50" spans="1:20" x14ac:dyDescent="0.2">
      <c r="N50" s="66" t="s">
        <v>230</v>
      </c>
      <c r="O50" s="67" t="s">
        <v>229</v>
      </c>
      <c r="P50" s="204">
        <f ca="1">SUM(P44:P48)</f>
        <v>8.5150000000000023</v>
      </c>
      <c r="Q50" s="111">
        <f>SUM(Q44:Q48)</f>
        <v>0</v>
      </c>
      <c r="R50" s="111">
        <v>8.5150000000000023</v>
      </c>
      <c r="S50" s="111">
        <f>SUM(S44:S48)</f>
        <v>0</v>
      </c>
      <c r="T50" s="111">
        <v>8.5150000000000023</v>
      </c>
    </row>
    <row r="51" spans="1:20" x14ac:dyDescent="0.2">
      <c r="N51" s="5"/>
      <c r="P51" s="112"/>
      <c r="Q51" s="112"/>
      <c r="R51" s="112"/>
      <c r="S51" s="112"/>
      <c r="T51" s="112"/>
    </row>
    <row r="52" spans="1:20" x14ac:dyDescent="0.2">
      <c r="N52" s="67" t="s">
        <v>243</v>
      </c>
      <c r="O52" s="67"/>
      <c r="P52" s="203" cm="1">
        <f t="array" aca="1" ref="P52" ca="1">INDIRECT("中端和后端资源分配！E11")</f>
        <v>64.5</v>
      </c>
      <c r="Q52" s="131"/>
      <c r="R52" s="131">
        <v>64.5</v>
      </c>
      <c r="S52" s="111"/>
      <c r="T52" s="111">
        <v>64.5</v>
      </c>
    </row>
    <row r="53" spans="1:20" x14ac:dyDescent="0.2">
      <c r="N53" s="67" t="s">
        <v>291</v>
      </c>
      <c r="O53" s="67"/>
      <c r="P53" s="131" cm="1">
        <f t="array" aca="1" ref="P53" ca="1">INDIRECT("中端和后端资源分配！E12")</f>
        <v>45</v>
      </c>
      <c r="Q53" s="131" cm="1">
        <f t="array" aca="1" ref="Q53" ca="1">INDIRECT("集群统计！M5")</f>
        <v>45</v>
      </c>
      <c r="R53" s="131" cm="1">
        <f t="array" aca="1" ref="R53" ca="1">INDIRECT("集群统计！R5")</f>
        <v>45</v>
      </c>
      <c r="S53" s="131" cm="1">
        <f t="array" aca="1" ref="S53" ca="1">INDIRECT("集群统计！W5")</f>
        <v>45</v>
      </c>
      <c r="T53" s="131" cm="1">
        <f t="array" aca="1" ref="T53" ca="1">INDIRECT("集群统计！AB5")</f>
        <v>45</v>
      </c>
    </row>
    <row r="54" spans="1:20" x14ac:dyDescent="0.2">
      <c r="N54" s="69" t="s">
        <v>292</v>
      </c>
      <c r="O54" s="69"/>
      <c r="P54" s="114">
        <f ca="1">P52/P53</f>
        <v>1.4333333333333333</v>
      </c>
      <c r="Q54" s="114">
        <f t="shared" ref="Q54:T54" ca="1" si="0">Q52/Q53</f>
        <v>0</v>
      </c>
      <c r="R54" s="114">
        <f t="shared" ca="1" si="0"/>
        <v>1.4333333333333333</v>
      </c>
      <c r="S54" s="114">
        <f t="shared" ca="1" si="0"/>
        <v>0</v>
      </c>
      <c r="T54" s="114">
        <f t="shared" ca="1" si="0"/>
        <v>1.4333333333333333</v>
      </c>
    </row>
    <row r="55" spans="1:20" x14ac:dyDescent="0.2">
      <c r="N55" s="48"/>
      <c r="O55" s="48"/>
    </row>
    <row r="56" spans="1:20" x14ac:dyDescent="0.2">
      <c r="N56" s="48"/>
      <c r="O56" s="48"/>
    </row>
    <row r="57" spans="1:20" x14ac:dyDescent="0.2">
      <c r="N57" s="67" t="s">
        <v>231</v>
      </c>
      <c r="O57" s="67" t="s">
        <v>229</v>
      </c>
      <c r="P57" s="203" cm="1">
        <f t="array" aca="1" ref="P57" ca="1">INDIRECT("中端和后端资源分配!L27")</f>
        <v>2.343</v>
      </c>
      <c r="Q57" s="110"/>
      <c r="R57" s="110">
        <v>2.343</v>
      </c>
      <c r="S57" s="110"/>
      <c r="T57" s="113">
        <v>2.343</v>
      </c>
    </row>
    <row r="58" spans="1:20" x14ac:dyDescent="0.2">
      <c r="N58" s="66" t="s">
        <v>232</v>
      </c>
      <c r="O58" s="67" t="s">
        <v>229</v>
      </c>
      <c r="P58" s="203" cm="1">
        <f t="array" aca="1" ref="P58" ca="1">INDIRECT("中端和后端资源分配!L16")</f>
        <v>0.63</v>
      </c>
      <c r="Q58" s="110"/>
      <c r="R58" s="110">
        <v>0.63</v>
      </c>
      <c r="S58" s="110"/>
      <c r="T58" s="113">
        <v>0.63</v>
      </c>
    </row>
    <row r="59" spans="1:20" x14ac:dyDescent="0.2">
      <c r="N59" s="66" t="s">
        <v>233</v>
      </c>
      <c r="O59" s="67" t="s">
        <v>229</v>
      </c>
      <c r="P59" s="203" cm="1">
        <f t="array" aca="1" ref="P59" ca="1">INDIRECT("中端和后端资源分配!L18")</f>
        <v>3.7722999999999995</v>
      </c>
      <c r="Q59" s="110"/>
      <c r="R59" s="110">
        <v>3.7722999999999995</v>
      </c>
      <c r="S59" s="110"/>
      <c r="T59" s="113">
        <v>3.7722999999999995</v>
      </c>
    </row>
    <row r="60" spans="1:20" x14ac:dyDescent="0.2">
      <c r="N60" s="66" t="s">
        <v>234</v>
      </c>
      <c r="O60" s="67" t="s">
        <v>229</v>
      </c>
      <c r="P60" s="203" cm="1">
        <f t="array" aca="1" ref="P60" ca="1">INDIRECT("中端和后端资源分配!L19")</f>
        <v>2.2344000000000004</v>
      </c>
      <c r="Q60" s="110"/>
      <c r="R60" s="110">
        <v>2.2344000000000004</v>
      </c>
      <c r="S60" s="110"/>
      <c r="T60" s="113">
        <v>2.2344000000000004</v>
      </c>
    </row>
    <row r="61" spans="1:20" x14ac:dyDescent="0.2">
      <c r="N61" s="66" t="s">
        <v>235</v>
      </c>
      <c r="O61" s="67" t="s">
        <v>229</v>
      </c>
      <c r="P61" s="203" cm="1">
        <f t="array" aca="1" ref="P61" ca="1">INDIRECT("中端和后端资源分配!L20")</f>
        <v>9.5400000000000009</v>
      </c>
      <c r="Q61" s="110"/>
      <c r="R61" s="110">
        <v>9.5400000000000009</v>
      </c>
      <c r="S61" s="110"/>
      <c r="T61" s="113">
        <v>9.5400000000000009</v>
      </c>
    </row>
    <row r="62" spans="1:20" x14ac:dyDescent="0.2">
      <c r="N62" s="66" t="s">
        <v>236</v>
      </c>
      <c r="O62" s="67" t="s">
        <v>229</v>
      </c>
      <c r="P62" s="203" cm="1">
        <f t="array" aca="1" ref="P62" ca="1">INDIRECT("中端和后端资源分配!L21")</f>
        <v>3.1790000000000003</v>
      </c>
      <c r="Q62" s="110"/>
      <c r="R62" s="110">
        <v>3.1790000000000003</v>
      </c>
      <c r="S62" s="110"/>
      <c r="T62" s="113">
        <v>3.1790000000000003</v>
      </c>
    </row>
    <row r="68" spans="13:15" x14ac:dyDescent="0.2">
      <c r="O68" s="48"/>
    </row>
    <row r="69" spans="13:15" x14ac:dyDescent="0.2">
      <c r="O69" s="48"/>
    </row>
    <row r="70" spans="13:15" x14ac:dyDescent="0.2">
      <c r="O70" s="48"/>
    </row>
    <row r="71" spans="13:15" x14ac:dyDescent="0.2">
      <c r="M71" s="48"/>
      <c r="N71" s="48"/>
      <c r="O71" s="48"/>
    </row>
    <row r="72" spans="13:15" x14ac:dyDescent="0.2">
      <c r="M72" s="48"/>
      <c r="N72" s="48"/>
      <c r="O72" s="48"/>
    </row>
    <row r="73" spans="13:15" x14ac:dyDescent="0.2">
      <c r="M73" s="48"/>
      <c r="N73" s="48"/>
      <c r="O73" s="48"/>
    </row>
    <row r="74" spans="13:15" x14ac:dyDescent="0.2">
      <c r="M74" s="48"/>
      <c r="N74" s="48"/>
      <c r="O74" s="48"/>
    </row>
    <row r="75" spans="13:15" x14ac:dyDescent="0.2">
      <c r="M75" s="48"/>
      <c r="N75" s="48"/>
      <c r="O75" s="48"/>
    </row>
    <row r="76" spans="13:15" x14ac:dyDescent="0.2">
      <c r="M76" s="48"/>
      <c r="N76" s="48"/>
      <c r="O76" s="48"/>
    </row>
    <row r="77" spans="13:15" x14ac:dyDescent="0.2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1"/>
  <sheetViews>
    <sheetView zoomScale="85" zoomScaleNormal="85" workbookViewId="0">
      <selection activeCell="E132" sqref="E132"/>
    </sheetView>
  </sheetViews>
  <sheetFormatPr defaultRowHeight="14.25" x14ac:dyDescent="0.2"/>
  <cols>
    <col min="1" max="1" width="13.625" customWidth="1"/>
    <col min="2" max="2" width="14.125" customWidth="1"/>
    <col min="3" max="3" width="17.75" customWidth="1"/>
    <col min="4" max="4" width="21.875" customWidth="1"/>
    <col min="5" max="5" width="9.375" customWidth="1"/>
    <col min="6" max="6" width="12.75" customWidth="1"/>
    <col min="7" max="7" width="21.125" customWidth="1"/>
    <col min="8" max="8" width="17.875" customWidth="1"/>
    <col min="9" max="9" width="10.125" customWidth="1"/>
    <col min="10" max="10" width="13.375" customWidth="1"/>
    <col min="11" max="11" width="10.75" customWidth="1"/>
    <col min="12" max="12" width="7.75" customWidth="1"/>
    <col min="13" max="13" width="11.875" customWidth="1"/>
    <col min="14" max="14" width="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53" t="s">
        <v>255</v>
      </c>
      <c r="E1" s="353"/>
      <c r="F1" s="353"/>
      <c r="G1" s="353"/>
      <c r="H1" s="353"/>
      <c r="I1" s="353"/>
      <c r="J1" s="353" t="s">
        <v>256</v>
      </c>
      <c r="K1" s="353"/>
      <c r="L1" s="353"/>
      <c r="M1" s="3"/>
      <c r="N1" s="252"/>
    </row>
    <row r="2" spans="1:14" ht="28.5" x14ac:dyDescent="0.2">
      <c r="A2" s="3"/>
      <c r="B2" s="3"/>
      <c r="C2" s="3"/>
      <c r="D2" s="7" t="s">
        <v>313</v>
      </c>
      <c r="E2" s="7" t="s">
        <v>314</v>
      </c>
      <c r="F2" s="3" t="s">
        <v>315</v>
      </c>
      <c r="G2" s="7" t="s">
        <v>316</v>
      </c>
      <c r="H2" s="3" t="s">
        <v>317</v>
      </c>
      <c r="I2" s="3" t="s">
        <v>318</v>
      </c>
      <c r="J2" s="7" t="s">
        <v>313</v>
      </c>
      <c r="K2" s="7" t="s">
        <v>319</v>
      </c>
      <c r="L2" s="3" t="s">
        <v>320</v>
      </c>
      <c r="M2" s="3" t="s">
        <v>537</v>
      </c>
      <c r="N2" s="3" t="s">
        <v>538</v>
      </c>
    </row>
    <row r="3" spans="1:14" x14ac:dyDescent="0.2">
      <c r="A3" s="347" t="s">
        <v>21</v>
      </c>
      <c r="B3" s="351" t="s">
        <v>21</v>
      </c>
      <c r="C3" s="343" t="s">
        <v>85</v>
      </c>
      <c r="D3" s="66" t="s">
        <v>321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44"/>
      <c r="N3" s="344">
        <f>SUM(E3:E6)</f>
        <v>41</v>
      </c>
    </row>
    <row r="4" spans="1:14" x14ac:dyDescent="0.2">
      <c r="A4" s="347"/>
      <c r="B4" s="351"/>
      <c r="C4" s="343"/>
      <c r="D4" s="66" t="s">
        <v>322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45"/>
      <c r="N4" s="345"/>
    </row>
    <row r="5" spans="1:14" x14ac:dyDescent="0.2">
      <c r="A5" s="347"/>
      <c r="B5" s="351"/>
      <c r="C5" s="343"/>
      <c r="D5" s="166" t="s">
        <v>323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45"/>
      <c r="N5" s="345"/>
    </row>
    <row r="6" spans="1:14" x14ac:dyDescent="0.2">
      <c r="A6" s="347"/>
      <c r="B6" s="351"/>
      <c r="C6" s="343"/>
      <c r="D6" s="166" t="s">
        <v>324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46"/>
      <c r="N6" s="346"/>
    </row>
    <row r="7" spans="1:14" x14ac:dyDescent="0.2">
      <c r="A7" s="347"/>
      <c r="B7" s="273" t="s">
        <v>22</v>
      </c>
      <c r="C7" s="273" t="s">
        <v>103</v>
      </c>
      <c r="D7" s="17" t="s">
        <v>325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44">
        <v>18</v>
      </c>
      <c r="N7" s="344">
        <f>SUM(E7:E8)</f>
        <v>12</v>
      </c>
    </row>
    <row r="8" spans="1:14" x14ac:dyDescent="0.2">
      <c r="A8" s="347"/>
      <c r="B8" s="273"/>
      <c r="C8" s="273"/>
      <c r="D8" s="167" t="s">
        <v>326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46"/>
      <c r="N8" s="346"/>
    </row>
    <row r="9" spans="1:14" ht="28.5" x14ac:dyDescent="0.2">
      <c r="A9" s="347" t="s">
        <v>159</v>
      </c>
      <c r="B9" s="351" t="s">
        <v>159</v>
      </c>
      <c r="C9" s="354" t="s">
        <v>45</v>
      </c>
      <c r="D9" s="251" t="s">
        <v>327</v>
      </c>
      <c r="E9" s="168">
        <v>6</v>
      </c>
      <c r="F9" s="168">
        <f>SUM(E9:E14)</f>
        <v>29</v>
      </c>
      <c r="G9" s="168">
        <v>4</v>
      </c>
      <c r="H9" s="66">
        <f t="shared" si="0"/>
        <v>2</v>
      </c>
      <c r="I9" s="168">
        <f>SUM(H9:H14)</f>
        <v>13.4</v>
      </c>
      <c r="J9" s="168"/>
      <c r="K9" s="168"/>
      <c r="L9" s="168">
        <f>SUM(K9:K14)</f>
        <v>0</v>
      </c>
      <c r="M9" s="344">
        <v>45</v>
      </c>
      <c r="N9" s="344">
        <f>SUM(E9:E14)</f>
        <v>29</v>
      </c>
    </row>
    <row r="10" spans="1:14" x14ac:dyDescent="0.2">
      <c r="A10" s="347"/>
      <c r="B10" s="351"/>
      <c r="C10" s="354"/>
      <c r="D10" s="251" t="s">
        <v>328</v>
      </c>
      <c r="E10" s="168">
        <v>1</v>
      </c>
      <c r="F10" s="168"/>
      <c r="G10" s="168">
        <v>0.5</v>
      </c>
      <c r="H10" s="66">
        <f t="shared" si="0"/>
        <v>0.5</v>
      </c>
      <c r="I10" s="168"/>
      <c r="J10" s="168"/>
      <c r="K10" s="168"/>
      <c r="L10" s="168"/>
      <c r="M10" s="345"/>
      <c r="N10" s="345"/>
    </row>
    <row r="11" spans="1:14" x14ac:dyDescent="0.2">
      <c r="A11" s="347"/>
      <c r="B11" s="351"/>
      <c r="C11" s="354"/>
      <c r="D11" s="166" t="s">
        <v>329</v>
      </c>
      <c r="E11" s="166">
        <v>3</v>
      </c>
      <c r="F11" s="168"/>
      <c r="G11" s="168">
        <v>1.6</v>
      </c>
      <c r="H11" s="66">
        <f t="shared" si="0"/>
        <v>1.4</v>
      </c>
      <c r="I11" s="168"/>
      <c r="J11" s="168"/>
      <c r="K11" s="168"/>
      <c r="L11" s="168"/>
      <c r="M11" s="345"/>
      <c r="N11" s="345"/>
    </row>
    <row r="12" spans="1:14" x14ac:dyDescent="0.2">
      <c r="A12" s="347"/>
      <c r="B12" s="351"/>
      <c r="C12" s="354"/>
      <c r="D12" s="166" t="s">
        <v>330</v>
      </c>
      <c r="E12" s="166">
        <v>16</v>
      </c>
      <c r="F12" s="168"/>
      <c r="G12" s="168">
        <v>8</v>
      </c>
      <c r="H12" s="66">
        <f t="shared" si="0"/>
        <v>8</v>
      </c>
      <c r="I12" s="168"/>
      <c r="J12" s="168"/>
      <c r="K12" s="168"/>
      <c r="L12" s="168"/>
      <c r="M12" s="345"/>
      <c r="N12" s="345"/>
    </row>
    <row r="13" spans="1:14" x14ac:dyDescent="0.2">
      <c r="A13" s="347"/>
      <c r="B13" s="351"/>
      <c r="C13" s="354"/>
      <c r="D13" s="166" t="s">
        <v>331</v>
      </c>
      <c r="E13" s="166">
        <v>1</v>
      </c>
      <c r="F13" s="168"/>
      <c r="G13" s="168">
        <v>0.8</v>
      </c>
      <c r="H13" s="66">
        <f t="shared" si="0"/>
        <v>0.19999999999999996</v>
      </c>
      <c r="I13" s="168"/>
      <c r="J13" s="168"/>
      <c r="K13" s="168"/>
      <c r="L13" s="168"/>
      <c r="M13" s="345"/>
      <c r="N13" s="345"/>
    </row>
    <row r="14" spans="1:14" x14ac:dyDescent="0.2">
      <c r="A14" s="347"/>
      <c r="B14" s="351"/>
      <c r="C14" s="354"/>
      <c r="D14" s="166" t="s">
        <v>332</v>
      </c>
      <c r="E14" s="166">
        <v>2</v>
      </c>
      <c r="F14" s="168"/>
      <c r="G14" s="168">
        <v>0.7</v>
      </c>
      <c r="H14" s="66">
        <f t="shared" si="0"/>
        <v>1.3</v>
      </c>
      <c r="I14" s="168"/>
      <c r="J14" s="168"/>
      <c r="K14" s="168"/>
      <c r="L14" s="168"/>
      <c r="M14" s="346"/>
      <c r="N14" s="346"/>
    </row>
    <row r="15" spans="1:14" x14ac:dyDescent="0.2">
      <c r="A15" s="347"/>
      <c r="B15" s="347" t="s">
        <v>540</v>
      </c>
      <c r="C15" s="273" t="s">
        <v>539</v>
      </c>
      <c r="D15" s="17" t="s">
        <v>335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7" t="s">
        <v>334</v>
      </c>
      <c r="K15" s="17">
        <v>8.1999999999999993</v>
      </c>
      <c r="L15" s="17">
        <f>SUM(K15:K21)</f>
        <v>8.1999999999999993</v>
      </c>
      <c r="M15" s="345"/>
      <c r="N15" s="345"/>
    </row>
    <row r="16" spans="1:14" x14ac:dyDescent="0.2">
      <c r="A16" s="347"/>
      <c r="B16" s="347"/>
      <c r="C16" s="273"/>
      <c r="D16" s="167" t="s">
        <v>336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45"/>
      <c r="N16" s="345"/>
    </row>
    <row r="17" spans="1:14" x14ac:dyDescent="0.2">
      <c r="A17" s="347"/>
      <c r="B17" s="347"/>
      <c r="C17" s="273"/>
      <c r="D17" s="17" t="s">
        <v>337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45"/>
      <c r="N17" s="345"/>
    </row>
    <row r="18" spans="1:14" x14ac:dyDescent="0.2">
      <c r="A18" s="347"/>
      <c r="B18" s="347"/>
      <c r="C18" s="273"/>
      <c r="D18" s="17" t="s">
        <v>338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45"/>
      <c r="N18" s="345"/>
    </row>
    <row r="19" spans="1:14" x14ac:dyDescent="0.2">
      <c r="A19" s="347"/>
      <c r="B19" s="347"/>
      <c r="C19" s="273"/>
      <c r="D19" s="17" t="s">
        <v>339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45"/>
      <c r="N19" s="345"/>
    </row>
    <row r="20" spans="1:14" x14ac:dyDescent="0.2">
      <c r="A20" s="347"/>
      <c r="B20" s="347"/>
      <c r="C20" s="273"/>
      <c r="D20" s="167" t="s">
        <v>340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45"/>
      <c r="N20" s="345"/>
    </row>
    <row r="21" spans="1:14" x14ac:dyDescent="0.2">
      <c r="A21" s="347"/>
      <c r="B21" s="347"/>
      <c r="C21" s="273"/>
      <c r="D21" s="167" t="s">
        <v>341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46"/>
      <c r="N21" s="346"/>
    </row>
    <row r="22" spans="1:14" x14ac:dyDescent="0.2">
      <c r="A22" s="347"/>
      <c r="B22" s="351" t="s">
        <v>23</v>
      </c>
      <c r="C22" s="343" t="s">
        <v>80</v>
      </c>
      <c r="D22" s="66" t="s">
        <v>342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44">
        <v>8.3000000000000007</v>
      </c>
      <c r="N22" s="344">
        <v>10.5</v>
      </c>
    </row>
    <row r="23" spans="1:14" x14ac:dyDescent="0.2">
      <c r="A23" s="347"/>
      <c r="B23" s="351"/>
      <c r="C23" s="343"/>
      <c r="D23" s="66" t="s">
        <v>343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45"/>
      <c r="N23" s="345"/>
    </row>
    <row r="24" spans="1:14" x14ac:dyDescent="0.2">
      <c r="A24" s="347"/>
      <c r="B24" s="351"/>
      <c r="C24" s="343"/>
      <c r="D24" s="166" t="s">
        <v>344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46"/>
      <c r="N24" s="346"/>
    </row>
    <row r="25" spans="1:14" x14ac:dyDescent="0.2">
      <c r="A25" s="347"/>
      <c r="B25" s="347" t="s">
        <v>19</v>
      </c>
      <c r="C25" s="273" t="s">
        <v>137</v>
      </c>
      <c r="D25" s="17" t="s">
        <v>345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44">
        <v>28</v>
      </c>
      <c r="N25" s="344">
        <v>18.5</v>
      </c>
    </row>
    <row r="26" spans="1:14" x14ac:dyDescent="0.2">
      <c r="A26" s="347"/>
      <c r="B26" s="347"/>
      <c r="C26" s="273"/>
      <c r="D26" s="167" t="s">
        <v>33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46"/>
      <c r="N26" s="346"/>
    </row>
    <row r="27" spans="1:14" ht="14.1" customHeight="1" x14ac:dyDescent="0.2">
      <c r="A27" s="347"/>
      <c r="B27" s="343" t="s">
        <v>18</v>
      </c>
      <c r="C27" s="343" t="s">
        <v>134</v>
      </c>
      <c r="D27" s="166" t="s">
        <v>346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44">
        <v>10</v>
      </c>
      <c r="N27" s="344">
        <v>11</v>
      </c>
    </row>
    <row r="28" spans="1:14" x14ac:dyDescent="0.2">
      <c r="A28" s="347"/>
      <c r="B28" s="343"/>
      <c r="C28" s="343"/>
      <c r="D28" s="166" t="s">
        <v>347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45"/>
      <c r="N28" s="345"/>
    </row>
    <row r="29" spans="1:14" x14ac:dyDescent="0.2">
      <c r="A29" s="347"/>
      <c r="B29" s="343"/>
      <c r="C29" s="343"/>
      <c r="D29" s="166" t="s">
        <v>348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46"/>
      <c r="N29" s="346"/>
    </row>
    <row r="30" spans="1:14" x14ac:dyDescent="0.2">
      <c r="A30" s="347"/>
      <c r="B30" s="169" t="s">
        <v>160</v>
      </c>
      <c r="C30" s="17" t="s">
        <v>59</v>
      </c>
      <c r="D30" s="167" t="s">
        <v>349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5"/>
      <c r="N30" s="17">
        <f>SUM(E30)</f>
        <v>2</v>
      </c>
    </row>
    <row r="31" spans="1:14" x14ac:dyDescent="0.2">
      <c r="A31" s="347"/>
      <c r="B31" s="351" t="s">
        <v>20</v>
      </c>
      <c r="C31" s="343" t="s">
        <v>52</v>
      </c>
      <c r="D31" s="166" t="s">
        <v>350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351</v>
      </c>
      <c r="K31" s="66">
        <v>1</v>
      </c>
      <c r="L31" s="66">
        <f>SUM(K31:K32)</f>
        <v>1</v>
      </c>
      <c r="M31" s="344"/>
      <c r="N31" s="344">
        <v>10</v>
      </c>
    </row>
    <row r="32" spans="1:14" x14ac:dyDescent="0.2">
      <c r="A32" s="347"/>
      <c r="B32" s="351"/>
      <c r="C32" s="343"/>
      <c r="D32" s="166" t="s">
        <v>352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46"/>
      <c r="N32" s="346"/>
    </row>
    <row r="33" spans="1:14" x14ac:dyDescent="0.2">
      <c r="A33" s="347" t="s">
        <v>84</v>
      </c>
      <c r="B33" s="347" t="s">
        <v>84</v>
      </c>
      <c r="C33" s="273" t="s">
        <v>135</v>
      </c>
      <c r="D33" s="17" t="s">
        <v>353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44">
        <v>44</v>
      </c>
      <c r="N33" s="344">
        <v>52</v>
      </c>
    </row>
    <row r="34" spans="1:14" x14ac:dyDescent="0.2">
      <c r="A34" s="347"/>
      <c r="B34" s="347"/>
      <c r="C34" s="273"/>
      <c r="D34" s="169" t="s">
        <v>354</v>
      </c>
      <c r="E34" s="169">
        <v>9</v>
      </c>
      <c r="F34" s="169"/>
      <c r="G34" s="169">
        <v>5</v>
      </c>
      <c r="H34" s="66">
        <f t="shared" si="0"/>
        <v>4</v>
      </c>
      <c r="I34" s="169"/>
      <c r="J34" s="17"/>
      <c r="K34" s="17"/>
      <c r="L34" s="169"/>
      <c r="M34" s="345"/>
      <c r="N34" s="345"/>
    </row>
    <row r="35" spans="1:14" x14ac:dyDescent="0.2">
      <c r="A35" s="347"/>
      <c r="B35" s="347"/>
      <c r="C35" s="273"/>
      <c r="D35" s="17" t="s">
        <v>355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45"/>
      <c r="N35" s="345"/>
    </row>
    <row r="36" spans="1:14" x14ac:dyDescent="0.2">
      <c r="A36" s="347"/>
      <c r="B36" s="347"/>
      <c r="C36" s="273"/>
      <c r="D36" s="167" t="s">
        <v>356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45"/>
      <c r="N36" s="345"/>
    </row>
    <row r="37" spans="1:14" x14ac:dyDescent="0.2">
      <c r="A37" s="347"/>
      <c r="B37" s="347"/>
      <c r="C37" s="273"/>
      <c r="D37" s="17" t="s">
        <v>357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46"/>
      <c r="N37" s="346"/>
    </row>
    <row r="38" spans="1:14" x14ac:dyDescent="0.2">
      <c r="A38" s="348" t="s">
        <v>13</v>
      </c>
      <c r="B38" s="351" t="s">
        <v>14</v>
      </c>
      <c r="C38" s="352" t="s">
        <v>126</v>
      </c>
      <c r="D38" s="166" t="s">
        <v>358</v>
      </c>
      <c r="E38" s="170">
        <v>6</v>
      </c>
      <c r="F38" s="170">
        <f>SUM(E38:E39)</f>
        <v>11</v>
      </c>
      <c r="G38" s="170">
        <v>5</v>
      </c>
      <c r="H38" s="66">
        <f t="shared" si="0"/>
        <v>1</v>
      </c>
      <c r="I38" s="170">
        <f>SUM(H38:H39)</f>
        <v>3.7</v>
      </c>
      <c r="J38" s="170"/>
      <c r="K38" s="170"/>
      <c r="L38" s="170">
        <f>SUM(K38:K39)</f>
        <v>0</v>
      </c>
      <c r="M38" s="344"/>
      <c r="N38" s="344">
        <v>11</v>
      </c>
    </row>
    <row r="39" spans="1:14" x14ac:dyDescent="0.2">
      <c r="A39" s="349"/>
      <c r="B39" s="351"/>
      <c r="C39" s="352"/>
      <c r="D39" s="166" t="s">
        <v>359</v>
      </c>
      <c r="E39" s="170">
        <v>5</v>
      </c>
      <c r="F39" s="170"/>
      <c r="G39" s="170">
        <v>2.2999999999999998</v>
      </c>
      <c r="H39" s="66">
        <f t="shared" si="0"/>
        <v>2.7</v>
      </c>
      <c r="I39" s="170"/>
      <c r="J39" s="170"/>
      <c r="K39" s="170"/>
      <c r="L39" s="170"/>
      <c r="M39" s="346"/>
      <c r="N39" s="346"/>
    </row>
    <row r="40" spans="1:14" x14ac:dyDescent="0.2">
      <c r="A40" s="349"/>
      <c r="B40" s="169" t="s">
        <v>114</v>
      </c>
      <c r="C40" s="17" t="s">
        <v>115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5"/>
      <c r="N40" s="135"/>
    </row>
    <row r="41" spans="1:14" x14ac:dyDescent="0.2">
      <c r="A41" s="349"/>
      <c r="B41" s="171" t="s">
        <v>360</v>
      </c>
      <c r="C41" s="66" t="s">
        <v>361</v>
      </c>
      <c r="D41" s="66" t="s">
        <v>361</v>
      </c>
      <c r="E41" s="166">
        <v>4.5</v>
      </c>
      <c r="F41" s="168">
        <f>SUM(E41)</f>
        <v>4.5</v>
      </c>
      <c r="G41" s="168">
        <v>1.3</v>
      </c>
      <c r="H41" s="66">
        <f t="shared" si="0"/>
        <v>3.2</v>
      </c>
      <c r="I41" s="168">
        <f>SUM(H41)</f>
        <v>3.2</v>
      </c>
      <c r="J41" s="66"/>
      <c r="K41" s="66"/>
      <c r="L41" s="168">
        <f>SUM(K41)</f>
        <v>0</v>
      </c>
      <c r="M41" s="135"/>
      <c r="N41" s="168">
        <f>SUM(E41)</f>
        <v>4.5</v>
      </c>
    </row>
    <row r="42" spans="1:14" x14ac:dyDescent="0.2">
      <c r="A42" s="349"/>
      <c r="B42" s="348" t="s">
        <v>362</v>
      </c>
      <c r="C42" s="169" t="s">
        <v>363</v>
      </c>
      <c r="D42" s="169" t="s">
        <v>363</v>
      </c>
      <c r="E42" s="169">
        <v>1</v>
      </c>
      <c r="F42" s="169">
        <f>SUM(E42:E43)</f>
        <v>4</v>
      </c>
      <c r="G42" s="169">
        <v>0.7</v>
      </c>
      <c r="H42" s="66">
        <f t="shared" si="0"/>
        <v>0.30000000000000004</v>
      </c>
      <c r="I42" s="169">
        <f>SUM(H42:H43)</f>
        <v>2.5</v>
      </c>
      <c r="J42" s="167" t="s">
        <v>364</v>
      </c>
      <c r="K42" s="94">
        <v>0.5</v>
      </c>
      <c r="L42" s="169">
        <f>SUM(K42:K43)</f>
        <v>0.5</v>
      </c>
      <c r="M42" s="344"/>
      <c r="N42" s="344">
        <v>4</v>
      </c>
    </row>
    <row r="43" spans="1:14" x14ac:dyDescent="0.2">
      <c r="A43" s="349"/>
      <c r="B43" s="350"/>
      <c r="C43" s="169" t="s">
        <v>365</v>
      </c>
      <c r="D43" s="169" t="s">
        <v>365</v>
      </c>
      <c r="E43" s="169">
        <v>3</v>
      </c>
      <c r="F43" s="169"/>
      <c r="G43" s="169">
        <v>0.8</v>
      </c>
      <c r="H43" s="66">
        <f t="shared" si="0"/>
        <v>2.2000000000000002</v>
      </c>
      <c r="I43" s="169"/>
      <c r="J43" s="169"/>
      <c r="K43" s="94"/>
      <c r="L43" s="169"/>
      <c r="M43" s="346"/>
      <c r="N43" s="346"/>
    </row>
    <row r="44" spans="1:14" x14ac:dyDescent="0.2">
      <c r="A44" s="350"/>
      <c r="B44" s="171" t="s">
        <v>366</v>
      </c>
      <c r="C44" s="171"/>
      <c r="D44" s="166" t="s">
        <v>367</v>
      </c>
      <c r="E44" s="171">
        <v>4</v>
      </c>
      <c r="F44" s="171">
        <f>SUM(E44)</f>
        <v>4</v>
      </c>
      <c r="G44" s="171">
        <v>2</v>
      </c>
      <c r="H44" s="66">
        <f t="shared" si="0"/>
        <v>2</v>
      </c>
      <c r="I44" s="171">
        <f>SUM(H44)</f>
        <v>2</v>
      </c>
      <c r="J44" s="171"/>
      <c r="K44" s="165"/>
      <c r="L44" s="171">
        <f>SUM(K44)</f>
        <v>0</v>
      </c>
      <c r="M44" s="135"/>
      <c r="N44" s="171">
        <f>SUM(E44)</f>
        <v>4</v>
      </c>
    </row>
    <row r="45" spans="1:14" x14ac:dyDescent="0.2">
      <c r="A45" s="347" t="s">
        <v>192</v>
      </c>
      <c r="B45" s="347" t="s">
        <v>193</v>
      </c>
      <c r="C45" s="347" t="s">
        <v>244</v>
      </c>
      <c r="D45" s="169" t="s">
        <v>368</v>
      </c>
      <c r="E45" s="169">
        <v>4</v>
      </c>
      <c r="F45" s="169">
        <f>SUM(E45:E58)</f>
        <v>154</v>
      </c>
      <c r="G45" s="169">
        <v>0.4</v>
      </c>
      <c r="H45" s="66">
        <f t="shared" si="0"/>
        <v>3.6</v>
      </c>
      <c r="I45" s="169">
        <f>SUM(H45:H58)</f>
        <v>70.7</v>
      </c>
      <c r="J45" s="167" t="s">
        <v>369</v>
      </c>
      <c r="K45" s="94">
        <v>4.7</v>
      </c>
      <c r="L45" s="169">
        <f>SUM(K45:K58)</f>
        <v>17.2</v>
      </c>
      <c r="M45" s="344">
        <v>126</v>
      </c>
      <c r="N45" s="344">
        <v>154</v>
      </c>
    </row>
    <row r="46" spans="1:14" x14ac:dyDescent="0.2">
      <c r="A46" s="347"/>
      <c r="B46" s="347"/>
      <c r="C46" s="347"/>
      <c r="D46" s="169" t="s">
        <v>370</v>
      </c>
      <c r="E46" s="169">
        <v>2</v>
      </c>
      <c r="F46" s="169"/>
      <c r="G46" s="169">
        <v>0.8</v>
      </c>
      <c r="H46" s="66">
        <f t="shared" si="0"/>
        <v>1.2</v>
      </c>
      <c r="I46" s="169"/>
      <c r="J46" s="167" t="s">
        <v>371</v>
      </c>
      <c r="K46" s="94">
        <v>2</v>
      </c>
      <c r="L46" s="169"/>
      <c r="M46" s="345"/>
      <c r="N46" s="345"/>
    </row>
    <row r="47" spans="1:14" x14ac:dyDescent="0.2">
      <c r="A47" s="347"/>
      <c r="B47" s="347"/>
      <c r="C47" s="347"/>
      <c r="D47" s="169" t="s">
        <v>372</v>
      </c>
      <c r="E47" s="169">
        <v>2</v>
      </c>
      <c r="F47" s="169"/>
      <c r="G47" s="169">
        <v>0.7</v>
      </c>
      <c r="H47" s="66">
        <f t="shared" si="0"/>
        <v>1.3</v>
      </c>
      <c r="I47" s="169"/>
      <c r="J47" s="169" t="s">
        <v>373</v>
      </c>
      <c r="K47" s="94">
        <v>4.7</v>
      </c>
      <c r="L47" s="169"/>
      <c r="M47" s="345"/>
      <c r="N47" s="345"/>
    </row>
    <row r="48" spans="1:14" x14ac:dyDescent="0.2">
      <c r="A48" s="347"/>
      <c r="B48" s="347"/>
      <c r="C48" s="347"/>
      <c r="D48" s="167" t="s">
        <v>374</v>
      </c>
      <c r="E48" s="17">
        <v>7</v>
      </c>
      <c r="F48" s="169"/>
      <c r="G48" s="169">
        <v>5.5</v>
      </c>
      <c r="H48" s="66">
        <f t="shared" si="0"/>
        <v>1.5</v>
      </c>
      <c r="I48" s="169"/>
      <c r="J48" s="167" t="s">
        <v>375</v>
      </c>
      <c r="K48" s="94">
        <v>3</v>
      </c>
      <c r="L48" s="169"/>
      <c r="M48" s="345"/>
      <c r="N48" s="345"/>
    </row>
    <row r="49" spans="1:14" x14ac:dyDescent="0.2">
      <c r="A49" s="347"/>
      <c r="B49" s="347"/>
      <c r="C49" s="347"/>
      <c r="D49" s="167" t="s">
        <v>376</v>
      </c>
      <c r="E49" s="17">
        <v>6</v>
      </c>
      <c r="F49" s="169"/>
      <c r="G49" s="169">
        <v>5.5</v>
      </c>
      <c r="H49" s="66">
        <f t="shared" si="0"/>
        <v>0.5</v>
      </c>
      <c r="I49" s="169"/>
      <c r="J49" s="167" t="s">
        <v>377</v>
      </c>
      <c r="K49" s="94">
        <v>2.8</v>
      </c>
      <c r="L49" s="169"/>
      <c r="M49" s="345"/>
      <c r="N49" s="345"/>
    </row>
    <row r="50" spans="1:14" x14ac:dyDescent="0.2">
      <c r="A50" s="347"/>
      <c r="B50" s="347"/>
      <c r="C50" s="347"/>
      <c r="D50" s="167" t="s">
        <v>378</v>
      </c>
      <c r="E50" s="169">
        <v>6</v>
      </c>
      <c r="F50" s="169"/>
      <c r="G50" s="169">
        <v>3</v>
      </c>
      <c r="H50" s="66">
        <f t="shared" si="0"/>
        <v>3</v>
      </c>
      <c r="I50" s="169"/>
      <c r="J50" s="169"/>
      <c r="K50" s="94"/>
      <c r="L50" s="169"/>
      <c r="M50" s="345"/>
      <c r="N50" s="345"/>
    </row>
    <row r="51" spans="1:14" x14ac:dyDescent="0.2">
      <c r="A51" s="347"/>
      <c r="B51" s="347"/>
      <c r="C51" s="347"/>
      <c r="D51" s="167" t="s">
        <v>379</v>
      </c>
      <c r="E51" s="169">
        <v>10</v>
      </c>
      <c r="F51" s="169"/>
      <c r="G51" s="169">
        <v>4</v>
      </c>
      <c r="H51" s="66">
        <f t="shared" si="0"/>
        <v>6</v>
      </c>
      <c r="I51" s="169"/>
      <c r="J51" s="169"/>
      <c r="K51" s="94"/>
      <c r="L51" s="169"/>
      <c r="M51" s="345"/>
      <c r="N51" s="345"/>
    </row>
    <row r="52" spans="1:14" x14ac:dyDescent="0.2">
      <c r="A52" s="347"/>
      <c r="B52" s="347"/>
      <c r="C52" s="347"/>
      <c r="D52" s="167" t="s">
        <v>380</v>
      </c>
      <c r="E52" s="169">
        <v>8.5</v>
      </c>
      <c r="F52" s="169"/>
      <c r="G52" s="169">
        <v>3</v>
      </c>
      <c r="H52" s="66">
        <f t="shared" si="0"/>
        <v>5.5</v>
      </c>
      <c r="I52" s="169"/>
      <c r="J52" s="169"/>
      <c r="K52" s="94"/>
      <c r="L52" s="169"/>
      <c r="M52" s="345"/>
      <c r="N52" s="345"/>
    </row>
    <row r="53" spans="1:14" x14ac:dyDescent="0.2">
      <c r="A53" s="347"/>
      <c r="B53" s="347"/>
      <c r="C53" s="347"/>
      <c r="D53" s="167" t="s">
        <v>381</v>
      </c>
      <c r="E53" s="169">
        <v>5</v>
      </c>
      <c r="F53" s="169"/>
      <c r="G53" s="169">
        <v>0.4</v>
      </c>
      <c r="H53" s="66">
        <f t="shared" si="0"/>
        <v>4.5999999999999996</v>
      </c>
      <c r="I53" s="169"/>
      <c r="J53" s="169"/>
      <c r="K53" s="94"/>
      <c r="L53" s="169"/>
      <c r="M53" s="345"/>
      <c r="N53" s="345"/>
    </row>
    <row r="54" spans="1:14" x14ac:dyDescent="0.2">
      <c r="A54" s="347"/>
      <c r="B54" s="347"/>
      <c r="C54" s="347"/>
      <c r="D54" s="169" t="s">
        <v>382</v>
      </c>
      <c r="E54" s="169">
        <v>12</v>
      </c>
      <c r="F54" s="169"/>
      <c r="G54" s="169">
        <v>6</v>
      </c>
      <c r="H54" s="66">
        <f t="shared" si="0"/>
        <v>6</v>
      </c>
      <c r="I54" s="169"/>
      <c r="J54" s="169"/>
      <c r="K54" s="94"/>
      <c r="L54" s="169"/>
      <c r="M54" s="345"/>
      <c r="N54" s="345"/>
    </row>
    <row r="55" spans="1:14" x14ac:dyDescent="0.2">
      <c r="A55" s="347"/>
      <c r="B55" s="347"/>
      <c r="C55" s="347"/>
      <c r="D55" s="167" t="s">
        <v>383</v>
      </c>
      <c r="E55" s="169">
        <v>34</v>
      </c>
      <c r="F55" s="169"/>
      <c r="G55" s="169">
        <v>27</v>
      </c>
      <c r="H55" s="66">
        <f t="shared" si="0"/>
        <v>7</v>
      </c>
      <c r="I55" s="169"/>
      <c r="J55" s="169"/>
      <c r="K55" s="94"/>
      <c r="L55" s="169"/>
      <c r="M55" s="345"/>
      <c r="N55" s="345"/>
    </row>
    <row r="56" spans="1:14" x14ac:dyDescent="0.2">
      <c r="A56" s="347"/>
      <c r="B56" s="347"/>
      <c r="C56" s="347"/>
      <c r="D56" s="167" t="s">
        <v>384</v>
      </c>
      <c r="E56" s="169">
        <v>8.5</v>
      </c>
      <c r="F56" s="169"/>
      <c r="G56" s="169">
        <v>2</v>
      </c>
      <c r="H56" s="66">
        <f t="shared" si="0"/>
        <v>6.5</v>
      </c>
      <c r="I56" s="169"/>
      <c r="J56" s="169"/>
      <c r="K56" s="94"/>
      <c r="L56" s="169"/>
      <c r="M56" s="345"/>
      <c r="N56" s="345"/>
    </row>
    <row r="57" spans="1:14" x14ac:dyDescent="0.2">
      <c r="A57" s="347"/>
      <c r="B57" s="347"/>
      <c r="C57" s="347"/>
      <c r="D57" s="167" t="s">
        <v>385</v>
      </c>
      <c r="E57" s="169">
        <v>35</v>
      </c>
      <c r="F57" s="169"/>
      <c r="G57" s="169">
        <v>15</v>
      </c>
      <c r="H57" s="66">
        <f t="shared" si="0"/>
        <v>20</v>
      </c>
      <c r="I57" s="169"/>
      <c r="J57" s="169"/>
      <c r="K57" s="94"/>
      <c r="L57" s="169"/>
      <c r="M57" s="345"/>
      <c r="N57" s="345"/>
    </row>
    <row r="58" spans="1:14" x14ac:dyDescent="0.2">
      <c r="A58" s="347"/>
      <c r="B58" s="347"/>
      <c r="C58" s="347"/>
      <c r="D58" s="167" t="s">
        <v>386</v>
      </c>
      <c r="E58" s="169">
        <v>14</v>
      </c>
      <c r="F58" s="169"/>
      <c r="G58" s="169">
        <v>10</v>
      </c>
      <c r="H58" s="66">
        <f t="shared" si="0"/>
        <v>4</v>
      </c>
      <c r="I58" s="169"/>
      <c r="J58" s="169"/>
      <c r="K58" s="94"/>
      <c r="L58" s="169"/>
      <c r="M58" s="346"/>
      <c r="N58" s="346"/>
    </row>
    <row r="59" spans="1:14" x14ac:dyDescent="0.2">
      <c r="A59" s="273" t="s">
        <v>199</v>
      </c>
      <c r="B59" s="343" t="s">
        <v>199</v>
      </c>
      <c r="C59" s="351" t="s">
        <v>200</v>
      </c>
      <c r="D59" s="171" t="s">
        <v>387</v>
      </c>
      <c r="E59" s="171">
        <v>50</v>
      </c>
      <c r="F59" s="171">
        <f>SUM(E59:E60)</f>
        <v>87</v>
      </c>
      <c r="G59" s="171">
        <v>31</v>
      </c>
      <c r="H59" s="66">
        <f t="shared" si="0"/>
        <v>19</v>
      </c>
      <c r="I59" s="171">
        <f>SUM(H59:H60)</f>
        <v>24</v>
      </c>
      <c r="J59" s="171" t="s">
        <v>388</v>
      </c>
      <c r="K59" s="165">
        <v>1.2</v>
      </c>
      <c r="L59" s="171">
        <f>SUM(K59:K60)</f>
        <v>1.2</v>
      </c>
      <c r="M59" s="344">
        <v>97</v>
      </c>
      <c r="N59" s="344">
        <v>87</v>
      </c>
    </row>
    <row r="60" spans="1:14" x14ac:dyDescent="0.2">
      <c r="A60" s="273"/>
      <c r="B60" s="343"/>
      <c r="C60" s="351"/>
      <c r="D60" s="166" t="s">
        <v>389</v>
      </c>
      <c r="E60" s="171">
        <v>37</v>
      </c>
      <c r="F60" s="171"/>
      <c r="G60" s="171">
        <v>32</v>
      </c>
      <c r="H60" s="66">
        <f t="shared" si="0"/>
        <v>5</v>
      </c>
      <c r="I60" s="171"/>
      <c r="J60" s="171"/>
      <c r="K60" s="165"/>
      <c r="L60" s="171"/>
      <c r="M60" s="346"/>
      <c r="N60" s="346"/>
    </row>
    <row r="61" spans="1:14" ht="28.5" x14ac:dyDescent="0.2">
      <c r="A61" s="273" t="s">
        <v>13</v>
      </c>
      <c r="B61" s="273" t="s">
        <v>146</v>
      </c>
      <c r="C61" s="273" t="s">
        <v>202</v>
      </c>
      <c r="D61" s="17" t="s">
        <v>390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391</v>
      </c>
      <c r="K61" s="17">
        <v>0.8</v>
      </c>
      <c r="L61" s="17">
        <f>SUM(K61:K71)</f>
        <v>88.3</v>
      </c>
      <c r="M61" s="344">
        <v>58</v>
      </c>
      <c r="N61" s="344">
        <v>98</v>
      </c>
    </row>
    <row r="62" spans="1:14" ht="28.5" x14ac:dyDescent="0.2">
      <c r="A62" s="273"/>
      <c r="B62" s="273"/>
      <c r="C62" s="273"/>
      <c r="D62" s="167" t="s">
        <v>392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393</v>
      </c>
      <c r="K62" s="17">
        <v>21</v>
      </c>
      <c r="L62" s="17"/>
      <c r="M62" s="345"/>
      <c r="N62" s="345"/>
    </row>
    <row r="63" spans="1:14" x14ac:dyDescent="0.2">
      <c r="A63" s="273"/>
      <c r="B63" s="273"/>
      <c r="C63" s="273"/>
      <c r="D63" s="167" t="s">
        <v>394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7" t="s">
        <v>395</v>
      </c>
      <c r="K63" s="17">
        <v>8.6999999999999993</v>
      </c>
      <c r="L63" s="17"/>
      <c r="M63" s="345"/>
      <c r="N63" s="345"/>
    </row>
    <row r="64" spans="1:14" x14ac:dyDescent="0.2">
      <c r="A64" s="273"/>
      <c r="B64" s="273"/>
      <c r="C64" s="273"/>
      <c r="D64" s="167" t="s">
        <v>396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7" t="s">
        <v>397</v>
      </c>
      <c r="K64" s="17">
        <v>9.5</v>
      </c>
      <c r="L64" s="17"/>
      <c r="M64" s="345"/>
      <c r="N64" s="345"/>
    </row>
    <row r="65" spans="1:14" x14ac:dyDescent="0.2">
      <c r="A65" s="273"/>
      <c r="B65" s="273"/>
      <c r="C65" s="273"/>
      <c r="D65" s="167" t="s">
        <v>398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7" t="s">
        <v>399</v>
      </c>
      <c r="K65" s="17">
        <v>2.8</v>
      </c>
      <c r="L65" s="17"/>
      <c r="M65" s="345"/>
      <c r="N65" s="345"/>
    </row>
    <row r="66" spans="1:14" x14ac:dyDescent="0.2">
      <c r="A66" s="273"/>
      <c r="B66" s="273"/>
      <c r="C66" s="273"/>
      <c r="D66" s="167" t="s">
        <v>400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7" t="s">
        <v>401</v>
      </c>
      <c r="K66" s="17">
        <v>19.5</v>
      </c>
      <c r="L66" s="17"/>
      <c r="M66" s="345"/>
      <c r="N66" s="345"/>
    </row>
    <row r="67" spans="1:14" x14ac:dyDescent="0.2">
      <c r="A67" s="273"/>
      <c r="B67" s="273"/>
      <c r="C67" s="273"/>
      <c r="D67" s="167" t="s">
        <v>402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7" t="s">
        <v>403</v>
      </c>
      <c r="K67" s="17">
        <v>24</v>
      </c>
      <c r="L67" s="17"/>
      <c r="M67" s="345"/>
      <c r="N67" s="345"/>
    </row>
    <row r="68" spans="1:14" x14ac:dyDescent="0.2">
      <c r="A68" s="273"/>
      <c r="B68" s="273"/>
      <c r="C68" s="273"/>
      <c r="D68" s="167" t="s">
        <v>404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7" t="s">
        <v>405</v>
      </c>
      <c r="K68" s="17">
        <v>2</v>
      </c>
      <c r="L68" s="17"/>
      <c r="M68" s="345"/>
      <c r="N68" s="345"/>
    </row>
    <row r="69" spans="1:14" x14ac:dyDescent="0.2">
      <c r="A69" s="273"/>
      <c r="B69" s="273"/>
      <c r="C69" s="273"/>
      <c r="D69" s="167" t="s">
        <v>406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45"/>
      <c r="N69" s="345"/>
    </row>
    <row r="70" spans="1:14" x14ac:dyDescent="0.2">
      <c r="A70" s="273"/>
      <c r="B70" s="273"/>
      <c r="C70" s="273"/>
      <c r="D70" s="167" t="s">
        <v>407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45"/>
      <c r="N70" s="345"/>
    </row>
    <row r="71" spans="1:14" x14ac:dyDescent="0.2">
      <c r="A71" s="273"/>
      <c r="B71" s="273"/>
      <c r="C71" s="273"/>
      <c r="D71" s="167" t="s">
        <v>408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46"/>
      <c r="N71" s="346"/>
    </row>
    <row r="72" spans="1:14" x14ac:dyDescent="0.2">
      <c r="A72" s="273"/>
      <c r="B72" s="172" t="s">
        <v>204</v>
      </c>
      <c r="C72" s="66" t="s">
        <v>205</v>
      </c>
      <c r="D72" s="66" t="s">
        <v>206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409</v>
      </c>
      <c r="K72" s="66">
        <v>3</v>
      </c>
      <c r="L72" s="66">
        <f>SUM(K72)</f>
        <v>3</v>
      </c>
      <c r="M72" s="135">
        <v>25</v>
      </c>
      <c r="N72" s="66">
        <f>SUM(E72)</f>
        <v>12</v>
      </c>
    </row>
    <row r="73" spans="1:14" x14ac:dyDescent="0.2">
      <c r="A73" s="273"/>
      <c r="B73" s="273" t="s">
        <v>207</v>
      </c>
      <c r="C73" s="273" t="s">
        <v>208</v>
      </c>
      <c r="D73" s="17" t="s">
        <v>410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44">
        <v>8</v>
      </c>
      <c r="N73" s="344">
        <v>8</v>
      </c>
    </row>
    <row r="74" spans="1:14" x14ac:dyDescent="0.2">
      <c r="A74" s="273"/>
      <c r="B74" s="273"/>
      <c r="C74" s="273"/>
      <c r="D74" s="17" t="s">
        <v>411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46"/>
      <c r="N74" s="346"/>
    </row>
    <row r="75" spans="1:14" x14ac:dyDescent="0.2">
      <c r="A75" s="273" t="s">
        <v>13</v>
      </c>
      <c r="B75" s="343" t="s">
        <v>214</v>
      </c>
      <c r="C75" s="343" t="s">
        <v>215</v>
      </c>
      <c r="D75" s="66" t="s">
        <v>412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6" t="s">
        <v>413</v>
      </c>
      <c r="K75" s="66">
        <v>4.7</v>
      </c>
      <c r="L75" s="66">
        <f>SUM(K75:K120)</f>
        <v>139.82</v>
      </c>
      <c r="M75" s="344"/>
      <c r="N75" s="344">
        <v>346.2</v>
      </c>
    </row>
    <row r="76" spans="1:14" x14ac:dyDescent="0.2">
      <c r="A76" s="273"/>
      <c r="B76" s="343"/>
      <c r="C76" s="343"/>
      <c r="D76" s="66" t="s">
        <v>414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6" t="s">
        <v>415</v>
      </c>
      <c r="K76" s="66">
        <v>5</v>
      </c>
      <c r="L76" s="66"/>
      <c r="M76" s="345"/>
      <c r="N76" s="345"/>
    </row>
    <row r="77" spans="1:14" x14ac:dyDescent="0.2">
      <c r="A77" s="273"/>
      <c r="B77" s="343"/>
      <c r="C77" s="343"/>
      <c r="D77" s="66" t="s">
        <v>416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6" t="s">
        <v>417</v>
      </c>
      <c r="K77" s="66">
        <v>4.5</v>
      </c>
      <c r="L77" s="66"/>
      <c r="M77" s="345"/>
      <c r="N77" s="345"/>
    </row>
    <row r="78" spans="1:14" x14ac:dyDescent="0.2">
      <c r="A78" s="273"/>
      <c r="B78" s="343"/>
      <c r="C78" s="343"/>
      <c r="D78" s="66" t="s">
        <v>418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419</v>
      </c>
      <c r="K78" s="66">
        <v>0.3</v>
      </c>
      <c r="L78" s="66"/>
      <c r="M78" s="345"/>
      <c r="N78" s="345"/>
    </row>
    <row r="79" spans="1:14" x14ac:dyDescent="0.2">
      <c r="A79" s="273"/>
      <c r="B79" s="343"/>
      <c r="C79" s="343"/>
      <c r="D79" s="66" t="s">
        <v>420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6" t="s">
        <v>421</v>
      </c>
      <c r="K79" s="66">
        <v>3.6</v>
      </c>
      <c r="L79" s="66"/>
      <c r="M79" s="345"/>
      <c r="N79" s="345"/>
    </row>
    <row r="80" spans="1:14" x14ac:dyDescent="0.2">
      <c r="A80" s="273"/>
      <c r="B80" s="343"/>
      <c r="C80" s="343"/>
      <c r="D80" s="166" t="s">
        <v>422</v>
      </c>
      <c r="E80" s="171">
        <v>11</v>
      </c>
      <c r="F80" s="66"/>
      <c r="G80" s="66">
        <v>7</v>
      </c>
      <c r="H80" s="66">
        <f t="shared" si="1"/>
        <v>4</v>
      </c>
      <c r="I80" s="66"/>
      <c r="J80" s="166" t="s">
        <v>423</v>
      </c>
      <c r="K80" s="66">
        <v>10.5</v>
      </c>
      <c r="L80" s="66"/>
      <c r="M80" s="345"/>
      <c r="N80" s="345"/>
    </row>
    <row r="81" spans="1:14" x14ac:dyDescent="0.2">
      <c r="A81" s="273"/>
      <c r="B81" s="343"/>
      <c r="C81" s="343"/>
      <c r="D81" s="166" t="s">
        <v>424</v>
      </c>
      <c r="E81" s="171">
        <v>10</v>
      </c>
      <c r="F81" s="66"/>
      <c r="G81" s="66">
        <v>7.5</v>
      </c>
      <c r="H81" s="66">
        <f t="shared" si="1"/>
        <v>2.5</v>
      </c>
      <c r="I81" s="66"/>
      <c r="J81" s="166" t="s">
        <v>425</v>
      </c>
      <c r="K81" s="66">
        <v>1.7</v>
      </c>
      <c r="L81" s="66"/>
      <c r="M81" s="345"/>
      <c r="N81" s="345"/>
    </row>
    <row r="82" spans="1:14" x14ac:dyDescent="0.2">
      <c r="A82" s="273"/>
      <c r="B82" s="343"/>
      <c r="C82" s="343"/>
      <c r="D82" s="66" t="s">
        <v>426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6" t="s">
        <v>427</v>
      </c>
      <c r="K82" s="66">
        <v>3.4</v>
      </c>
      <c r="L82" s="66"/>
      <c r="M82" s="345"/>
      <c r="N82" s="345"/>
    </row>
    <row r="83" spans="1:14" x14ac:dyDescent="0.2">
      <c r="A83" s="273"/>
      <c r="B83" s="343"/>
      <c r="C83" s="343"/>
      <c r="D83" s="166" t="s">
        <v>428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6" t="s">
        <v>429</v>
      </c>
      <c r="K83" s="66">
        <v>11</v>
      </c>
      <c r="L83" s="66"/>
      <c r="M83" s="345"/>
      <c r="N83" s="345"/>
    </row>
    <row r="84" spans="1:14" x14ac:dyDescent="0.2">
      <c r="A84" s="273"/>
      <c r="B84" s="343"/>
      <c r="C84" s="343"/>
      <c r="D84" s="166" t="s">
        <v>430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6" t="s">
        <v>431</v>
      </c>
      <c r="K84" s="66">
        <v>0.1</v>
      </c>
      <c r="L84" s="66"/>
      <c r="M84" s="345"/>
      <c r="N84" s="345"/>
    </row>
    <row r="85" spans="1:14" x14ac:dyDescent="0.2">
      <c r="A85" s="273"/>
      <c r="B85" s="343"/>
      <c r="C85" s="343"/>
      <c r="D85" s="166" t="s">
        <v>432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433</v>
      </c>
      <c r="K85" s="66">
        <v>0.1</v>
      </c>
      <c r="L85" s="66"/>
      <c r="M85" s="345"/>
      <c r="N85" s="345"/>
    </row>
    <row r="86" spans="1:14" x14ac:dyDescent="0.2">
      <c r="A86" s="273"/>
      <c r="B86" s="343"/>
      <c r="C86" s="343"/>
      <c r="D86" s="166" t="s">
        <v>434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6" t="s">
        <v>435</v>
      </c>
      <c r="K86" s="166">
        <v>3.7</v>
      </c>
      <c r="L86" s="66"/>
      <c r="M86" s="345"/>
      <c r="N86" s="345"/>
    </row>
    <row r="87" spans="1:14" x14ac:dyDescent="0.2">
      <c r="A87" s="273"/>
      <c r="B87" s="343"/>
      <c r="C87" s="343"/>
      <c r="D87" s="166" t="s">
        <v>436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6" t="s">
        <v>437</v>
      </c>
      <c r="K87" s="166">
        <v>2</v>
      </c>
      <c r="L87" s="66"/>
      <c r="M87" s="345"/>
      <c r="N87" s="345"/>
    </row>
    <row r="88" spans="1:14" x14ac:dyDescent="0.2">
      <c r="A88" s="273"/>
      <c r="B88" s="343"/>
      <c r="C88" s="343"/>
      <c r="D88" s="166" t="s">
        <v>438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6" t="s">
        <v>439</v>
      </c>
      <c r="K88" s="166">
        <v>2.2999999999999998</v>
      </c>
      <c r="L88" s="66"/>
      <c r="M88" s="345"/>
      <c r="N88" s="345"/>
    </row>
    <row r="89" spans="1:14" x14ac:dyDescent="0.2">
      <c r="A89" s="273"/>
      <c r="B89" s="343"/>
      <c r="C89" s="343"/>
      <c r="D89" s="166" t="s">
        <v>440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6" t="s">
        <v>441</v>
      </c>
      <c r="K89" s="166">
        <v>3.2</v>
      </c>
      <c r="L89" s="66"/>
      <c r="M89" s="345"/>
      <c r="N89" s="345"/>
    </row>
    <row r="90" spans="1:14" x14ac:dyDescent="0.2">
      <c r="A90" s="273"/>
      <c r="B90" s="343"/>
      <c r="C90" s="343"/>
      <c r="D90" s="166" t="s">
        <v>442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6" t="s">
        <v>443</v>
      </c>
      <c r="K90" s="166">
        <v>4</v>
      </c>
      <c r="L90" s="66"/>
      <c r="M90" s="345"/>
      <c r="N90" s="345"/>
    </row>
    <row r="91" spans="1:14" x14ac:dyDescent="0.2">
      <c r="A91" s="273"/>
      <c r="B91" s="343"/>
      <c r="C91" s="343"/>
      <c r="D91" s="166" t="s">
        <v>444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6" t="s">
        <v>445</v>
      </c>
      <c r="K91" s="166">
        <v>0.5</v>
      </c>
      <c r="L91" s="66"/>
      <c r="M91" s="345"/>
      <c r="N91" s="345"/>
    </row>
    <row r="92" spans="1:14" x14ac:dyDescent="0.2">
      <c r="A92" s="273"/>
      <c r="B92" s="343"/>
      <c r="C92" s="343"/>
      <c r="D92" s="166" t="s">
        <v>446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6" t="s">
        <v>447</v>
      </c>
      <c r="K92" s="166">
        <v>4</v>
      </c>
      <c r="L92" s="66"/>
      <c r="M92" s="345"/>
      <c r="N92" s="345"/>
    </row>
    <row r="93" spans="1:14" x14ac:dyDescent="0.2">
      <c r="A93" s="273"/>
      <c r="B93" s="343"/>
      <c r="C93" s="343"/>
      <c r="D93" s="166" t="s">
        <v>448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6" t="s">
        <v>449</v>
      </c>
      <c r="K93" s="166">
        <v>6</v>
      </c>
      <c r="L93" s="66"/>
      <c r="M93" s="345"/>
      <c r="N93" s="345"/>
    </row>
    <row r="94" spans="1:14" x14ac:dyDescent="0.2">
      <c r="A94" s="273"/>
      <c r="B94" s="343"/>
      <c r="C94" s="343"/>
      <c r="D94" s="166" t="s">
        <v>450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6" t="s">
        <v>451</v>
      </c>
      <c r="K94" s="166">
        <v>9.8000000000000007</v>
      </c>
      <c r="L94" s="66"/>
      <c r="M94" s="345"/>
      <c r="N94" s="345"/>
    </row>
    <row r="95" spans="1:14" x14ac:dyDescent="0.2">
      <c r="A95" s="273"/>
      <c r="B95" s="343"/>
      <c r="C95" s="343"/>
      <c r="D95" s="166" t="s">
        <v>452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6" t="s">
        <v>453</v>
      </c>
      <c r="K95" s="166">
        <v>1.5</v>
      </c>
      <c r="L95" s="66"/>
      <c r="M95" s="345"/>
      <c r="N95" s="345"/>
    </row>
    <row r="96" spans="1:14" x14ac:dyDescent="0.2">
      <c r="A96" s="273"/>
      <c r="B96" s="343"/>
      <c r="C96" s="343"/>
      <c r="D96" s="166" t="s">
        <v>454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6" t="s">
        <v>455</v>
      </c>
      <c r="K96" s="166">
        <v>2.5</v>
      </c>
      <c r="L96" s="66"/>
      <c r="M96" s="345"/>
      <c r="N96" s="345"/>
    </row>
    <row r="97" spans="1:14" x14ac:dyDescent="0.2">
      <c r="A97" s="273"/>
      <c r="B97" s="343"/>
      <c r="C97" s="343"/>
      <c r="D97" s="166" t="s">
        <v>456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6" t="s">
        <v>457</v>
      </c>
      <c r="K97" s="166">
        <v>2</v>
      </c>
      <c r="L97" s="66"/>
      <c r="M97" s="345"/>
      <c r="N97" s="345"/>
    </row>
    <row r="98" spans="1:14" x14ac:dyDescent="0.2">
      <c r="A98" s="273"/>
      <c r="B98" s="343"/>
      <c r="C98" s="343"/>
      <c r="D98" s="166" t="s">
        <v>458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6" t="s">
        <v>459</v>
      </c>
      <c r="K98" s="166">
        <v>0.6</v>
      </c>
      <c r="L98" s="66"/>
      <c r="M98" s="345"/>
      <c r="N98" s="345"/>
    </row>
    <row r="99" spans="1:14" x14ac:dyDescent="0.2">
      <c r="A99" s="273"/>
      <c r="B99" s="343"/>
      <c r="C99" s="343"/>
      <c r="D99" s="166" t="s">
        <v>460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6" t="s">
        <v>461</v>
      </c>
      <c r="K99" s="166">
        <v>0.1</v>
      </c>
      <c r="L99" s="66"/>
      <c r="M99" s="345"/>
      <c r="N99" s="345"/>
    </row>
    <row r="100" spans="1:14" x14ac:dyDescent="0.2">
      <c r="A100" s="273"/>
      <c r="B100" s="343"/>
      <c r="C100" s="343"/>
      <c r="D100" s="66"/>
      <c r="E100" s="66"/>
      <c r="F100" s="66"/>
      <c r="G100" s="66"/>
      <c r="H100" s="66">
        <f t="shared" si="1"/>
        <v>0</v>
      </c>
      <c r="I100" s="66"/>
      <c r="J100" s="166" t="s">
        <v>462</v>
      </c>
      <c r="K100" s="166">
        <v>1</v>
      </c>
      <c r="L100" s="66"/>
      <c r="M100" s="345"/>
      <c r="N100" s="345"/>
    </row>
    <row r="101" spans="1:14" x14ac:dyDescent="0.2">
      <c r="A101" s="273"/>
      <c r="B101" s="343"/>
      <c r="C101" s="343"/>
      <c r="D101" s="66"/>
      <c r="E101" s="66"/>
      <c r="F101" s="66"/>
      <c r="G101" s="66"/>
      <c r="H101" s="66">
        <f t="shared" si="1"/>
        <v>0</v>
      </c>
      <c r="I101" s="66"/>
      <c r="J101" s="166" t="s">
        <v>463</v>
      </c>
      <c r="K101" s="166">
        <v>1.7</v>
      </c>
      <c r="L101" s="66"/>
      <c r="M101" s="345"/>
      <c r="N101" s="345"/>
    </row>
    <row r="102" spans="1:14" x14ac:dyDescent="0.2">
      <c r="A102" s="273"/>
      <c r="B102" s="343"/>
      <c r="C102" s="343"/>
      <c r="D102" s="66"/>
      <c r="E102" s="66"/>
      <c r="F102" s="66"/>
      <c r="G102" s="66"/>
      <c r="H102" s="66">
        <f t="shared" si="1"/>
        <v>0</v>
      </c>
      <c r="I102" s="66"/>
      <c r="J102" s="166" t="s">
        <v>464</v>
      </c>
      <c r="K102" s="166">
        <v>0.1</v>
      </c>
      <c r="L102" s="66"/>
      <c r="M102" s="345"/>
      <c r="N102" s="345"/>
    </row>
    <row r="103" spans="1:14" x14ac:dyDescent="0.2">
      <c r="A103" s="273"/>
      <c r="B103" s="343"/>
      <c r="C103" s="343"/>
      <c r="D103" s="66"/>
      <c r="E103" s="66"/>
      <c r="F103" s="66"/>
      <c r="G103" s="66"/>
      <c r="H103" s="66">
        <f t="shared" si="1"/>
        <v>0</v>
      </c>
      <c r="I103" s="66"/>
      <c r="J103" s="166" t="s">
        <v>465</v>
      </c>
      <c r="K103" s="66">
        <v>2</v>
      </c>
      <c r="L103" s="66"/>
      <c r="M103" s="345"/>
      <c r="N103" s="345"/>
    </row>
    <row r="104" spans="1:14" x14ac:dyDescent="0.2">
      <c r="A104" s="273"/>
      <c r="B104" s="343"/>
      <c r="C104" s="343"/>
      <c r="D104" s="66"/>
      <c r="E104" s="66"/>
      <c r="F104" s="66"/>
      <c r="G104" s="66"/>
      <c r="H104" s="66">
        <f t="shared" si="1"/>
        <v>0</v>
      </c>
      <c r="I104" s="66"/>
      <c r="J104" s="166" t="s">
        <v>466</v>
      </c>
      <c r="K104" s="66">
        <v>16.2</v>
      </c>
      <c r="L104" s="66"/>
      <c r="M104" s="345"/>
      <c r="N104" s="345"/>
    </row>
    <row r="105" spans="1:14" x14ac:dyDescent="0.2">
      <c r="A105" s="273"/>
      <c r="B105" s="343"/>
      <c r="C105" s="343"/>
      <c r="D105" s="66"/>
      <c r="E105" s="66"/>
      <c r="F105" s="66"/>
      <c r="G105" s="66"/>
      <c r="H105" s="66">
        <f t="shared" si="1"/>
        <v>0</v>
      </c>
      <c r="I105" s="66"/>
      <c r="J105" s="166" t="s">
        <v>467</v>
      </c>
      <c r="K105" s="66">
        <v>1</v>
      </c>
      <c r="L105" s="66"/>
      <c r="M105" s="345"/>
      <c r="N105" s="345"/>
    </row>
    <row r="106" spans="1:14" x14ac:dyDescent="0.2">
      <c r="A106" s="273"/>
      <c r="B106" s="343"/>
      <c r="C106" s="343"/>
      <c r="D106" s="66"/>
      <c r="E106" s="66"/>
      <c r="F106" s="66"/>
      <c r="G106" s="66"/>
      <c r="H106" s="66">
        <f t="shared" si="1"/>
        <v>0</v>
      </c>
      <c r="I106" s="66"/>
      <c r="J106" s="166" t="s">
        <v>468</v>
      </c>
      <c r="K106" s="166">
        <v>2</v>
      </c>
      <c r="L106" s="66"/>
      <c r="M106" s="345"/>
      <c r="N106" s="345"/>
    </row>
    <row r="107" spans="1:14" x14ac:dyDescent="0.2">
      <c r="A107" s="273"/>
      <c r="B107" s="343"/>
      <c r="C107" s="343"/>
      <c r="D107" s="66"/>
      <c r="E107" s="66"/>
      <c r="F107" s="66"/>
      <c r="G107" s="66"/>
      <c r="H107" s="66">
        <f t="shared" si="1"/>
        <v>0</v>
      </c>
      <c r="I107" s="66"/>
      <c r="J107" s="166" t="s">
        <v>469</v>
      </c>
      <c r="K107" s="166">
        <v>2.5</v>
      </c>
      <c r="L107" s="66"/>
      <c r="M107" s="345"/>
      <c r="N107" s="345"/>
    </row>
    <row r="108" spans="1:14" x14ac:dyDescent="0.2">
      <c r="A108" s="273"/>
      <c r="B108" s="343"/>
      <c r="C108" s="343"/>
      <c r="D108" s="66"/>
      <c r="E108" s="66"/>
      <c r="F108" s="66"/>
      <c r="G108" s="66"/>
      <c r="H108" s="66">
        <f t="shared" si="1"/>
        <v>0</v>
      </c>
      <c r="I108" s="66"/>
      <c r="J108" s="166" t="s">
        <v>470</v>
      </c>
      <c r="K108" s="166">
        <v>0.05</v>
      </c>
      <c r="L108" s="66"/>
      <c r="M108" s="345"/>
      <c r="N108" s="345"/>
    </row>
    <row r="109" spans="1:14" x14ac:dyDescent="0.2">
      <c r="A109" s="273"/>
      <c r="B109" s="343"/>
      <c r="C109" s="343"/>
      <c r="D109" s="66"/>
      <c r="E109" s="66"/>
      <c r="F109" s="66"/>
      <c r="G109" s="66"/>
      <c r="H109" s="66">
        <f t="shared" si="1"/>
        <v>0</v>
      </c>
      <c r="I109" s="66"/>
      <c r="J109" s="166" t="s">
        <v>471</v>
      </c>
      <c r="K109" s="166">
        <v>0.15</v>
      </c>
      <c r="L109" s="66"/>
      <c r="M109" s="345"/>
      <c r="N109" s="345"/>
    </row>
    <row r="110" spans="1:14" x14ac:dyDescent="0.2">
      <c r="A110" s="273"/>
      <c r="B110" s="343"/>
      <c r="C110" s="343"/>
      <c r="D110" s="66"/>
      <c r="E110" s="66"/>
      <c r="F110" s="66"/>
      <c r="G110" s="66"/>
      <c r="H110" s="66">
        <f t="shared" si="1"/>
        <v>0</v>
      </c>
      <c r="I110" s="66"/>
      <c r="J110" s="166" t="s">
        <v>472</v>
      </c>
      <c r="K110" s="166">
        <v>3.5</v>
      </c>
      <c r="L110" s="66"/>
      <c r="M110" s="345"/>
      <c r="N110" s="345"/>
    </row>
    <row r="111" spans="1:14" x14ac:dyDescent="0.2">
      <c r="A111" s="273"/>
      <c r="B111" s="343"/>
      <c r="C111" s="343"/>
      <c r="D111" s="66"/>
      <c r="E111" s="66"/>
      <c r="F111" s="66"/>
      <c r="G111" s="66"/>
      <c r="H111" s="66">
        <f t="shared" si="1"/>
        <v>0</v>
      </c>
      <c r="I111" s="66"/>
      <c r="J111" s="166" t="s">
        <v>473</v>
      </c>
      <c r="K111" s="166">
        <v>0.35</v>
      </c>
      <c r="L111" s="66"/>
      <c r="M111" s="345"/>
      <c r="N111" s="345"/>
    </row>
    <row r="112" spans="1:14" x14ac:dyDescent="0.2">
      <c r="A112" s="273"/>
      <c r="B112" s="343"/>
      <c r="C112" s="343"/>
      <c r="D112" s="66"/>
      <c r="E112" s="66"/>
      <c r="F112" s="66"/>
      <c r="G112" s="66"/>
      <c r="H112" s="66">
        <f t="shared" si="1"/>
        <v>0</v>
      </c>
      <c r="I112" s="66"/>
      <c r="J112" s="166" t="s">
        <v>474</v>
      </c>
      <c r="K112" s="166">
        <v>0.82</v>
      </c>
      <c r="L112" s="66"/>
      <c r="M112" s="345"/>
      <c r="N112" s="345"/>
    </row>
    <row r="113" spans="1:14" x14ac:dyDescent="0.2">
      <c r="A113" s="273"/>
      <c r="B113" s="343"/>
      <c r="C113" s="343"/>
      <c r="D113" s="66"/>
      <c r="E113" s="66"/>
      <c r="F113" s="66"/>
      <c r="G113" s="66"/>
      <c r="H113" s="66">
        <f t="shared" si="1"/>
        <v>0</v>
      </c>
      <c r="I113" s="66"/>
      <c r="J113" s="166" t="s">
        <v>475</v>
      </c>
      <c r="K113" s="166">
        <v>0.35</v>
      </c>
      <c r="L113" s="66"/>
      <c r="M113" s="345"/>
      <c r="N113" s="345"/>
    </row>
    <row r="114" spans="1:14" x14ac:dyDescent="0.2">
      <c r="A114" s="273"/>
      <c r="B114" s="343"/>
      <c r="C114" s="343"/>
      <c r="D114" s="66"/>
      <c r="E114" s="66"/>
      <c r="F114" s="66"/>
      <c r="G114" s="66"/>
      <c r="H114" s="66">
        <f t="shared" si="1"/>
        <v>0</v>
      </c>
      <c r="I114" s="66"/>
      <c r="J114" s="166" t="s">
        <v>476</v>
      </c>
      <c r="K114" s="166">
        <v>1.5</v>
      </c>
      <c r="L114" s="66"/>
      <c r="M114" s="345"/>
      <c r="N114" s="345"/>
    </row>
    <row r="115" spans="1:14" x14ac:dyDescent="0.2">
      <c r="A115" s="273"/>
      <c r="B115" s="343"/>
      <c r="C115" s="343"/>
      <c r="D115" s="66"/>
      <c r="E115" s="66"/>
      <c r="F115" s="66"/>
      <c r="G115" s="66"/>
      <c r="H115" s="66">
        <f t="shared" si="1"/>
        <v>0</v>
      </c>
      <c r="I115" s="66"/>
      <c r="J115" s="166" t="s">
        <v>477</v>
      </c>
      <c r="K115" s="166">
        <v>2.5</v>
      </c>
      <c r="L115" s="66"/>
      <c r="M115" s="345"/>
      <c r="N115" s="345"/>
    </row>
    <row r="116" spans="1:14" x14ac:dyDescent="0.2">
      <c r="A116" s="273"/>
      <c r="B116" s="343"/>
      <c r="C116" s="343"/>
      <c r="D116" s="66"/>
      <c r="E116" s="66"/>
      <c r="F116" s="66"/>
      <c r="G116" s="66"/>
      <c r="H116" s="66">
        <f t="shared" si="1"/>
        <v>0</v>
      </c>
      <c r="I116" s="66"/>
      <c r="J116" s="166" t="s">
        <v>478</v>
      </c>
      <c r="K116" s="166">
        <v>4.2</v>
      </c>
      <c r="L116" s="66"/>
      <c r="M116" s="345"/>
      <c r="N116" s="345"/>
    </row>
    <row r="117" spans="1:14" x14ac:dyDescent="0.2">
      <c r="A117" s="273"/>
      <c r="B117" s="343"/>
      <c r="C117" s="343"/>
      <c r="D117" s="66"/>
      <c r="E117" s="66"/>
      <c r="F117" s="66"/>
      <c r="G117" s="66"/>
      <c r="H117" s="66">
        <f t="shared" si="1"/>
        <v>0</v>
      </c>
      <c r="I117" s="66"/>
      <c r="J117" s="166" t="s">
        <v>479</v>
      </c>
      <c r="K117" s="166">
        <v>0.7</v>
      </c>
      <c r="L117" s="66"/>
      <c r="M117" s="345"/>
      <c r="N117" s="345"/>
    </row>
    <row r="118" spans="1:14" x14ac:dyDescent="0.2">
      <c r="A118" s="273"/>
      <c r="B118" s="343"/>
      <c r="C118" s="343"/>
      <c r="D118" s="66"/>
      <c r="E118" s="66"/>
      <c r="F118" s="66"/>
      <c r="G118" s="66"/>
      <c r="H118" s="66">
        <f t="shared" si="1"/>
        <v>0</v>
      </c>
      <c r="I118" s="66"/>
      <c r="J118" s="166" t="s">
        <v>480</v>
      </c>
      <c r="K118" s="166">
        <v>2.8</v>
      </c>
      <c r="L118" s="66"/>
      <c r="M118" s="345"/>
      <c r="N118" s="345"/>
    </row>
    <row r="119" spans="1:14" x14ac:dyDescent="0.2">
      <c r="A119" s="273"/>
      <c r="B119" s="343"/>
      <c r="C119" s="343"/>
      <c r="D119" s="66"/>
      <c r="E119" s="66"/>
      <c r="F119" s="66"/>
      <c r="G119" s="66"/>
      <c r="H119" s="66">
        <f t="shared" si="1"/>
        <v>0</v>
      </c>
      <c r="I119" s="66"/>
      <c r="J119" s="166" t="s">
        <v>481</v>
      </c>
      <c r="K119" s="66">
        <v>2.5</v>
      </c>
      <c r="L119" s="66"/>
      <c r="M119" s="345"/>
      <c r="N119" s="345"/>
    </row>
    <row r="120" spans="1:14" x14ac:dyDescent="0.2">
      <c r="A120" s="273"/>
      <c r="B120" s="343"/>
      <c r="C120" s="343"/>
      <c r="D120" s="66"/>
      <c r="E120" s="66"/>
      <c r="F120" s="66"/>
      <c r="G120" s="66"/>
      <c r="H120" s="66">
        <f t="shared" si="1"/>
        <v>0</v>
      </c>
      <c r="I120" s="66"/>
      <c r="J120" s="166" t="s">
        <v>482</v>
      </c>
      <c r="K120" s="66">
        <v>6.8</v>
      </c>
      <c r="L120" s="66"/>
      <c r="M120" s="346"/>
      <c r="N120" s="346"/>
    </row>
    <row r="121" spans="1:14" x14ac:dyDescent="0.2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73"/>
      <c r="M121" s="173"/>
      <c r="N121" s="173"/>
    </row>
    <row r="122" spans="1:14" x14ac:dyDescent="0.2">
      <c r="K122" s="173"/>
    </row>
    <row r="123" spans="1:14" x14ac:dyDescent="0.2">
      <c r="A123" s="174" t="s">
        <v>541</v>
      </c>
      <c r="E123" s="121"/>
      <c r="G123" s="121"/>
      <c r="K123" s="173"/>
    </row>
    <row r="124" spans="1:14" x14ac:dyDescent="0.2">
      <c r="A124" s="175" t="s">
        <v>483</v>
      </c>
      <c r="B124" s="175" t="s">
        <v>313</v>
      </c>
      <c r="C124" s="175" t="s">
        <v>484</v>
      </c>
      <c r="E124" s="121"/>
      <c r="G124" s="121"/>
      <c r="K124" s="173"/>
    </row>
    <row r="125" spans="1:14" x14ac:dyDescent="0.2">
      <c r="A125" s="103" t="s">
        <v>485</v>
      </c>
      <c r="B125" s="17" t="s">
        <v>333</v>
      </c>
      <c r="C125" s="253">
        <v>0.2</v>
      </c>
      <c r="E125" s="121"/>
      <c r="G125" s="121"/>
      <c r="K125" s="173"/>
    </row>
    <row r="126" spans="1:14" x14ac:dyDescent="0.2">
      <c r="A126" s="103" t="s">
        <v>485</v>
      </c>
      <c r="B126" s="103" t="s">
        <v>486</v>
      </c>
      <c r="C126" s="135">
        <v>0.2</v>
      </c>
      <c r="E126" s="121"/>
      <c r="G126" s="121"/>
      <c r="K126" s="173"/>
    </row>
    <row r="127" spans="1:14" x14ac:dyDescent="0.2">
      <c r="A127" s="103" t="s">
        <v>485</v>
      </c>
      <c r="B127" s="103" t="s">
        <v>487</v>
      </c>
      <c r="C127" s="135">
        <v>0.02</v>
      </c>
      <c r="E127" s="121"/>
      <c r="G127" s="121"/>
      <c r="K127" s="173"/>
    </row>
    <row r="128" spans="1:14" x14ac:dyDescent="0.2">
      <c r="A128" s="103" t="s">
        <v>485</v>
      </c>
      <c r="B128" s="103" t="s">
        <v>488</v>
      </c>
      <c r="C128" s="135">
        <v>6</v>
      </c>
      <c r="E128" s="121"/>
      <c r="G128" s="121"/>
      <c r="K128" s="173"/>
    </row>
    <row r="129" spans="1:11" x14ac:dyDescent="0.2">
      <c r="A129" s="103" t="s">
        <v>485</v>
      </c>
      <c r="B129" s="103" t="s">
        <v>489</v>
      </c>
      <c r="C129" s="135">
        <v>0.01</v>
      </c>
      <c r="E129" s="121"/>
      <c r="G129" s="121"/>
      <c r="K129" s="173"/>
    </row>
    <row r="130" spans="1:11" x14ac:dyDescent="0.2">
      <c r="A130" s="103" t="s">
        <v>485</v>
      </c>
      <c r="B130" s="103" t="s">
        <v>490</v>
      </c>
      <c r="C130" s="135">
        <v>0.5</v>
      </c>
      <c r="E130" s="121"/>
      <c r="G130" s="121"/>
      <c r="K130" s="173"/>
    </row>
    <row r="131" spans="1:11" x14ac:dyDescent="0.2">
      <c r="A131" s="103" t="s">
        <v>485</v>
      </c>
      <c r="B131" s="103" t="s">
        <v>491</v>
      </c>
      <c r="C131" s="135">
        <v>5.0000000000000001E-3</v>
      </c>
      <c r="E131" s="121"/>
      <c r="G131" s="121"/>
      <c r="K131" s="173"/>
    </row>
    <row r="132" spans="1:11" x14ac:dyDescent="0.2">
      <c r="A132" s="103" t="s">
        <v>485</v>
      </c>
      <c r="B132" s="103" t="s">
        <v>492</v>
      </c>
      <c r="C132" s="135">
        <v>0.3</v>
      </c>
      <c r="E132" s="121"/>
      <c r="G132" s="121"/>
      <c r="K132" s="173"/>
    </row>
    <row r="133" spans="1:11" x14ac:dyDescent="0.2">
      <c r="A133" s="103" t="s">
        <v>485</v>
      </c>
      <c r="B133" s="103" t="s">
        <v>493</v>
      </c>
      <c r="C133" s="135">
        <v>0.6</v>
      </c>
      <c r="E133" s="121"/>
      <c r="G133" s="121"/>
      <c r="K133" s="173"/>
    </row>
    <row r="134" spans="1:11" x14ac:dyDescent="0.2">
      <c r="A134" s="103" t="s">
        <v>485</v>
      </c>
      <c r="B134" s="103" t="s">
        <v>494</v>
      </c>
      <c r="C134" s="135">
        <v>5.0000000000000001E-3</v>
      </c>
      <c r="E134" s="121"/>
      <c r="G134" s="121"/>
      <c r="K134" s="173"/>
    </row>
    <row r="135" spans="1:11" x14ac:dyDescent="0.2">
      <c r="A135" s="103" t="s">
        <v>485</v>
      </c>
      <c r="B135" s="103" t="s">
        <v>495</v>
      </c>
      <c r="C135" s="135">
        <v>0.5</v>
      </c>
      <c r="E135" s="121"/>
      <c r="G135" s="121"/>
      <c r="K135" s="173"/>
    </row>
    <row r="136" spans="1:11" x14ac:dyDescent="0.2">
      <c r="A136" s="103" t="s">
        <v>485</v>
      </c>
      <c r="B136" s="103" t="s">
        <v>496</v>
      </c>
      <c r="C136" s="135">
        <v>5.0000000000000001E-3</v>
      </c>
      <c r="E136" s="121"/>
      <c r="G136" s="121"/>
      <c r="K136" s="173"/>
    </row>
    <row r="137" spans="1:11" x14ac:dyDescent="0.2">
      <c r="A137" s="103" t="s">
        <v>497</v>
      </c>
      <c r="B137" s="103" t="s">
        <v>498</v>
      </c>
      <c r="C137" s="135">
        <v>1</v>
      </c>
      <c r="E137" s="121"/>
      <c r="G137" s="121"/>
      <c r="K137" s="173"/>
    </row>
    <row r="138" spans="1:11" x14ac:dyDescent="0.2">
      <c r="A138" s="103" t="s">
        <v>497</v>
      </c>
      <c r="B138" s="103" t="s">
        <v>499</v>
      </c>
      <c r="C138" s="135">
        <v>2</v>
      </c>
      <c r="E138" s="121"/>
      <c r="G138" s="121"/>
      <c r="K138" s="173"/>
    </row>
    <row r="139" spans="1:11" x14ac:dyDescent="0.2">
      <c r="A139" s="103" t="s">
        <v>497</v>
      </c>
      <c r="B139" s="103" t="s">
        <v>500</v>
      </c>
      <c r="C139" s="135">
        <v>0.55000000000000004</v>
      </c>
      <c r="E139" s="121"/>
      <c r="G139" s="121"/>
      <c r="K139" s="173"/>
    </row>
    <row r="140" spans="1:11" x14ac:dyDescent="0.2">
      <c r="A140" s="103" t="s">
        <v>497</v>
      </c>
      <c r="B140" s="103" t="s">
        <v>501</v>
      </c>
      <c r="C140" s="135">
        <v>4.5999999999999996</v>
      </c>
      <c r="E140" s="121"/>
      <c r="G140" s="121"/>
      <c r="K140" s="173"/>
    </row>
    <row r="141" spans="1:11" x14ac:dyDescent="0.2">
      <c r="A141" s="103" t="s">
        <v>497</v>
      </c>
      <c r="B141" s="103" t="s">
        <v>502</v>
      </c>
      <c r="C141" s="135">
        <v>6.7</v>
      </c>
      <c r="E141" s="121"/>
      <c r="G141" s="121"/>
      <c r="K141" s="173"/>
    </row>
    <row r="142" spans="1:11" x14ac:dyDescent="0.2">
      <c r="A142" s="103" t="s">
        <v>497</v>
      </c>
      <c r="B142" s="103" t="s">
        <v>503</v>
      </c>
      <c r="C142" s="135">
        <v>6</v>
      </c>
      <c r="E142" s="121"/>
      <c r="G142" s="121"/>
      <c r="K142" s="173"/>
    </row>
    <row r="143" spans="1:11" x14ac:dyDescent="0.2">
      <c r="A143" s="103" t="s">
        <v>497</v>
      </c>
      <c r="B143" s="103" t="s">
        <v>504</v>
      </c>
      <c r="C143" s="135">
        <v>2.6</v>
      </c>
      <c r="E143" s="121"/>
      <c r="G143" s="121"/>
      <c r="K143" s="173"/>
    </row>
    <row r="144" spans="1:11" x14ac:dyDescent="0.2">
      <c r="A144" s="103" t="s">
        <v>505</v>
      </c>
      <c r="B144" s="103" t="s">
        <v>506</v>
      </c>
      <c r="C144" s="135">
        <v>4</v>
      </c>
      <c r="E144" s="121"/>
      <c r="G144" s="121"/>
      <c r="K144" s="173"/>
    </row>
    <row r="145" spans="1:11" x14ac:dyDescent="0.2">
      <c r="A145" s="103" t="s">
        <v>507</v>
      </c>
      <c r="B145" s="103" t="s">
        <v>508</v>
      </c>
      <c r="C145" s="135">
        <v>2.5</v>
      </c>
      <c r="E145" s="121"/>
      <c r="G145" s="121"/>
      <c r="K145" s="173"/>
    </row>
    <row r="146" spans="1:11" x14ac:dyDescent="0.2">
      <c r="A146" s="103" t="s">
        <v>507</v>
      </c>
      <c r="B146" s="103" t="s">
        <v>509</v>
      </c>
      <c r="C146" s="135">
        <v>1.8</v>
      </c>
      <c r="E146" s="121"/>
      <c r="G146" s="121"/>
      <c r="K146" s="173"/>
    </row>
    <row r="147" spans="1:11" x14ac:dyDescent="0.2">
      <c r="A147" s="103" t="s">
        <v>507</v>
      </c>
      <c r="B147" s="103" t="s">
        <v>510</v>
      </c>
      <c r="C147" s="135">
        <v>4.5</v>
      </c>
      <c r="E147" s="121"/>
      <c r="G147" s="121"/>
      <c r="K147" s="173"/>
    </row>
    <row r="148" spans="1:11" x14ac:dyDescent="0.2">
      <c r="A148" s="103" t="s">
        <v>511</v>
      </c>
      <c r="B148" s="103" t="s">
        <v>512</v>
      </c>
      <c r="C148" s="135">
        <v>1</v>
      </c>
      <c r="E148" s="121"/>
      <c r="G148" s="121"/>
      <c r="K148" s="173"/>
    </row>
    <row r="149" spans="1:11" ht="15" thickBot="1" x14ac:dyDescent="0.25">
      <c r="A149" s="103" t="s">
        <v>513</v>
      </c>
      <c r="B149" s="133" t="s">
        <v>514</v>
      </c>
      <c r="C149" s="134">
        <v>13</v>
      </c>
      <c r="E149" s="121"/>
      <c r="G149" s="121"/>
      <c r="K149" s="173"/>
    </row>
    <row r="150" spans="1:11" ht="15" thickBot="1" x14ac:dyDescent="0.25">
      <c r="B150" s="176" t="s">
        <v>118</v>
      </c>
      <c r="C150" s="177">
        <f>SUM(C125:C149)</f>
        <v>58.594999999999999</v>
      </c>
      <c r="E150" s="121"/>
      <c r="G150" s="121"/>
      <c r="K150" s="173"/>
    </row>
    <row r="151" spans="1:11" x14ac:dyDescent="0.2">
      <c r="E151" s="121"/>
      <c r="G151" s="121"/>
      <c r="K151" s="173"/>
    </row>
  </sheetData>
  <mergeCells count="74"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  <mergeCell ref="J1:L1"/>
    <mergeCell ref="A3:A8"/>
    <mergeCell ref="B3:B6"/>
    <mergeCell ref="C3:C6"/>
    <mergeCell ref="B7:B8"/>
    <mergeCell ref="C7:C8"/>
    <mergeCell ref="D1:I1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M3:M6"/>
    <mergeCell ref="N3:N6"/>
    <mergeCell ref="M7:M8"/>
    <mergeCell ref="N7:N8"/>
    <mergeCell ref="M9:M14"/>
    <mergeCell ref="N9:N14"/>
    <mergeCell ref="M15:M21"/>
    <mergeCell ref="N15:N21"/>
    <mergeCell ref="M22:M24"/>
    <mergeCell ref="N22:N24"/>
    <mergeCell ref="M25:M26"/>
    <mergeCell ref="N25:N26"/>
    <mergeCell ref="M27:M29"/>
    <mergeCell ref="N27:N29"/>
    <mergeCell ref="M31:M32"/>
    <mergeCell ref="N31:N32"/>
    <mergeCell ref="M33:M37"/>
    <mergeCell ref="N33:N37"/>
    <mergeCell ref="M38:M39"/>
    <mergeCell ref="N38:N39"/>
    <mergeCell ref="M42:M43"/>
    <mergeCell ref="N42:N43"/>
    <mergeCell ref="M45:M58"/>
    <mergeCell ref="N45:N58"/>
    <mergeCell ref="B61:B71"/>
    <mergeCell ref="C61:C71"/>
    <mergeCell ref="M61:M71"/>
    <mergeCell ref="N61:N71"/>
    <mergeCell ref="B73:B74"/>
    <mergeCell ref="C73:C74"/>
    <mergeCell ref="M73:M74"/>
    <mergeCell ref="N73:N74"/>
    <mergeCell ref="C75:C120"/>
    <mergeCell ref="M75:M120"/>
    <mergeCell ref="N75:N120"/>
    <mergeCell ref="M59:M60"/>
    <mergeCell ref="N59:N6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topLeftCell="B1" workbookViewId="0">
      <selection activeCell="K17" sqref="K17"/>
    </sheetView>
  </sheetViews>
  <sheetFormatPr defaultRowHeight="14.25" x14ac:dyDescent="0.2"/>
  <cols>
    <col min="1" max="1" width="12.625" customWidth="1"/>
    <col min="2" max="2" width="16.125" customWidth="1"/>
    <col min="3" max="3" width="15.125" customWidth="1"/>
    <col min="4" max="5" width="7.875" customWidth="1"/>
    <col min="6" max="6" width="14.375" customWidth="1"/>
    <col min="7" max="7" width="19.375" customWidth="1"/>
    <col min="8" max="8" width="12.375" customWidth="1"/>
  </cols>
  <sheetData>
    <row r="1" spans="1:8" ht="28.5" x14ac:dyDescent="0.2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169</v>
      </c>
      <c r="H1" s="78"/>
    </row>
    <row r="2" spans="1:8" x14ac:dyDescent="0.2">
      <c r="A2" s="31"/>
      <c r="B2" s="31"/>
      <c r="C2" s="74"/>
      <c r="D2" s="119" t="s">
        <v>246</v>
      </c>
      <c r="E2" s="119" t="s">
        <v>247</v>
      </c>
      <c r="F2" s="77" t="s">
        <v>163</v>
      </c>
      <c r="G2" s="78" t="s">
        <v>165</v>
      </c>
      <c r="H2" s="78" t="s">
        <v>164</v>
      </c>
    </row>
    <row r="3" spans="1:8" x14ac:dyDescent="0.2">
      <c r="A3" s="355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2">
      <c r="A4" s="356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2">
      <c r="A5" s="5" t="s">
        <v>159</v>
      </c>
      <c r="B5" s="72" t="s">
        <v>159</v>
      </c>
      <c r="C5" s="55" t="s">
        <v>45</v>
      </c>
      <c r="D5" s="55"/>
      <c r="E5" s="55"/>
      <c r="F5" s="72">
        <v>2</v>
      </c>
      <c r="G5" s="72"/>
      <c r="H5" s="72"/>
    </row>
    <row r="6" spans="1:8" ht="28.5" x14ac:dyDescent="0.2">
      <c r="A6" s="355" t="s">
        <v>17</v>
      </c>
      <c r="B6" s="72" t="s">
        <v>6</v>
      </c>
      <c r="C6" s="54" t="s">
        <v>133</v>
      </c>
      <c r="D6" s="54"/>
      <c r="E6" s="54"/>
      <c r="F6" s="72">
        <v>5</v>
      </c>
      <c r="G6" s="72"/>
      <c r="H6" s="72"/>
    </row>
    <row r="7" spans="1:8" x14ac:dyDescent="0.2">
      <c r="A7" s="357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2">
      <c r="A8" s="357"/>
      <c r="B8" s="72" t="s">
        <v>19</v>
      </c>
      <c r="C8" s="54" t="s">
        <v>137</v>
      </c>
      <c r="D8" s="54"/>
      <c r="E8" s="54"/>
      <c r="F8" s="72">
        <v>7</v>
      </c>
      <c r="G8" s="72"/>
      <c r="H8" s="72"/>
    </row>
    <row r="9" spans="1:8" ht="28.5" x14ac:dyDescent="0.2">
      <c r="A9" s="357"/>
      <c r="B9" s="17" t="s">
        <v>18</v>
      </c>
      <c r="C9" s="54" t="s">
        <v>134</v>
      </c>
      <c r="D9" s="54"/>
      <c r="E9" s="54"/>
      <c r="F9" s="72">
        <v>8</v>
      </c>
      <c r="G9" s="72"/>
      <c r="H9" s="72"/>
    </row>
    <row r="10" spans="1:8" x14ac:dyDescent="0.2">
      <c r="A10" s="357"/>
      <c r="B10" s="72" t="s">
        <v>160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2">
      <c r="A11" s="356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2">
      <c r="A12" s="5" t="s">
        <v>84</v>
      </c>
      <c r="B12" s="72" t="s">
        <v>84</v>
      </c>
      <c r="C12" s="54" t="s">
        <v>135</v>
      </c>
      <c r="D12" s="54"/>
      <c r="E12" s="54"/>
      <c r="F12" s="72">
        <v>11</v>
      </c>
      <c r="G12" s="72"/>
      <c r="H12" s="72"/>
    </row>
    <row r="13" spans="1:8" x14ac:dyDescent="0.2">
      <c r="A13" s="344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2">
      <c r="A14" s="346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2">
      <c r="A15" s="94" t="s">
        <v>192</v>
      </c>
      <c r="B15" s="94" t="s">
        <v>193</v>
      </c>
      <c r="C15" s="18" t="s">
        <v>244</v>
      </c>
      <c r="D15" s="18"/>
      <c r="E15" s="18"/>
      <c r="F15" s="5"/>
      <c r="G15" s="5"/>
      <c r="H15" s="5"/>
    </row>
    <row r="16" spans="1:8" x14ac:dyDescent="0.2">
      <c r="A16" s="17" t="s">
        <v>199</v>
      </c>
      <c r="B16" s="17" t="s">
        <v>199</v>
      </c>
      <c r="C16" s="18" t="s">
        <v>245</v>
      </c>
      <c r="D16" s="18"/>
      <c r="E16" s="18"/>
      <c r="F16" s="5"/>
      <c r="G16" s="5"/>
      <c r="H16" s="5"/>
    </row>
    <row r="17" spans="1:8" x14ac:dyDescent="0.2">
      <c r="A17" s="273" t="s">
        <v>13</v>
      </c>
      <c r="B17" s="118" t="s">
        <v>146</v>
      </c>
      <c r="C17" s="17" t="s">
        <v>202</v>
      </c>
      <c r="D17" s="17"/>
      <c r="E17" s="17"/>
      <c r="F17" s="5"/>
      <c r="G17" s="5"/>
      <c r="H17" s="5"/>
    </row>
    <row r="18" spans="1:8" x14ac:dyDescent="0.2">
      <c r="A18" s="273"/>
      <c r="B18" s="118" t="s">
        <v>204</v>
      </c>
      <c r="C18" s="17" t="s">
        <v>205</v>
      </c>
      <c r="D18" s="17"/>
      <c r="E18" s="17"/>
      <c r="F18" s="5"/>
      <c r="G18" s="5"/>
      <c r="H18" s="5"/>
    </row>
    <row r="19" spans="1:8" x14ac:dyDescent="0.2">
      <c r="A19" s="273"/>
      <c r="B19" s="17" t="s">
        <v>207</v>
      </c>
      <c r="C19" s="17" t="s">
        <v>208</v>
      </c>
      <c r="D19" s="17"/>
      <c r="E19" s="17"/>
      <c r="F19" s="5"/>
      <c r="G19" s="5"/>
      <c r="H19" s="5"/>
    </row>
    <row r="20" spans="1:8" x14ac:dyDescent="0.2">
      <c r="A20" s="17" t="s">
        <v>13</v>
      </c>
      <c r="B20" s="118" t="s">
        <v>214</v>
      </c>
      <c r="C20" s="17" t="s">
        <v>215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侯宇枫_Nick</cp:lastModifiedBy>
  <dcterms:created xsi:type="dcterms:W3CDTF">2015-06-05T18:17:20Z</dcterms:created>
  <dcterms:modified xsi:type="dcterms:W3CDTF">2025-06-16T07:58:35Z</dcterms:modified>
</cp:coreProperties>
</file>