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_Work_Station\Work_Platform\A_Plan\Agent\raw_data\"/>
    </mc:Choice>
  </mc:AlternateContent>
  <xr:revisionPtr revIDLastSave="0" documentId="13_ncr:1_{81E040DF-F234-4302-A1D7-EC2606FEF9E9}" xr6:coauthVersionLast="47" xr6:coauthVersionMax="47" xr10:uidLastSave="{00000000-0000-0000-0000-000000000000}"/>
  <bookViews>
    <workbookView xWindow="-120" yWindow="-120" windowWidth="38640" windowHeight="21240" tabRatio="739" activeTab="3" xr2:uid="{00000000-000D-0000-FFFF-FFFF00000000}"/>
  </bookViews>
  <sheets>
    <sheet name="费用统计" sheetId="9" r:id="rId1"/>
    <sheet name="集群统计" sheetId="8" r:id="rId2"/>
    <sheet name="前端资源分配" sheetId="6" r:id="rId3"/>
    <sheet name="前端运行数据统计" sheetId="7" r:id="rId4"/>
    <sheet name="中端和后端资源分配" sheetId="12" r:id="rId5"/>
    <sheet name="中端运行数据统计" sheetId="13" r:id="rId6"/>
    <sheet name="磁盘统计" sheetId="10" r:id="rId7"/>
    <sheet name="云资源统计" sheetId="11" r:id="rId8"/>
  </sheets>
  <definedNames>
    <definedName name="_xlnm._FilterDatabase" localSheetId="3" hidden="1">前端运行数据统计!$P$3:$P$14</definedName>
    <definedName name="_xlnm._FilterDatabase" localSheetId="5" hidden="1">中端运行数据统计!$P$3:$P$14</definedName>
    <definedName name="_xlnm.Print_Area" localSheetId="3">前端运行数据统计!$A$1:$K$35</definedName>
    <definedName name="_xlnm.Print_Area" localSheetId="5">中端运行数据统计!$A$1:$K$35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6" l="1"/>
  <c r="D41" i="9" a="1"/>
  <c r="J40" i="9" a="1"/>
  <c r="O45" i="9" a="1"/>
  <c r="O47" i="9" a="1"/>
  <c r="F42" i="9" a="1"/>
  <c r="N47" i="9" a="1"/>
  <c r="I47" i="9" a="1"/>
  <c r="N45" i="9" a="1"/>
  <c r="I46" i="9" a="1"/>
  <c r="P44" i="9" a="1"/>
  <c r="J46" i="9" a="1"/>
  <c r="S53" i="13" a="1"/>
  <c r="G47" i="9" a="1"/>
  <c r="R53" i="13" a="1"/>
  <c r="H47" i="9" a="1"/>
  <c r="P46" i="9" a="1"/>
  <c r="D45" i="9" a="1"/>
  <c r="E44" i="9" a="1"/>
  <c r="E40" i="9" a="1"/>
  <c r="H45" i="9" a="1"/>
  <c r="L41" i="9" a="1"/>
  <c r="R44" i="9" a="1"/>
  <c r="P47" i="9" a="1"/>
  <c r="D43" i="9" a="1"/>
  <c r="J45" i="9" a="1"/>
  <c r="R43" i="9" a="1"/>
  <c r="Q46" i="9" a="1"/>
  <c r="I40" i="9" a="1"/>
  <c r="G41" i="9" a="1"/>
  <c r="M41" i="9" a="1"/>
  <c r="F43" i="9" a="1"/>
  <c r="U59" i="7" a="1"/>
  <c r="F41" i="9" a="1"/>
  <c r="D44" i="9" a="1"/>
  <c r="H43" i="9" a="1"/>
  <c r="O40" i="9" a="1"/>
  <c r="L47" i="9" a="1"/>
  <c r="N42" i="9" a="1"/>
  <c r="U53" i="13" a="1"/>
  <c r="Q43" i="9" a="1"/>
  <c r="L42" i="9" a="1"/>
  <c r="M47" i="9" a="1"/>
  <c r="N43" i="9" a="1"/>
  <c r="F46" i="9" a="1"/>
  <c r="O46" i="9" a="1"/>
  <c r="P45" i="9" a="1"/>
  <c r="R45" i="9" a="1"/>
  <c r="T59" i="7" a="1"/>
  <c r="O41" i="9" a="1"/>
  <c r="M40" i="9" a="1"/>
  <c r="P42" i="9" a="1"/>
  <c r="M42" i="9" a="1"/>
  <c r="L46" i="9" a="1"/>
  <c r="K40" i="9" a="1"/>
  <c r="E42" i="9" a="1"/>
  <c r="L40" i="9" a="1"/>
  <c r="I43" i="9" a="1"/>
  <c r="H42" i="9" a="1"/>
  <c r="I42" i="9" a="1"/>
  <c r="R42" i="9" a="1"/>
  <c r="G40" i="9" a="1"/>
  <c r="N44" i="9" a="1"/>
  <c r="K46" i="9" a="1"/>
  <c r="M45" i="9" a="1"/>
  <c r="M44" i="9" a="1"/>
  <c r="D46" i="9" a="1"/>
  <c r="P43" i="9" a="1"/>
  <c r="I45" i="9" a="1"/>
  <c r="Q41" i="9" a="1"/>
  <c r="G45" i="9" a="1"/>
  <c r="E47" i="9" a="1"/>
  <c r="F40" i="9" a="1"/>
  <c r="H44" i="9" a="1"/>
  <c r="O43" i="9" a="1"/>
  <c r="O44" i="9" a="1"/>
  <c r="Q47" i="9" a="1"/>
  <c r="F45" i="9" a="1"/>
  <c r="Q44" i="9" a="1"/>
  <c r="K42" i="9" a="1"/>
  <c r="R40" i="9" a="1"/>
  <c r="J47" i="9" a="1"/>
  <c r="N46" i="9" a="1"/>
  <c r="F44" i="9" a="1"/>
  <c r="G43" i="9" a="1"/>
  <c r="E41" i="9" a="1"/>
  <c r="M43" i="9" a="1"/>
  <c r="O42" i="9" a="1"/>
  <c r="K41" i="9" a="1"/>
  <c r="D42" i="9" a="1"/>
  <c r="K45" i="9" a="1"/>
  <c r="N40" i="9" a="1"/>
  <c r="J43" i="9" a="1"/>
  <c r="H46" i="9" a="1"/>
  <c r="L45" i="9" a="1"/>
  <c r="F47" i="9" a="1"/>
  <c r="G42" i="9" a="1"/>
  <c r="E46" i="9" a="1"/>
  <c r="L43" i="9" a="1"/>
  <c r="I41" i="9" a="1"/>
  <c r="N41" i="9" a="1"/>
  <c r="J41" i="9" a="1"/>
  <c r="I44" i="9" a="1"/>
  <c r="Q40" i="9" a="1"/>
  <c r="J42" i="9" a="1"/>
  <c r="T53" i="13" a="1"/>
  <c r="H41" i="9" a="1"/>
  <c r="H40" i="9" a="1"/>
  <c r="Q42" i="9" a="1"/>
  <c r="Q45" i="9" a="1"/>
  <c r="K43" i="9" a="1"/>
  <c r="M46" i="9" a="1"/>
  <c r="E43" i="9" a="1"/>
  <c r="E45" i="9" a="1"/>
  <c r="D40" i="9" a="1"/>
  <c r="K47" i="9" a="1"/>
  <c r="D47" i="9" a="1"/>
  <c r="R46" i="9" a="1"/>
  <c r="P40" i="9" a="1"/>
  <c r="L44" i="9" a="1"/>
  <c r="K44" i="9" a="1"/>
  <c r="P41" i="9" a="1"/>
  <c r="G46" i="9" a="1"/>
  <c r="G44" i="9" a="1"/>
  <c r="R47" i="9" a="1"/>
  <c r="R41" i="9" a="1"/>
  <c r="J44" i="9" a="1"/>
  <c r="R45" i="9" l="1"/>
  <c r="R47" i="9"/>
  <c r="R43" i="9"/>
  <c r="R44" i="9"/>
  <c r="R42" i="9"/>
  <c r="R41" i="9"/>
  <c r="R46" i="9"/>
  <c r="Q44" i="9"/>
  <c r="Q43" i="9"/>
  <c r="Q47" i="9"/>
  <c r="Q42" i="9"/>
  <c r="Q45" i="9"/>
  <c r="Q46" i="9"/>
  <c r="Q41" i="9"/>
  <c r="P45" i="9"/>
  <c r="P41" i="9"/>
  <c r="P44" i="9"/>
  <c r="P43" i="9"/>
  <c r="P47" i="9"/>
  <c r="P46" i="9"/>
  <c r="P42" i="9"/>
  <c r="R40" i="9"/>
  <c r="Q40" i="9"/>
  <c r="P40" i="9"/>
  <c r="O44" i="9"/>
  <c r="O43" i="9"/>
  <c r="O45" i="9"/>
  <c r="O47" i="9"/>
  <c r="O42" i="9"/>
  <c r="O46" i="9"/>
  <c r="O41" i="9"/>
  <c r="N45" i="9"/>
  <c r="N44" i="9"/>
  <c r="N47" i="9"/>
  <c r="N42" i="9"/>
  <c r="N43" i="9"/>
  <c r="N46" i="9"/>
  <c r="N41" i="9"/>
  <c r="M43" i="9"/>
  <c r="M47" i="9"/>
  <c r="M42" i="9"/>
  <c r="M44" i="9"/>
  <c r="M46" i="9"/>
  <c r="M45" i="9"/>
  <c r="M41" i="9"/>
  <c r="O40" i="9"/>
  <c r="N40" i="9"/>
  <c r="M40" i="9"/>
  <c r="L41" i="9"/>
  <c r="L44" i="9"/>
  <c r="L47" i="9"/>
  <c r="L43" i="9"/>
  <c r="L42" i="9"/>
  <c r="L45" i="9"/>
  <c r="L46" i="9"/>
  <c r="K44" i="9"/>
  <c r="K47" i="9"/>
  <c r="K43" i="9"/>
  <c r="K42" i="9"/>
  <c r="K45" i="9"/>
  <c r="K46" i="9"/>
  <c r="K41" i="9"/>
  <c r="J43" i="9"/>
  <c r="J44" i="9"/>
  <c r="J47" i="9"/>
  <c r="J46" i="9"/>
  <c r="J42" i="9"/>
  <c r="J45" i="9"/>
  <c r="J41" i="9"/>
  <c r="L40" i="9"/>
  <c r="K40" i="9"/>
  <c r="J40" i="9"/>
  <c r="I45" i="9"/>
  <c r="I41" i="9"/>
  <c r="I43" i="9"/>
  <c r="I44" i="9"/>
  <c r="I47" i="9"/>
  <c r="I46" i="9"/>
  <c r="I42" i="9"/>
  <c r="H41" i="9"/>
  <c r="H44" i="9"/>
  <c r="H47" i="9"/>
  <c r="H43" i="9"/>
  <c r="H42" i="9"/>
  <c r="H46" i="9"/>
  <c r="H45" i="9"/>
  <c r="G45" i="9"/>
  <c r="G41" i="9"/>
  <c r="G43" i="9"/>
  <c r="G44" i="9"/>
  <c r="G47" i="9"/>
  <c r="G46" i="9"/>
  <c r="G42" i="9"/>
  <c r="I40" i="9"/>
  <c r="H40" i="9"/>
  <c r="G40" i="9"/>
  <c r="F45" i="9"/>
  <c r="F41" i="9"/>
  <c r="F44" i="9"/>
  <c r="F43" i="9"/>
  <c r="F47" i="9"/>
  <c r="F46" i="9"/>
  <c r="F42" i="9"/>
  <c r="E44" i="9"/>
  <c r="C44" i="9" s="1"/>
  <c r="E43" i="9"/>
  <c r="E47" i="9"/>
  <c r="E42" i="9"/>
  <c r="E45" i="9"/>
  <c r="E46" i="9"/>
  <c r="E41" i="9"/>
  <c r="D44" i="9"/>
  <c r="D43" i="9"/>
  <c r="D47" i="9"/>
  <c r="D42" i="9"/>
  <c r="D45" i="9"/>
  <c r="D46" i="9"/>
  <c r="D41" i="9"/>
  <c r="F40" i="9"/>
  <c r="E40" i="9"/>
  <c r="D40" i="9"/>
  <c r="U53" i="13"/>
  <c r="U54" i="13" s="1"/>
  <c r="T53" i="13"/>
  <c r="T54" i="13" s="1"/>
  <c r="S53" i="13"/>
  <c r="S54" i="13" s="1"/>
  <c r="R53" i="13"/>
  <c r="R54" i="13" s="1"/>
  <c r="U59" i="7"/>
  <c r="U60" i="7" s="1"/>
  <c r="T59" i="7"/>
  <c r="T60" i="7" s="1"/>
  <c r="C150" i="10"/>
  <c r="L22" i="9" a="1"/>
  <c r="O7" i="9" a="1"/>
  <c r="N21" i="9" a="1"/>
  <c r="O6" i="9" a="1"/>
  <c r="N13" i="9" a="1"/>
  <c r="M19" i="9" a="1"/>
  <c r="O23" i="9" a="1"/>
  <c r="N19" i="9" a="1"/>
  <c r="N20" i="9" a="1"/>
  <c r="O13" i="9" a="1"/>
  <c r="O5" i="9" a="1"/>
  <c r="L23" i="9" a="1"/>
  <c r="M23" i="9" a="1"/>
  <c r="O4" i="9" a="1"/>
  <c r="N12" i="9" a="1"/>
  <c r="M22" i="9" a="1"/>
  <c r="N23" i="9" a="1"/>
  <c r="O15" i="9" a="1"/>
  <c r="O22" i="9" a="1"/>
  <c r="L20" i="9" a="1"/>
  <c r="N4" i="9" a="1"/>
  <c r="N9" i="9" a="1"/>
  <c r="O19" i="9" a="1"/>
  <c r="N10" i="9" a="1"/>
  <c r="L21" i="9" a="1"/>
  <c r="O10" i="9" a="1"/>
  <c r="N15" i="9" a="1"/>
  <c r="N8" i="9" a="1"/>
  <c r="N5" i="9" a="1"/>
  <c r="N14" i="9" a="1"/>
  <c r="O8" i="9" a="1"/>
  <c r="O21" i="9" a="1"/>
  <c r="N22" i="9" a="1"/>
  <c r="N6" i="9" a="1"/>
  <c r="M20" i="9" a="1"/>
  <c r="O9" i="9" a="1"/>
  <c r="O14" i="9" a="1"/>
  <c r="N11" i="9" a="1"/>
  <c r="O20" i="9" a="1"/>
  <c r="M21" i="9" a="1"/>
  <c r="L19" i="9" a="1"/>
  <c r="O12" i="9" a="1"/>
  <c r="N7" i="9" a="1"/>
  <c r="O11" i="9" a="1"/>
  <c r="C40" i="9" l="1"/>
  <c r="C43" i="9"/>
  <c r="C46" i="9"/>
  <c r="C41" i="9"/>
  <c r="C45" i="9"/>
  <c r="C42" i="9"/>
  <c r="C47" i="9"/>
  <c r="O49" i="9"/>
  <c r="M20" i="9"/>
  <c r="M22" i="9"/>
  <c r="M21" i="9"/>
  <c r="M23" i="9"/>
  <c r="M19" i="9"/>
  <c r="O21" i="9"/>
  <c r="O20" i="9"/>
  <c r="O22" i="9"/>
  <c r="O23" i="9"/>
  <c r="O19" i="9"/>
  <c r="O5" i="9"/>
  <c r="O9" i="9"/>
  <c r="O10" i="9"/>
  <c r="O14" i="9"/>
  <c r="O6" i="9"/>
  <c r="O11" i="9"/>
  <c r="O15" i="9"/>
  <c r="O13" i="9"/>
  <c r="O7" i="9"/>
  <c r="O8" i="9"/>
  <c r="O12" i="9"/>
  <c r="O4" i="9"/>
  <c r="O26" i="9" s="1"/>
  <c r="N21" i="9"/>
  <c r="N23" i="9"/>
  <c r="N22" i="9"/>
  <c r="N20" i="9"/>
  <c r="L20" i="9"/>
  <c r="L23" i="9"/>
  <c r="L21" i="9"/>
  <c r="L22" i="9"/>
  <c r="N19" i="9"/>
  <c r="N5" i="9"/>
  <c r="N9" i="9"/>
  <c r="N13" i="9"/>
  <c r="N10" i="9"/>
  <c r="N14" i="9"/>
  <c r="N6" i="9"/>
  <c r="N15" i="9"/>
  <c r="N7" i="9"/>
  <c r="N11" i="9"/>
  <c r="N8" i="9"/>
  <c r="N12" i="9"/>
  <c r="N4" i="9"/>
  <c r="L19" i="9"/>
  <c r="Q49" i="9"/>
  <c r="R49" i="9"/>
  <c r="P49" i="9"/>
  <c r="L15" i="10"/>
  <c r="F15" i="10"/>
  <c r="H15" i="10"/>
  <c r="E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L75" i="10"/>
  <c r="H75" i="10"/>
  <c r="F75" i="10"/>
  <c r="H74" i="10"/>
  <c r="L73" i="10"/>
  <c r="H73" i="10"/>
  <c r="F73" i="10"/>
  <c r="N72" i="10"/>
  <c r="L72" i="10"/>
  <c r="H72" i="10"/>
  <c r="I72" i="10" s="1"/>
  <c r="F72" i="10"/>
  <c r="H71" i="10"/>
  <c r="H70" i="10"/>
  <c r="H69" i="10"/>
  <c r="H68" i="10"/>
  <c r="H67" i="10"/>
  <c r="H66" i="10"/>
  <c r="H65" i="10"/>
  <c r="H64" i="10"/>
  <c r="H63" i="10"/>
  <c r="H62" i="10"/>
  <c r="L61" i="10"/>
  <c r="H61" i="10"/>
  <c r="F61" i="10"/>
  <c r="H60" i="10"/>
  <c r="L59" i="10"/>
  <c r="H59" i="10"/>
  <c r="F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L45" i="10"/>
  <c r="H45" i="10"/>
  <c r="F45" i="10"/>
  <c r="N44" i="10"/>
  <c r="L44" i="10"/>
  <c r="H44" i="10"/>
  <c r="I44" i="10" s="1"/>
  <c r="F44" i="10"/>
  <c r="H43" i="10"/>
  <c r="L42" i="10"/>
  <c r="H42" i="10"/>
  <c r="F42" i="10"/>
  <c r="N41" i="10"/>
  <c r="L41" i="10"/>
  <c r="H41" i="10"/>
  <c r="I41" i="10" s="1"/>
  <c r="F41" i="10"/>
  <c r="L40" i="10"/>
  <c r="H40" i="10"/>
  <c r="I40" i="10" s="1"/>
  <c r="F40" i="10"/>
  <c r="H39" i="10"/>
  <c r="L38" i="10"/>
  <c r="H38" i="10"/>
  <c r="F38" i="10"/>
  <c r="H37" i="10"/>
  <c r="H36" i="10"/>
  <c r="H35" i="10"/>
  <c r="H34" i="10"/>
  <c r="L33" i="10"/>
  <c r="H33" i="10"/>
  <c r="F33" i="10"/>
  <c r="H32" i="10"/>
  <c r="L31" i="10"/>
  <c r="H31" i="10"/>
  <c r="F31" i="10"/>
  <c r="N30" i="10"/>
  <c r="L30" i="10"/>
  <c r="H30" i="10"/>
  <c r="I30" i="10" s="1"/>
  <c r="F30" i="10"/>
  <c r="H29" i="10"/>
  <c r="H28" i="10"/>
  <c r="L27" i="10"/>
  <c r="H27" i="10"/>
  <c r="F27" i="10"/>
  <c r="H26" i="10"/>
  <c r="L25" i="10"/>
  <c r="H25" i="10"/>
  <c r="F25" i="10"/>
  <c r="H24" i="10"/>
  <c r="H23" i="10"/>
  <c r="L22" i="10"/>
  <c r="H22" i="10"/>
  <c r="F22" i="10"/>
  <c r="H21" i="10"/>
  <c r="H20" i="10"/>
  <c r="H19" i="10"/>
  <c r="H18" i="10"/>
  <c r="H17" i="10"/>
  <c r="H16" i="10"/>
  <c r="H14" i="10"/>
  <c r="H13" i="10"/>
  <c r="H12" i="10"/>
  <c r="H11" i="10"/>
  <c r="H10" i="10"/>
  <c r="N9" i="10"/>
  <c r="L9" i="10"/>
  <c r="H9" i="10"/>
  <c r="F9" i="10"/>
  <c r="H8" i="10"/>
  <c r="N7" i="10"/>
  <c r="L7" i="10"/>
  <c r="H7" i="10"/>
  <c r="F7" i="10"/>
  <c r="H6" i="10"/>
  <c r="H5" i="10"/>
  <c r="H4" i="10"/>
  <c r="N3" i="10"/>
  <c r="K3" i="10"/>
  <c r="L3" i="10" s="1"/>
  <c r="H3" i="10"/>
  <c r="F3" i="10"/>
  <c r="F26" i="9"/>
  <c r="H23" i="9" a="1"/>
  <c r="H12" i="9" a="1"/>
  <c r="H15" i="9" a="1"/>
  <c r="H17" i="9" a="1"/>
  <c r="I12" i="9" a="1"/>
  <c r="I16" i="9" a="1"/>
  <c r="I15" i="9" a="1"/>
  <c r="I25" i="9" a="1"/>
  <c r="I22" i="9" a="1"/>
  <c r="I21" i="9" a="1"/>
  <c r="H13" i="9" a="1"/>
  <c r="I7" i="9" a="1"/>
  <c r="H19" i="9" a="1"/>
  <c r="H25" i="9" a="1"/>
  <c r="I20" i="9" a="1"/>
  <c r="H9" i="9" a="1"/>
  <c r="I9" i="9" a="1"/>
  <c r="I13" i="9" a="1"/>
  <c r="H10" i="9" a="1"/>
  <c r="I14" i="9" a="1"/>
  <c r="H16" i="9" a="1"/>
  <c r="H14" i="9" a="1"/>
  <c r="I8" i="9" a="1"/>
  <c r="H18" i="9" a="1"/>
  <c r="I17" i="9" a="1"/>
  <c r="H11" i="9" a="1"/>
  <c r="H22" i="9" a="1"/>
  <c r="I10" i="9" a="1"/>
  <c r="I18" i="9" a="1"/>
  <c r="H20" i="9" a="1"/>
  <c r="I11" i="9" a="1"/>
  <c r="I19" i="9" a="1"/>
  <c r="H21" i="9" a="1"/>
  <c r="I23" i="9" a="1"/>
  <c r="H8" i="9" a="1"/>
  <c r="N26" i="9" l="1"/>
  <c r="I15" i="10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5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I73" i="10"/>
  <c r="I42" i="10"/>
  <c r="I61" i="10"/>
  <c r="I3" i="10"/>
  <c r="I38" i="10"/>
  <c r="I33" i="10"/>
  <c r="I7" i="10"/>
  <c r="I9" i="10"/>
  <c r="I75" i="10"/>
  <c r="I22" i="10"/>
  <c r="I27" i="10"/>
  <c r="I45" i="10"/>
  <c r="I59" i="10"/>
  <c r="I31" i="10"/>
  <c r="I25" i="10"/>
  <c r="D24" i="9"/>
  <c r="I20" i="12" a="1"/>
  <c r="E29" i="12" a="1"/>
  <c r="I18" i="12" a="1"/>
  <c r="E18" i="12" a="1"/>
  <c r="E20" i="12" a="1"/>
  <c r="E12" i="12" a="1"/>
  <c r="E23" i="12" a="1"/>
  <c r="E21" i="12" a="1"/>
  <c r="I19" i="12" a="1"/>
  <c r="I21" i="12" a="1"/>
  <c r="E19" i="12" a="1"/>
  <c r="F121" i="10" l="1"/>
  <c r="E29" i="12"/>
  <c r="I21" i="12"/>
  <c r="I20" i="12"/>
  <c r="I19" i="12"/>
  <c r="I18" i="12"/>
  <c r="E21" i="12"/>
  <c r="E20" i="12"/>
  <c r="E19" i="12"/>
  <c r="E18" i="12"/>
  <c r="E23" i="12"/>
  <c r="E12" i="12"/>
  <c r="H4" i="9" a="1"/>
  <c r="H7" i="9" a="1"/>
  <c r="I4" i="9" a="1"/>
  <c r="H5" i="9" a="1"/>
  <c r="H6" i="9" a="1"/>
  <c r="I5" i="9" a="1"/>
  <c r="I6" i="9" a="1"/>
  <c r="D25" i="9" l="1"/>
  <c r="I6" i="9"/>
  <c r="I5" i="9"/>
  <c r="I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H7" i="9"/>
  <c r="D7" i="9" s="1"/>
  <c r="H6" i="9"/>
  <c r="D6" i="9" s="1"/>
  <c r="H5" i="9"/>
  <c r="D5" i="9" s="1"/>
  <c r="H4" i="9"/>
  <c r="I26" i="9" l="1"/>
  <c r="D4" i="9"/>
  <c r="D26" i="9" s="1"/>
  <c r="H26" i="9"/>
  <c r="F11" i="6"/>
  <c r="K20" i="6"/>
  <c r="E28" i="12"/>
  <c r="E30" i="12" s="1"/>
  <c r="M27" i="12"/>
  <c r="F27" i="12"/>
  <c r="E22" i="12"/>
  <c r="E24" i="12" s="1"/>
  <c r="K17" i="12"/>
  <c r="K16" i="12"/>
  <c r="F16" i="12"/>
  <c r="E11" i="12"/>
  <c r="E13" i="12" s="1"/>
  <c r="K10" i="12"/>
  <c r="L10" i="12" s="1"/>
  <c r="F10" i="12"/>
  <c r="K9" i="12"/>
  <c r="L9" i="12" s="1"/>
  <c r="F9" i="12"/>
  <c r="K8" i="12"/>
  <c r="L8" i="12" s="1"/>
  <c r="F8" i="12"/>
  <c r="K7" i="12"/>
  <c r="L7" i="12" s="1"/>
  <c r="F7" i="12"/>
  <c r="K6" i="12"/>
  <c r="K5" i="12"/>
  <c r="K4" i="12"/>
  <c r="F4" i="12"/>
  <c r="M4" i="12" s="1"/>
  <c r="P3" i="13" a="1"/>
  <c r="P47" i="13" a="1"/>
  <c r="P53" i="13" a="1"/>
  <c r="P58" i="7" a="1"/>
  <c r="P48" i="13" a="1"/>
  <c r="P45" i="13" a="1"/>
  <c r="S59" i="7" a="1"/>
  <c r="Q59" i="7" a="1"/>
  <c r="Q53" i="13" a="1"/>
  <c r="E52" i="6" a="1"/>
  <c r="P46" i="13" a="1"/>
  <c r="R59" i="7" a="1"/>
  <c r="P52" i="13" a="1"/>
  <c r="M8" i="12" l="1"/>
  <c r="M7" i="12"/>
  <c r="M9" i="12"/>
  <c r="M10" i="12"/>
  <c r="Q53" i="13"/>
  <c r="Q54" i="13" s="1"/>
  <c r="P53" i="13"/>
  <c r="S59" i="7"/>
  <c r="S60" i="7" s="1"/>
  <c r="R59" i="7"/>
  <c r="R60" i="7" s="1"/>
  <c r="Q59" i="7"/>
  <c r="Q60" i="7" s="1"/>
  <c r="E52" i="6"/>
  <c r="P52" i="13"/>
  <c r="K27" i="12"/>
  <c r="L27" i="12" s="1"/>
  <c r="L21" i="12"/>
  <c r="L20" i="12"/>
  <c r="L19" i="12"/>
  <c r="L18" i="12"/>
  <c r="L16" i="12"/>
  <c r="L4" i="12"/>
  <c r="N8" i="12"/>
  <c r="N7" i="12"/>
  <c r="N9" i="12"/>
  <c r="P58" i="7"/>
  <c r="P45" i="13"/>
  <c r="P47" i="13"/>
  <c r="P46" i="13"/>
  <c r="P3" i="13"/>
  <c r="P48" i="13"/>
  <c r="N10" i="12"/>
  <c r="M16" i="12"/>
  <c r="L10" i="9" a="1"/>
  <c r="K23" i="9" a="1"/>
  <c r="M8" i="9" a="1"/>
  <c r="P57" i="13" a="1"/>
  <c r="K5" i="9" a="1"/>
  <c r="K22" i="9" a="1"/>
  <c r="L6" i="9" a="1"/>
  <c r="P18" i="13" a="1"/>
  <c r="K20" i="9" a="1"/>
  <c r="L9" i="9" a="1"/>
  <c r="K10" i="9" a="1"/>
  <c r="L12" i="9" a="1"/>
  <c r="M9" i="9" a="1"/>
  <c r="P59" i="13" a="1"/>
  <c r="L5" i="9" a="1"/>
  <c r="P19" i="13" a="1"/>
  <c r="P44" i="13" a="1"/>
  <c r="K4" i="9" a="1"/>
  <c r="L15" i="9" a="1"/>
  <c r="M13" i="9" a="1"/>
  <c r="P7" i="13" a="1"/>
  <c r="P5" i="13" a="1"/>
  <c r="P59" i="7" a="1"/>
  <c r="L4" i="9" a="1"/>
  <c r="M10" i="9" a="1"/>
  <c r="M11" i="9" a="1"/>
  <c r="K8" i="9" a="1"/>
  <c r="K12" i="9" a="1"/>
  <c r="P61" i="13" a="1"/>
  <c r="M5" i="9" a="1"/>
  <c r="P6" i="13" a="1"/>
  <c r="P4" i="13" a="1"/>
  <c r="P58" i="13" a="1"/>
  <c r="L13" i="9" a="1"/>
  <c r="P62" i="13" a="1"/>
  <c r="K11" i="9" a="1"/>
  <c r="M12" i="9" a="1"/>
  <c r="P17" i="13" a="1"/>
  <c r="K6" i="9" a="1"/>
  <c r="L11" i="9" a="1"/>
  <c r="L7" i="9" a="1"/>
  <c r="M14" i="9" a="1"/>
  <c r="K14" i="9" a="1"/>
  <c r="K13" i="9" a="1"/>
  <c r="P20" i="13" a="1"/>
  <c r="M15" i="9" a="1"/>
  <c r="K9" i="9" a="1"/>
  <c r="K15" i="9" a="1"/>
  <c r="M6" i="9" a="1"/>
  <c r="K19" i="9" a="1"/>
  <c r="K7" i="9" a="1"/>
  <c r="L14" i="9" a="1"/>
  <c r="P60" i="13" a="1"/>
  <c r="M4" i="9" a="1"/>
  <c r="M7" i="9" a="1"/>
  <c r="K21" i="9" a="1"/>
  <c r="L8" i="9" a="1"/>
  <c r="K20" i="9" l="1"/>
  <c r="K23" i="9"/>
  <c r="K21" i="9"/>
  <c r="K22" i="9"/>
  <c r="K19" i="9"/>
  <c r="M10" i="9"/>
  <c r="M14" i="9"/>
  <c r="M6" i="9"/>
  <c r="M15" i="9"/>
  <c r="M8" i="9"/>
  <c r="M7" i="9"/>
  <c r="M11" i="9"/>
  <c r="M12" i="9"/>
  <c r="M5" i="9"/>
  <c r="M9" i="9"/>
  <c r="M13" i="9"/>
  <c r="M4" i="9"/>
  <c r="K5" i="9"/>
  <c r="K9" i="9"/>
  <c r="K10" i="9"/>
  <c r="K14" i="9"/>
  <c r="K6" i="9"/>
  <c r="K7" i="9"/>
  <c r="K11" i="9"/>
  <c r="K15" i="9"/>
  <c r="K8" i="9"/>
  <c r="K12" i="9"/>
  <c r="K13" i="9"/>
  <c r="K4" i="9"/>
  <c r="L14" i="9"/>
  <c r="L12" i="9"/>
  <c r="L10" i="9"/>
  <c r="L9" i="9"/>
  <c r="L7" i="9"/>
  <c r="L5" i="9"/>
  <c r="L15" i="9"/>
  <c r="L13" i="9"/>
  <c r="L11" i="9"/>
  <c r="L8" i="9"/>
  <c r="L6" i="9"/>
  <c r="L4" i="9"/>
  <c r="P5" i="13"/>
  <c r="P6" i="13"/>
  <c r="P4" i="13"/>
  <c r="P7" i="13"/>
  <c r="J49" i="9"/>
  <c r="F49" i="9"/>
  <c r="D49" i="9"/>
  <c r="E49" i="9"/>
  <c r="H49" i="9"/>
  <c r="L49" i="9"/>
  <c r="N49" i="9"/>
  <c r="I49" i="9"/>
  <c r="M49" i="9"/>
  <c r="G49" i="9"/>
  <c r="K49" i="9"/>
  <c r="P58" i="13"/>
  <c r="N16" i="12"/>
  <c r="E24" i="9"/>
  <c r="G24" i="9" s="1"/>
  <c r="P54" i="13"/>
  <c r="P62" i="13"/>
  <c r="P57" i="13"/>
  <c r="P59" i="13"/>
  <c r="P60" i="13"/>
  <c r="P61" i="13"/>
  <c r="P59" i="7"/>
  <c r="P60" i="7" s="1"/>
  <c r="N27" i="12"/>
  <c r="P44" i="13"/>
  <c r="P50" i="13" s="1"/>
  <c r="N4" i="12"/>
  <c r="P19" i="13"/>
  <c r="P17" i="13"/>
  <c r="P20" i="13"/>
  <c r="P18" i="13"/>
  <c r="P16" i="13" a="1"/>
  <c r="E17" i="9" l="1"/>
  <c r="G17" i="9" s="1"/>
  <c r="C49" i="9"/>
  <c r="M26" i="9"/>
  <c r="L26" i="9"/>
  <c r="K26" i="9"/>
  <c r="E20" i="9"/>
  <c r="G20" i="9" s="1"/>
  <c r="E23" i="9"/>
  <c r="G23" i="9" s="1"/>
  <c r="E22" i="9"/>
  <c r="G22" i="9" s="1"/>
  <c r="E21" i="9"/>
  <c r="G21" i="9" s="1"/>
  <c r="E19" i="9"/>
  <c r="G19" i="9" s="1"/>
  <c r="E18" i="9"/>
  <c r="G18" i="9" s="1"/>
  <c r="E16" i="9"/>
  <c r="G16" i="9" s="1"/>
  <c r="E7" i="9"/>
  <c r="G7" i="9" s="1"/>
  <c r="E15" i="9"/>
  <c r="G15" i="9" s="1"/>
  <c r="E4" i="9"/>
  <c r="E11" i="9"/>
  <c r="G11" i="9" s="1"/>
  <c r="E10" i="9"/>
  <c r="G10" i="9" s="1"/>
  <c r="E5" i="9"/>
  <c r="G5" i="9" s="1"/>
  <c r="E8" i="9"/>
  <c r="G8" i="9" s="1"/>
  <c r="E6" i="9"/>
  <c r="G6" i="9" s="1"/>
  <c r="E9" i="9"/>
  <c r="G9" i="9" s="1"/>
  <c r="E14" i="9"/>
  <c r="G14" i="9" s="1"/>
  <c r="E12" i="9"/>
  <c r="G12" i="9" s="1"/>
  <c r="E13" i="9"/>
  <c r="G13" i="9" s="1"/>
  <c r="E25" i="9"/>
  <c r="G25" i="9" s="1"/>
  <c r="P16" i="13"/>
  <c r="G4" i="9" l="1"/>
  <c r="G26" i="9" s="1"/>
  <c r="E26" i="9"/>
  <c r="K49" i="6"/>
  <c r="E53" i="6"/>
  <c r="F27" i="6"/>
  <c r="M27" i="6" s="1"/>
  <c r="E5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4" i="6"/>
  <c r="L44" i="6" s="1"/>
  <c r="K45" i="6"/>
  <c r="L45" i="6" s="1"/>
  <c r="K46" i="6"/>
  <c r="K47" i="6"/>
  <c r="K48" i="6"/>
  <c r="K3" i="6"/>
  <c r="F3" i="6"/>
  <c r="M3" i="6" s="1"/>
  <c r="F7" i="6"/>
  <c r="M7" i="6" s="1"/>
  <c r="F33" i="6"/>
  <c r="M33" i="6" s="1"/>
  <c r="F36" i="6"/>
  <c r="M36" i="6" s="1"/>
  <c r="F23" i="6"/>
  <c r="M23" i="6" s="1"/>
  <c r="F21" i="6"/>
  <c r="M21" i="6" s="1"/>
  <c r="M11" i="6"/>
  <c r="F39" i="6"/>
  <c r="M39" i="6" s="1"/>
  <c r="F46" i="6"/>
  <c r="M46" i="6" s="1"/>
  <c r="F45" i="6"/>
  <c r="M45" i="6" s="1"/>
  <c r="F44" i="6"/>
  <c r="M44" i="6" s="1"/>
  <c r="P10" i="7" a="1"/>
  <c r="P12" i="7" a="1"/>
  <c r="P55" i="7" a="1"/>
  <c r="P4" i="7" a="1"/>
  <c r="P8" i="7" a="1"/>
  <c r="P7" i="7" a="1"/>
  <c r="P6" i="7" a="1"/>
  <c r="P9" i="7" a="1"/>
  <c r="P14" i="7" a="1"/>
  <c r="P11" i="7" a="1"/>
  <c r="P5" i="7" a="1"/>
  <c r="P13" i="7" a="1"/>
  <c r="P55" i="7" l="1"/>
  <c r="L11" i="6"/>
  <c r="N11" i="6" s="1"/>
  <c r="N45" i="6"/>
  <c r="P7" i="7"/>
  <c r="P11" i="7"/>
  <c r="P8" i="7"/>
  <c r="P9" i="7"/>
  <c r="P6" i="7"/>
  <c r="P10" i="7"/>
  <c r="P12" i="7"/>
  <c r="P13" i="7"/>
  <c r="P14" i="7"/>
  <c r="P4" i="7"/>
  <c r="P5" i="7"/>
  <c r="L39" i="6"/>
  <c r="L46" i="6"/>
  <c r="E55" i="6"/>
  <c r="L36" i="6"/>
  <c r="L21" i="6"/>
  <c r="L23" i="6"/>
  <c r="L33" i="6"/>
  <c r="L27" i="6"/>
  <c r="L3" i="6"/>
  <c r="L7" i="6"/>
  <c r="P49" i="7" a="1"/>
  <c r="P47" i="7" a="1"/>
  <c r="P46" i="7" a="1"/>
  <c r="P51" i="7" a="1"/>
  <c r="P45" i="7" a="1"/>
  <c r="P44" i="7" a="1"/>
  <c r="P50" i="7" a="1"/>
  <c r="P3" i="7" a="1"/>
  <c r="P27" i="7" a="1"/>
  <c r="P48" i="7" a="1"/>
  <c r="P53" i="7" a="1"/>
  <c r="P54" i="7" a="1"/>
  <c r="P52" i="7" a="1"/>
  <c r="P50" i="7" l="1"/>
  <c r="P52" i="7"/>
  <c r="P54" i="7"/>
  <c r="P47" i="7"/>
  <c r="P49" i="7"/>
  <c r="P48" i="7"/>
  <c r="P51" i="7"/>
  <c r="P53" i="7"/>
  <c r="N27" i="6"/>
  <c r="N39" i="6"/>
  <c r="N23" i="6"/>
  <c r="N33" i="6"/>
  <c r="N21" i="6"/>
  <c r="N46" i="6"/>
  <c r="P27" i="7"/>
  <c r="N44" i="6"/>
  <c r="P45" i="7"/>
  <c r="P46" i="7"/>
  <c r="N7" i="6"/>
  <c r="N3" i="6"/>
  <c r="M32" i="6"/>
  <c r="N36" i="6"/>
  <c r="P3" i="7"/>
  <c r="P44" i="7"/>
  <c r="P19" i="7" a="1"/>
  <c r="P16" i="7" a="1"/>
  <c r="P18" i="7" a="1"/>
  <c r="P22" i="7" a="1"/>
  <c r="P17" i="7" a="1"/>
  <c r="P25" i="7" a="1"/>
  <c r="P24" i="7" a="1"/>
  <c r="P20" i="7" a="1"/>
  <c r="P23" i="7" a="1"/>
  <c r="P21" i="7" a="1"/>
  <c r="P26" i="7" a="1"/>
  <c r="P25" i="7" l="1"/>
  <c r="P20" i="7"/>
  <c r="P21" i="7"/>
  <c r="P19" i="7"/>
  <c r="P24" i="7"/>
  <c r="P22" i="7"/>
  <c r="P23" i="7"/>
  <c r="P26" i="7"/>
  <c r="P18" i="7"/>
  <c r="P17" i="7"/>
  <c r="P56" i="7"/>
  <c r="P16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<sst xmlns="http://schemas.openxmlformats.org/spreadsheetml/2006/main" count="1132" uniqueCount="548">
  <si>
    <t>Funtion Leader</t>
    <phoneticPr fontId="7" type="noConversion"/>
  </si>
  <si>
    <t>Domain Leader</t>
    <phoneticPr fontId="7" type="noConversion"/>
  </si>
  <si>
    <t>Domain name</t>
    <phoneticPr fontId="7" type="noConversion"/>
  </si>
  <si>
    <t>Queue name</t>
    <phoneticPr fontId="7" type="noConversion"/>
  </si>
  <si>
    <t>Max slots per Queue</t>
    <phoneticPr fontId="7" type="noConversion"/>
  </si>
  <si>
    <t>Usage</t>
    <phoneticPr fontId="7" type="noConversion"/>
  </si>
  <si>
    <t>张鑫</t>
    <phoneticPr fontId="7" type="noConversion"/>
  </si>
  <si>
    <t>socdv_debug</t>
    <phoneticPr fontId="7" type="noConversion"/>
  </si>
  <si>
    <t>socdv_regr</t>
    <phoneticPr fontId="7" type="noConversion"/>
  </si>
  <si>
    <t>1.每个Queue申请的Slot总数
例如：640对应10台64core server</t>
    <phoneticPr fontId="7" type="noConversion"/>
  </si>
  <si>
    <t>用途</t>
    <phoneticPr fontId="7" type="noConversion"/>
  </si>
  <si>
    <t>日常debug</t>
    <phoneticPr fontId="7" type="noConversion"/>
  </si>
  <si>
    <t>Regression使用</t>
    <phoneticPr fontId="7" type="noConversion"/>
  </si>
  <si>
    <t>柴菁</t>
    <phoneticPr fontId="7" type="noConversion"/>
  </si>
  <si>
    <t>吴飞</t>
    <phoneticPr fontId="7" type="noConversion"/>
  </si>
  <si>
    <t>邓良策</t>
    <phoneticPr fontId="7" type="noConversion"/>
  </si>
  <si>
    <t>冯闯</t>
    <phoneticPr fontId="7" type="noConversion"/>
  </si>
  <si>
    <t>史焱</t>
    <phoneticPr fontId="7" type="noConversion"/>
  </si>
  <si>
    <t>毕金琼</t>
    <phoneticPr fontId="7" type="noConversion"/>
  </si>
  <si>
    <t>魏斌</t>
    <phoneticPr fontId="7" type="noConversion"/>
  </si>
  <si>
    <t>李爽</t>
    <phoneticPr fontId="7" type="noConversion"/>
  </si>
  <si>
    <t>薛勃</t>
    <phoneticPr fontId="7" type="noConversion"/>
  </si>
  <si>
    <t>李进</t>
    <phoneticPr fontId="7" type="noConversion"/>
  </si>
  <si>
    <t>迟秀伟</t>
    <phoneticPr fontId="7" type="noConversion"/>
  </si>
  <si>
    <t>Host</t>
    <phoneticPr fontId="7" type="noConversion"/>
  </si>
  <si>
    <t>SoCDV</t>
    <phoneticPr fontId="7" type="noConversion"/>
  </si>
  <si>
    <t>SYSIPDV</t>
    <phoneticPr fontId="7" type="noConversion"/>
  </si>
  <si>
    <t>sysipdv_debug</t>
    <phoneticPr fontId="7" type="noConversion"/>
  </si>
  <si>
    <t>sysipdv_regr</t>
    <phoneticPr fontId="7" type="noConversion"/>
  </si>
  <si>
    <t>对应的集群</t>
    <phoneticPr fontId="7" type="noConversion"/>
  </si>
  <si>
    <t>hse_front_end</t>
  </si>
  <si>
    <t>hse_front_end</t>
    <phoneticPr fontId="7" type="noConversion"/>
  </si>
  <si>
    <t>SocPv</t>
  </si>
  <si>
    <t>perf_debug</t>
  </si>
  <si>
    <t>debug</t>
  </si>
  <si>
    <t>perf_regr</t>
  </si>
  <si>
    <t>regression</t>
  </si>
  <si>
    <t>perf_long</t>
  </si>
  <si>
    <t>long job - 1week at lease</t>
  </si>
  <si>
    <t>cluster</t>
  </si>
  <si>
    <t>mmu</t>
    <phoneticPr fontId="7" type="noConversion"/>
  </si>
  <si>
    <t>sip</t>
  </si>
  <si>
    <t>sip_pd</t>
  </si>
  <si>
    <t>sipdvife</t>
  </si>
  <si>
    <t>金鑫</t>
    <phoneticPr fontId="7" type="noConversion"/>
  </si>
  <si>
    <t>interconnect</t>
    <phoneticPr fontId="7" type="noConversion"/>
  </si>
  <si>
    <t>efic_debug</t>
    <phoneticPr fontId="7" type="noConversion"/>
  </si>
  <si>
    <t>efic_regr</t>
    <phoneticPr fontId="7" type="noConversion"/>
  </si>
  <si>
    <t>efic_perf</t>
    <phoneticPr fontId="7" type="noConversion"/>
  </si>
  <si>
    <t>PV 使用</t>
    <phoneticPr fontId="7" type="noConversion"/>
  </si>
  <si>
    <t>efic_top</t>
    <phoneticPr fontId="7" type="noConversion"/>
  </si>
  <si>
    <t>高优先级相关的任务</t>
    <phoneticPr fontId="7" type="noConversion"/>
  </si>
  <si>
    <t>DCE IPDV</t>
    <phoneticPr fontId="7" type="noConversion"/>
  </si>
  <si>
    <t>dte_regr</t>
    <phoneticPr fontId="7" type="noConversion"/>
  </si>
  <si>
    <t>dte</t>
    <phoneticPr fontId="7" type="noConversion"/>
  </si>
  <si>
    <t>mmu_regr</t>
    <phoneticPr fontId="7" type="noConversion"/>
  </si>
  <si>
    <t>debug</t>
    <phoneticPr fontId="7" type="noConversion"/>
  </si>
  <si>
    <t>regression</t>
    <phoneticPr fontId="7" type="noConversion"/>
  </si>
  <si>
    <t>何建彬</t>
    <phoneticPr fontId="7" type="noConversion"/>
  </si>
  <si>
    <t>mc ipdv</t>
    <phoneticPr fontId="7" type="noConversion"/>
  </si>
  <si>
    <t>mc_dbg</t>
    <phoneticPr fontId="7" type="noConversion"/>
  </si>
  <si>
    <t>mc_regr</t>
    <phoneticPr fontId="7" type="noConversion"/>
  </si>
  <si>
    <t>mc_perf</t>
    <phoneticPr fontId="7" type="noConversion"/>
  </si>
  <si>
    <t>perf regr使用</t>
    <phoneticPr fontId="7" type="noConversion"/>
  </si>
  <si>
    <t>CommonIPDV</t>
    <phoneticPr fontId="7" type="noConversion"/>
  </si>
  <si>
    <t>cmndv_debug</t>
    <phoneticPr fontId="7" type="noConversion"/>
  </si>
  <si>
    <t>cmndv_regr</t>
    <phoneticPr fontId="7" type="noConversion"/>
  </si>
  <si>
    <t>cmndv_perf</t>
    <phoneticPr fontId="7" type="noConversion"/>
  </si>
  <si>
    <t>SysDV</t>
  </si>
  <si>
    <t>sysdv_debug</t>
  </si>
  <si>
    <t>sysdv_regr</t>
  </si>
  <si>
    <t>sysdv_long</t>
  </si>
  <si>
    <t>long simulation regr使用</t>
  </si>
  <si>
    <t>cluster_debug</t>
  </si>
  <si>
    <t>日常debug</t>
  </si>
  <si>
    <t>Regression使用</t>
  </si>
  <si>
    <t>胡雨舟</t>
    <phoneticPr fontId="7" type="noConversion"/>
  </si>
  <si>
    <t>APP</t>
    <phoneticPr fontId="7" type="noConversion"/>
  </si>
  <si>
    <t>model编译与运行</t>
    <phoneticPr fontId="7" type="noConversion"/>
  </si>
  <si>
    <t>hseapp</t>
    <phoneticPr fontId="7" type="noConversion"/>
  </si>
  <si>
    <t>Cluster</t>
  </si>
  <si>
    <t>SIP_Design</t>
  </si>
  <si>
    <t>日常仿真</t>
  </si>
  <si>
    <t>日常综合与仿真</t>
  </si>
  <si>
    <t>冯闯</t>
  </si>
  <si>
    <t>sip_dv</t>
    <phoneticPr fontId="7" type="noConversion"/>
  </si>
  <si>
    <t>sipdvspc</t>
    <phoneticPr fontId="7" type="noConversion"/>
  </si>
  <si>
    <t>spc自动回归</t>
    <phoneticPr fontId="7" type="noConversion"/>
  </si>
  <si>
    <t>sipdvcore</t>
    <phoneticPr fontId="7" type="noConversion"/>
  </si>
  <si>
    <t>xpu/core 回归</t>
    <phoneticPr fontId="7" type="noConversion"/>
  </si>
  <si>
    <t>ife回归</t>
    <phoneticPr fontId="7" type="noConversion"/>
  </si>
  <si>
    <t>sipdvcompute</t>
    <phoneticPr fontId="7" type="noConversion"/>
  </si>
  <si>
    <t>compute回归</t>
    <phoneticPr fontId="7" type="noConversion"/>
  </si>
  <si>
    <t>sipdvl1</t>
    <phoneticPr fontId="7" type="noConversion"/>
  </si>
  <si>
    <t>l1回归</t>
    <phoneticPr fontId="7" type="noConversion"/>
  </si>
  <si>
    <t>regression 编译、test提交</t>
    <phoneticPr fontId="7" type="noConversion"/>
  </si>
  <si>
    <t>sipdvdpv</t>
    <phoneticPr fontId="7" type="noConversion"/>
  </si>
  <si>
    <t>dpv</t>
    <phoneticPr fontId="7" type="noConversion"/>
  </si>
  <si>
    <t>sipdv</t>
    <phoneticPr fontId="7" type="noConversion"/>
  </si>
  <si>
    <t>Local日常debug</t>
    <phoneticPr fontId="7" type="noConversion"/>
  </si>
  <si>
    <t>sipas2</t>
    <phoneticPr fontId="7" type="noConversion"/>
  </si>
  <si>
    <t>as2 checkin ，DE/DV共用</t>
    <phoneticPr fontId="7" type="noConversion"/>
  </si>
  <si>
    <t>sipdvbuild</t>
    <phoneticPr fontId="7" type="noConversion"/>
  </si>
  <si>
    <t>Processor</t>
  </si>
  <si>
    <t>proc_debug</t>
  </si>
  <si>
    <t>proc_regr</t>
  </si>
  <si>
    <t>proc_long</t>
  </si>
  <si>
    <t>proc_de</t>
  </si>
  <si>
    <t>de/dv日常debug</t>
  </si>
  <si>
    <t>de flow regression</t>
  </si>
  <si>
    <t>dv regression</t>
  </si>
  <si>
    <t>dv long regression</t>
  </si>
  <si>
    <t>socde</t>
  </si>
  <si>
    <t>soc集成和IP开发前端流程</t>
  </si>
  <si>
    <t>梁志坚</t>
    <phoneticPr fontId="7" type="noConversion"/>
  </si>
  <si>
    <t>IMPL_IP_Dev</t>
  </si>
  <si>
    <t>impl_ip_dev</t>
  </si>
  <si>
    <t>IMPL IP DE and DV 使用</t>
  </si>
  <si>
    <t>Total</t>
    <phoneticPr fontId="7" type="noConversion"/>
  </si>
  <si>
    <t>team总slot数目</t>
    <phoneticPr fontId="7" type="noConversion"/>
  </si>
  <si>
    <t>自动计算</t>
    <phoneticPr fontId="7" type="noConversion"/>
  </si>
  <si>
    <t>mem利用率</t>
    <phoneticPr fontId="7" type="noConversion"/>
  </si>
  <si>
    <t>slot利用率</t>
    <phoneticPr fontId="7" type="noConversion"/>
  </si>
  <si>
    <t>用户总申请slot总数</t>
    <phoneticPr fontId="7" type="noConversion"/>
  </si>
  <si>
    <t>HSE所有slot总数</t>
    <phoneticPr fontId="7" type="noConversion"/>
  </si>
  <si>
    <t>超售比</t>
    <phoneticPr fontId="7" type="noConversion"/>
  </si>
  <si>
    <t>SOCDE</t>
    <phoneticPr fontId="7" type="noConversion"/>
  </si>
  <si>
    <t>团队slot总体利用率</t>
    <phoneticPr fontId="7" type="noConversion"/>
  </si>
  <si>
    <t>单位时间内，使用slot数量</t>
    <phoneticPr fontId="7" type="noConversion"/>
  </si>
  <si>
    <t>单位时间实际使用总和</t>
    <phoneticPr fontId="7" type="noConversion"/>
  </si>
  <si>
    <t>资源占比(前端机器整体)</t>
    <phoneticPr fontId="7" type="noConversion"/>
  </si>
  <si>
    <t>每个queue运行数据监控
（HPC手动输入）</t>
    <phoneticPr fontId="7" type="noConversion"/>
  </si>
  <si>
    <t>SoCDV &amp; SYSIPDV</t>
    <phoneticPr fontId="7" type="noConversion"/>
  </si>
  <si>
    <t>SysDV &amp; CommonIPDV</t>
    <phoneticPr fontId="7" type="noConversion"/>
  </si>
  <si>
    <t>APP &amp; SIP_Design</t>
    <phoneticPr fontId="7" type="noConversion"/>
  </si>
  <si>
    <t>Team name</t>
    <phoneticPr fontId="7" type="noConversion"/>
  </si>
  <si>
    <t>SocPV</t>
    <phoneticPr fontId="7" type="noConversion"/>
  </si>
  <si>
    <t>Local debug总数</t>
    <phoneticPr fontId="7" type="noConversion"/>
  </si>
  <si>
    <t>Regression总数</t>
    <phoneticPr fontId="7" type="noConversion"/>
  </si>
  <si>
    <t>上周</t>
    <phoneticPr fontId="7" type="noConversion"/>
  </si>
  <si>
    <t>SoCDV &amp; SYSIPDV</t>
  </si>
  <si>
    <t>slot实际使用</t>
    <phoneticPr fontId="7" type="noConversion"/>
  </si>
  <si>
    <t>上周</t>
    <phoneticPr fontId="7" type="noConversion"/>
  </si>
  <si>
    <t>柴菁</t>
    <phoneticPr fontId="7" type="noConversion"/>
  </si>
  <si>
    <t>IMPL_IP</t>
    <phoneticPr fontId="7" type="noConversion"/>
  </si>
  <si>
    <t>殷妮</t>
    <phoneticPr fontId="7" type="noConversion"/>
  </si>
  <si>
    <t>hse_impl_ip</t>
    <phoneticPr fontId="7" type="noConversion"/>
  </si>
  <si>
    <t>ip 综合用
1. rocky8系统，建立专属集群，不使用slot管理
2. 人员权限(eflame hse designer group)</t>
    <phoneticPr fontId="7" type="noConversion"/>
  </si>
  <si>
    <t>impl_ip</t>
    <phoneticPr fontId="7" type="noConversion"/>
  </si>
  <si>
    <t>1. 命名：$domain_name_$自定义
2. 原则上一个团队对应的queue越少，分时复用利用率越高</t>
    <phoneticPr fontId="7" type="noConversion"/>
  </si>
  <si>
    <t>前端集群</t>
  </si>
  <si>
    <t>中端集群</t>
  </si>
  <si>
    <t>后端集群</t>
  </si>
  <si>
    <t>Rocky8集群</t>
  </si>
  <si>
    <t>pdfct</t>
  </si>
  <si>
    <t>Pdpv</t>
  </si>
  <si>
    <t>pdpwr</t>
  </si>
  <si>
    <t>pdxlarge</t>
  </si>
  <si>
    <t>邓良策</t>
  </si>
  <si>
    <t>何健彬</t>
    <phoneticPr fontId="7" type="noConversion"/>
  </si>
  <si>
    <t>磁盘</t>
    <phoneticPr fontId="7" type="noConversion"/>
  </si>
  <si>
    <t>实际使用Total Slot</t>
    <phoneticPr fontId="7" type="noConversion"/>
  </si>
  <si>
    <t>本月云机器总量</t>
    <phoneticPr fontId="7" type="noConversion"/>
  </si>
  <si>
    <t>云机器利用率</t>
    <phoneticPr fontId="7" type="noConversion"/>
  </si>
  <si>
    <t>本月云机器实际使用</t>
    <phoneticPr fontId="7" type="noConversion"/>
  </si>
  <si>
    <t>interconnect</t>
    <phoneticPr fontId="7" type="noConversion"/>
  </si>
  <si>
    <t>Processor</t>
    <phoneticPr fontId="7" type="noConversion"/>
  </si>
  <si>
    <t>Processor</t>
    <phoneticPr fontId="7" type="noConversion"/>
  </si>
  <si>
    <t>手动更新</t>
    <phoneticPr fontId="7" type="noConversion"/>
  </si>
  <si>
    <t>合计（万）</t>
    <phoneticPr fontId="7" type="noConversion"/>
  </si>
  <si>
    <t>类别</t>
    <phoneticPr fontId="7" type="noConversion"/>
  </si>
  <si>
    <t>类型</t>
    <phoneticPr fontId="7" type="noConversion"/>
  </si>
  <si>
    <t>磁盘</t>
    <phoneticPr fontId="7" type="noConversion"/>
  </si>
  <si>
    <t>集群分类</t>
    <phoneticPr fontId="7" type="noConversion"/>
  </si>
  <si>
    <t>总节点数</t>
    <phoneticPr fontId="7" type="noConversion"/>
  </si>
  <si>
    <t>本周数据</t>
    <phoneticPr fontId="7" type="noConversion"/>
  </si>
  <si>
    <t>CPU平均利用率</t>
    <phoneticPr fontId="7" type="noConversion"/>
  </si>
  <si>
    <t>CPU峰值利用率</t>
    <phoneticPr fontId="7" type="noConversion"/>
  </si>
  <si>
    <t>mem平均利用率</t>
    <phoneticPr fontId="7" type="noConversion"/>
  </si>
  <si>
    <t>mem峰值利用率</t>
    <phoneticPr fontId="7" type="noConversion"/>
  </si>
  <si>
    <t>小机器</t>
    <phoneticPr fontId="7" type="noConversion"/>
  </si>
  <si>
    <t>大机器</t>
    <phoneticPr fontId="7" type="noConversion"/>
  </si>
  <si>
    <t>slot</t>
    <phoneticPr fontId="7" type="noConversion"/>
  </si>
  <si>
    <t>Host</t>
    <phoneticPr fontId="7" type="noConversion"/>
  </si>
  <si>
    <t>hse_middle_end_hosts</t>
    <phoneticPr fontId="7" type="noConversion"/>
  </si>
  <si>
    <t>Max memory per Queue</t>
    <phoneticPr fontId="7" type="noConversion"/>
  </si>
  <si>
    <t xml:space="preserve">每个Queue申请的Mem总数(单位: T)
</t>
    <phoneticPr fontId="7" type="noConversion"/>
  </si>
  <si>
    <t>team memory总数</t>
    <phoneticPr fontId="7" type="noConversion"/>
  </si>
  <si>
    <t>单位时间内，使用mem数量</t>
    <phoneticPr fontId="7" type="noConversion"/>
  </si>
  <si>
    <t>资源占比(机器整体)</t>
    <phoneticPr fontId="7" type="noConversion"/>
  </si>
  <si>
    <t>团队mem总体利用率</t>
    <phoneticPr fontId="7" type="noConversion"/>
  </si>
  <si>
    <t>马海英</t>
    <phoneticPr fontId="7" type="noConversion"/>
  </si>
  <si>
    <t>郭锐</t>
    <phoneticPr fontId="7" type="noConversion"/>
  </si>
  <si>
    <t>dfx</t>
    <phoneticPr fontId="7" type="noConversion"/>
  </si>
  <si>
    <t>dft_middle</t>
    <phoneticPr fontId="7" type="noConversion"/>
  </si>
  <si>
    <t>hse_middle_end</t>
  </si>
  <si>
    <t>dft_atpg</t>
    <phoneticPr fontId="7" type="noConversion"/>
  </si>
  <si>
    <t>dft_atpg_heavy</t>
    <phoneticPr fontId="7" type="noConversion"/>
  </si>
  <si>
    <t>任承志</t>
    <phoneticPr fontId="7" type="noConversion"/>
  </si>
  <si>
    <t>Platform</t>
    <phoneticPr fontId="7" type="noConversion"/>
  </si>
  <si>
    <t>ef_spt</t>
    <phoneticPr fontId="7" type="noConversion"/>
  </si>
  <si>
    <t>Impl-FE</t>
    <phoneticPr fontId="7" type="noConversion"/>
  </si>
  <si>
    <t>felarge</t>
    <phoneticPr fontId="7" type="noConversion"/>
  </si>
  <si>
    <t>秦征</t>
    <phoneticPr fontId="7" type="noConversion"/>
  </si>
  <si>
    <t>SIPI</t>
    <phoneticPr fontId="7" type="noConversion"/>
  </si>
  <si>
    <t>sipi</t>
    <phoneticPr fontId="7" type="noConversion"/>
  </si>
  <si>
    <t>周建冲</t>
    <phoneticPr fontId="7" type="noConversion"/>
  </si>
  <si>
    <t>Impl-Analog</t>
    <phoneticPr fontId="7" type="noConversion"/>
  </si>
  <si>
    <t>ad</t>
    <phoneticPr fontId="7" type="noConversion"/>
  </si>
  <si>
    <t>用户总申请mem数量(T)</t>
    <phoneticPr fontId="7" type="noConversion"/>
  </si>
  <si>
    <t>中端集群总mem数量(T)</t>
    <phoneticPr fontId="7" type="noConversion"/>
  </si>
  <si>
    <t>售出比例</t>
    <phoneticPr fontId="7" type="noConversion"/>
  </si>
  <si>
    <t>hse_back_end_hosts</t>
    <phoneticPr fontId="7" type="noConversion"/>
  </si>
  <si>
    <t>东华</t>
    <phoneticPr fontId="7" type="noConversion"/>
  </si>
  <si>
    <t>Impl-BE</t>
    <phoneticPr fontId="7" type="noConversion"/>
  </si>
  <si>
    <t>pdmid</t>
    <phoneticPr fontId="7" type="noConversion"/>
  </si>
  <si>
    <t>hse_back_end</t>
    <phoneticPr fontId="7" type="noConversion"/>
  </si>
  <si>
    <t>pdshort</t>
    <phoneticPr fontId="7" type="noConversion"/>
  </si>
  <si>
    <t>pdpwr（专用集群）</t>
    <phoneticPr fontId="7" type="noConversion"/>
  </si>
  <si>
    <t>pdpv（专用集群）</t>
    <phoneticPr fontId="7" type="noConversion"/>
  </si>
  <si>
    <t>pdfct（专用集群）</t>
    <phoneticPr fontId="7" type="noConversion"/>
  </si>
  <si>
    <t>pdxlarge（专用集群）</t>
    <phoneticPr fontId="7" type="noConversion"/>
  </si>
  <si>
    <t>hse_rocky8_hosts</t>
    <phoneticPr fontId="7" type="noConversion"/>
  </si>
  <si>
    <r>
      <t>fesyn</t>
    </r>
    <r>
      <rPr>
        <sz val="11"/>
        <color rgb="FFFF0000"/>
        <rFont val="等线"/>
        <family val="3"/>
        <charset val="134"/>
        <scheme val="minor"/>
      </rPr>
      <t>（rocky8）</t>
    </r>
    <phoneticPr fontId="7" type="noConversion"/>
  </si>
  <si>
    <t>hse_middle_end_8</t>
    <phoneticPr fontId="7" type="noConversion"/>
  </si>
  <si>
    <t>rock8集群总mem数量(T)</t>
    <phoneticPr fontId="7" type="noConversion"/>
  </si>
  <si>
    <t>中端集群</t>
    <phoneticPr fontId="7" type="noConversion"/>
  </si>
  <si>
    <t>mem实际使用</t>
    <phoneticPr fontId="7" type="noConversion"/>
  </si>
  <si>
    <t>Total MEM</t>
    <phoneticPr fontId="7" type="noConversion"/>
  </si>
  <si>
    <t>rocky8集群</t>
    <phoneticPr fontId="7" type="noConversion"/>
  </si>
  <si>
    <t>后端集群</t>
    <phoneticPr fontId="7" type="noConversion"/>
  </si>
  <si>
    <t>pdpwr</t>
    <phoneticPr fontId="7" type="noConversion"/>
  </si>
  <si>
    <t>pdpv</t>
    <phoneticPr fontId="7" type="noConversion"/>
  </si>
  <si>
    <t>pdfct</t>
    <phoneticPr fontId="7" type="noConversion"/>
  </si>
  <si>
    <t>pdxlarge</t>
    <phoneticPr fontId="7" type="noConversion"/>
  </si>
  <si>
    <t>hse_front_end_hosts</t>
    <phoneticPr fontId="7" type="noConversion"/>
  </si>
  <si>
    <t>memory(T)</t>
    <phoneticPr fontId="7" type="noConversion"/>
  </si>
  <si>
    <t>sipdvperf</t>
    <phoneticPr fontId="7" type="noConversion"/>
  </si>
  <si>
    <t>紧急任务</t>
    <phoneticPr fontId="7" type="noConversion"/>
  </si>
  <si>
    <t>闲时超售比上限140%。
忙时超售比上限110%</t>
    <phoneticPr fontId="7" type="noConversion"/>
  </si>
  <si>
    <t>用户申请Total Slot</t>
    <phoneticPr fontId="7" type="noConversion"/>
  </si>
  <si>
    <t>用户申请Total mem</t>
    <phoneticPr fontId="7" type="noConversion"/>
  </si>
  <si>
    <t>DFX</t>
    <phoneticPr fontId="7" type="noConversion"/>
  </si>
  <si>
    <t>Platform</t>
    <phoneticPr fontId="7" type="noConversion"/>
  </si>
  <si>
    <t>小机器</t>
    <phoneticPr fontId="7" type="noConversion"/>
  </si>
  <si>
    <t>大机器</t>
    <phoneticPr fontId="7" type="noConversion"/>
  </si>
  <si>
    <t>云机器</t>
    <phoneticPr fontId="7" type="noConversion"/>
  </si>
  <si>
    <t>高速研发盘</t>
    <phoneticPr fontId="7" type="noConversion"/>
  </si>
  <si>
    <t>小机器(64core及以下机型)</t>
    <phoneticPr fontId="7" type="noConversion"/>
  </si>
  <si>
    <t>大机器(大于64core机型)</t>
    <phoneticPr fontId="7" type="noConversion"/>
  </si>
  <si>
    <t>资源申请总量</t>
    <phoneticPr fontId="7" type="noConversion"/>
  </si>
  <si>
    <t>云机器</t>
    <phoneticPr fontId="7" type="noConversion"/>
  </si>
  <si>
    <t>磁盘（T）</t>
    <phoneticPr fontId="7" type="noConversion"/>
  </si>
  <si>
    <t>研发盘</t>
    <phoneticPr fontId="7" type="noConversion"/>
  </si>
  <si>
    <t>备份盘</t>
    <phoneticPr fontId="7" type="noConversion"/>
  </si>
  <si>
    <t>小机器</t>
    <phoneticPr fontId="7" type="noConversion"/>
  </si>
  <si>
    <t>大机器</t>
    <phoneticPr fontId="7" type="noConversion"/>
  </si>
  <si>
    <t>超售比</t>
    <phoneticPr fontId="7" type="noConversion"/>
  </si>
  <si>
    <t>账单（月/万元）</t>
    <phoneticPr fontId="7" type="noConversion"/>
  </si>
  <si>
    <t>1W</t>
    <phoneticPr fontId="7" type="noConversion"/>
  </si>
  <si>
    <t>第一周</t>
    <phoneticPr fontId="7" type="noConversion"/>
  </si>
  <si>
    <t>第三周</t>
    <phoneticPr fontId="7" type="noConversion"/>
  </si>
  <si>
    <t>第四周</t>
    <phoneticPr fontId="7" type="noConversion"/>
  </si>
  <si>
    <t>总机器</t>
    <phoneticPr fontId="7" type="noConversion"/>
  </si>
  <si>
    <t>本地机器</t>
    <phoneticPr fontId="7" type="noConversion"/>
  </si>
  <si>
    <t>2W</t>
    <phoneticPr fontId="7" type="noConversion"/>
  </si>
  <si>
    <t>3W</t>
    <phoneticPr fontId="7" type="noConversion"/>
  </si>
  <si>
    <t>4W</t>
    <phoneticPr fontId="7" type="noConversion"/>
  </si>
  <si>
    <t>集群名称</t>
    <phoneticPr fontId="7" type="noConversion"/>
  </si>
  <si>
    <t>本地</t>
    <phoneticPr fontId="7" type="noConversion"/>
  </si>
  <si>
    <t>云端</t>
    <phoneticPr fontId="7" type="noConversion"/>
  </si>
  <si>
    <t>第二周</t>
    <phoneticPr fontId="7" type="noConversion"/>
  </si>
  <si>
    <t>对应集群</t>
    <phoneticPr fontId="7" type="noConversion"/>
  </si>
  <si>
    <t>价格明细</t>
    <phoneticPr fontId="7" type="noConversion"/>
  </si>
  <si>
    <t>集群信息</t>
    <phoneticPr fontId="7" type="noConversion"/>
  </si>
  <si>
    <t>pdfct_hosts</t>
    <phoneticPr fontId="7" type="noConversion"/>
  </si>
  <si>
    <t>middle_end_8_hosts</t>
    <phoneticPr fontId="7" type="noConversion"/>
  </si>
  <si>
    <t>pdxlarge_hosts</t>
    <phoneticPr fontId="7" type="noConversion"/>
  </si>
  <si>
    <t>pdpv_hosts</t>
    <phoneticPr fontId="7" type="noConversion"/>
  </si>
  <si>
    <t>pdpwr_hosts</t>
    <phoneticPr fontId="7" type="noConversion"/>
  </si>
  <si>
    <t>W1</t>
    <phoneticPr fontId="7" type="noConversion"/>
  </si>
  <si>
    <t>W2</t>
    <phoneticPr fontId="7" type="noConversion"/>
  </si>
  <si>
    <t>W3</t>
    <phoneticPr fontId="7" type="noConversion"/>
  </si>
  <si>
    <t>W4</t>
    <phoneticPr fontId="7" type="noConversion"/>
  </si>
  <si>
    <t>memory</t>
    <phoneticPr fontId="7" type="noConversion"/>
  </si>
  <si>
    <t>每月历史数据，复制填充</t>
    <phoneticPr fontId="7" type="noConversion"/>
  </si>
  <si>
    <t>HPC“主页”</t>
    <phoneticPr fontId="7" type="noConversion"/>
  </si>
  <si>
    <t>前端集群Total Slot</t>
    <phoneticPr fontId="7" type="noConversion"/>
  </si>
  <si>
    <t>集群实际Total mem</t>
    <phoneticPr fontId="7" type="noConversion"/>
  </si>
  <si>
    <t>售出比</t>
    <phoneticPr fontId="7" type="noConversion"/>
  </si>
  <si>
    <t>前端共享集群</t>
    <phoneticPr fontId="7" type="noConversion"/>
  </si>
  <si>
    <t>中端共享集群</t>
    <phoneticPr fontId="7" type="noConversion"/>
  </si>
  <si>
    <t>后端共享集群</t>
    <phoneticPr fontId="7" type="noConversion"/>
  </si>
  <si>
    <t>Rocky8共享集群
(目前Impl-FE使用)</t>
    <phoneticPr fontId="7" type="noConversion"/>
  </si>
  <si>
    <t>后端pdfct
(未归入后端共享集群，RTO后TBD)</t>
    <phoneticPr fontId="7" type="noConversion"/>
  </si>
  <si>
    <t>后端Pdpv
(未归入后端共享集群，RTO后TBD)</t>
    <phoneticPr fontId="7" type="noConversion"/>
  </si>
  <si>
    <t>后端pdpwr
(未归入后端共享集群，RTO后TBD)</t>
    <phoneticPr fontId="7" type="noConversion"/>
  </si>
  <si>
    <t>后端pdxlarge
(未归入后端共享集群，RTO后TBD)</t>
    <phoneticPr fontId="7" type="noConversion"/>
  </si>
  <si>
    <t>定价策略</t>
    <phoneticPr fontId="7" type="noConversion"/>
  </si>
  <si>
    <t>燧原IT</t>
    <phoneticPr fontId="7" type="noConversion"/>
  </si>
  <si>
    <t>速石vendor</t>
    <phoneticPr fontId="7" type="noConversion"/>
  </si>
  <si>
    <t>数据采集策略</t>
    <phoneticPr fontId="7" type="noConversion"/>
  </si>
  <si>
    <t>按月统计</t>
    <phoneticPr fontId="7" type="noConversion"/>
  </si>
  <si>
    <t>按周统计</t>
    <phoneticPr fontId="7" type="noConversion"/>
  </si>
  <si>
    <t>低速备份盘(SATA)</t>
    <phoneticPr fontId="7" type="noConversion"/>
  </si>
  <si>
    <r>
      <t>燧原IT
(</t>
    </r>
    <r>
      <rPr>
        <sz val="11"/>
        <color rgb="FFFF0000"/>
        <rFont val="等线"/>
        <family val="3"/>
        <charset val="134"/>
        <scheme val="minor"/>
      </rPr>
      <t>免费, 鼓励使用)</t>
    </r>
    <phoneticPr fontId="7" type="noConversion"/>
  </si>
  <si>
    <t>公式说明</t>
    <phoneticPr fontId="7" type="noConversion"/>
  </si>
  <si>
    <t>团队磁盘总价=团队研发盘*研发盘单价+团队备份盘*备份盘单价</t>
    <phoneticPr fontId="7" type="noConversion"/>
  </si>
  <si>
    <t>价格
机器：元/台/月
磁盘：元/T/月</t>
    <phoneticPr fontId="7" type="noConversion"/>
  </si>
  <si>
    <t>卷名</t>
    <phoneticPr fontId="7" type="noConversion"/>
  </si>
  <si>
    <t>大小(T)</t>
    <phoneticPr fontId="7" type="noConversion"/>
  </si>
  <si>
    <t>研发盘总量(T)</t>
    <phoneticPr fontId="7" type="noConversion"/>
  </si>
  <si>
    <t>研发盘实际使用(T)</t>
    <phoneticPr fontId="7" type="noConversion"/>
  </si>
  <si>
    <t>研发盘剩余(T)</t>
    <phoneticPr fontId="7" type="noConversion"/>
  </si>
  <si>
    <t>研发盘总剩余(T)</t>
    <phoneticPr fontId="7" type="noConversion"/>
  </si>
  <si>
    <t>大小（T）</t>
    <phoneticPr fontId="7" type="noConversion"/>
  </si>
  <si>
    <t>备份盘总量(T)</t>
    <phoneticPr fontId="7" type="noConversion"/>
  </si>
  <si>
    <t>IP_sip_dv</t>
    <phoneticPr fontId="7" type="noConversion"/>
  </si>
  <si>
    <t>libra_IP_scratch_sipdv</t>
    <phoneticPr fontId="7" type="noConversion"/>
  </si>
  <si>
    <t>projects_ci_sip</t>
  </si>
  <si>
    <t>projects_ci_cdb_sip</t>
  </si>
  <si>
    <t>IP_processor</t>
    <phoneticPr fontId="7" type="noConversion"/>
  </si>
  <si>
    <t>projects_ci_processor</t>
  </si>
  <si>
    <t>draco_IP_scratch_Interconnect</t>
    <phoneticPr fontId="7" type="noConversion"/>
  </si>
  <si>
    <t>IP_ccix</t>
    <phoneticPr fontId="7" type="noConversion"/>
  </si>
  <si>
    <t>IP_aasp</t>
  </si>
  <si>
    <t>IP_nebula</t>
  </si>
  <si>
    <t>IP_pcie</t>
  </si>
  <si>
    <t>projects_ci_interconnect</t>
  </si>
  <si>
    <t>common_DV</t>
    <phoneticPr fontId="7" type="noConversion"/>
  </si>
  <si>
    <t>archive_socdv</t>
  </si>
  <si>
    <t>socdv_sysipdv</t>
    <phoneticPr fontId="7" type="noConversion"/>
  </si>
  <si>
    <t>projects_ci_infra</t>
  </si>
  <si>
    <t>projects_ci_socdv</t>
    <phoneticPr fontId="7" type="noConversion"/>
  </si>
  <si>
    <t>projects_ci_sysip</t>
    <phoneticPr fontId="7" type="noConversion"/>
  </si>
  <si>
    <t>socdv_socdv1</t>
    <phoneticPr fontId="7" type="noConversion"/>
  </si>
  <si>
    <t>socdv_socdv2</t>
  </si>
  <si>
    <t>socdv_infra</t>
  </si>
  <si>
    <t>projects_ci_cluster</t>
    <phoneticPr fontId="7" type="noConversion"/>
  </si>
  <si>
    <t>IP_cluster</t>
    <phoneticPr fontId="7" type="noConversion"/>
  </si>
  <si>
    <t>draco_IP_scratch_cluster</t>
  </si>
  <si>
    <t>perf_regr_sh</t>
    <phoneticPr fontId="7" type="noConversion"/>
  </si>
  <si>
    <t>sysdv_sysdv_grp</t>
    <phoneticPr fontId="7" type="noConversion"/>
  </si>
  <si>
    <t>projects_ci_sysdv</t>
    <phoneticPr fontId="7" type="noConversion"/>
  </si>
  <si>
    <t>IP_common</t>
    <phoneticPr fontId="7" type="noConversion"/>
  </si>
  <si>
    <t>projects_ci_mc</t>
  </si>
  <si>
    <t>projects_ci_dceip</t>
  </si>
  <si>
    <t>archive_IP_dte</t>
  </si>
  <si>
    <t>IP_dte</t>
    <phoneticPr fontId="7" type="noConversion"/>
  </si>
  <si>
    <t>draco_IP_scratch_sip_de</t>
    <phoneticPr fontId="7" type="noConversion"/>
  </si>
  <si>
    <t>draco_IP_scratch_aasp</t>
    <phoneticPr fontId="7" type="noConversion"/>
  </si>
  <si>
    <t>IP_despc</t>
    <phoneticPr fontId="7" type="noConversion"/>
  </si>
  <si>
    <t>draco_IP_scratch_sip_de2</t>
  </si>
  <si>
    <t>IP_sip</t>
    <phoneticPr fontId="7" type="noConversion"/>
  </si>
  <si>
    <t>soc_design</t>
  </si>
  <si>
    <t>IP_sysip</t>
    <phoneticPr fontId="7" type="noConversion"/>
  </si>
  <si>
    <t>孙立军</t>
    <phoneticPr fontId="7" type="noConversion"/>
  </si>
  <si>
    <t>IP_fabric</t>
    <phoneticPr fontId="7" type="noConversion"/>
  </si>
  <si>
    <t>耿红喜</t>
    <phoneticPr fontId="7" type="noConversion"/>
  </si>
  <si>
    <t>NPE</t>
    <phoneticPr fontId="7" type="noConversion"/>
  </si>
  <si>
    <t>archive_npe</t>
  </si>
  <si>
    <t>IP_amos</t>
    <phoneticPr fontId="7" type="noConversion"/>
  </si>
  <si>
    <t>尹鹏跃</t>
    <phoneticPr fontId="7" type="noConversion"/>
  </si>
  <si>
    <t>package</t>
  </si>
  <si>
    <t>draco_dfx</t>
    <phoneticPr fontId="7" type="noConversion"/>
  </si>
  <si>
    <t>archive_pavo_dfx</t>
  </si>
  <si>
    <t>draco_dfx_dv</t>
    <phoneticPr fontId="7" type="noConversion"/>
  </si>
  <si>
    <t>archive_scorpio_dfx</t>
  </si>
  <si>
    <t>draco_dfx_mbist</t>
    <phoneticPr fontId="7" type="noConversion"/>
  </si>
  <si>
    <t>pavo_DFX_SS</t>
    <phoneticPr fontId="7" type="noConversion"/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</si>
  <si>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</si>
  <si>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</si>
  <si>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</si>
  <si>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</si>
  <si>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</si>
  <si>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</si>
  <si>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</si>
  <si>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</si>
  <si>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  <phoneticPr fontId="7" type="noConversion"/>
  </si>
  <si>
    <t>libra_dfx_atpg_1</t>
  </si>
  <si>
    <t>draco_dfx_atpg_1</t>
    <phoneticPr fontId="7" type="noConversion"/>
  </si>
  <si>
    <t>libra_dfx_atpg_2</t>
  </si>
  <si>
    <t>libra_dfx_dv_soc</t>
  </si>
  <si>
    <t>platform_new_platform1</t>
    <phoneticPr fontId="7" type="noConversion"/>
  </si>
  <si>
    <t>archive_leo_Platform</t>
    <phoneticPr fontId="7" type="noConversion"/>
  </si>
  <si>
    <t>platform</t>
  </si>
  <si>
    <t>libra_impl_vclp</t>
    <phoneticPr fontId="7" type="noConversion"/>
  </si>
  <si>
    <t>archive_leo_feint</t>
    <phoneticPr fontId="7" type="noConversion"/>
  </si>
  <si>
    <t>soc_impl_ipa</t>
  </si>
  <si>
    <t>archive_libra_impl</t>
    <phoneticPr fontId="7" type="noConversion"/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</si>
  <si>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</si>
  <si>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</si>
  <si>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</si>
  <si>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</si>
  <si>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</si>
  <si>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</si>
  <si>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</si>
  <si>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</si>
  <si>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</si>
  <si>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</si>
  <si>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</si>
  <si>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</si>
  <si>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</si>
  <si>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</si>
  <si>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</si>
  <si>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SIPI_LS_File</t>
    <phoneticPr fontId="7" type="noConversion"/>
  </si>
  <si>
    <t>analog_simulation</t>
    <phoneticPr fontId="7" type="noConversion"/>
  </si>
  <si>
    <t>analog_design</t>
    <phoneticPr fontId="7" type="noConversion"/>
  </si>
  <si>
    <t>libra_pd_block3</t>
    <phoneticPr fontId="7" type="noConversion"/>
  </si>
  <si>
    <t>archive_leo_ir_rhsc</t>
  </si>
  <si>
    <t>libra_pd_block7</t>
    <phoneticPr fontId="7" type="noConversion"/>
  </si>
  <si>
    <t>archive_leo_pd_a1</t>
  </si>
  <si>
    <t>libra_pd_data</t>
    <phoneticPr fontId="7" type="noConversion"/>
  </si>
  <si>
    <t>archive_leo_pd_a1sta</t>
  </si>
  <si>
    <t>libra_pd_flow</t>
    <phoneticPr fontId="7" type="noConversion"/>
  </si>
  <si>
    <t>archive_leo_spg</t>
    <phoneticPr fontId="7" type="noConversion"/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</si>
  <si>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</si>
  <si>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</si>
  <si>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</si>
  <si>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</si>
  <si>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</si>
  <si>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</si>
  <si>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  <phoneticPr fontId="7" type="noConversion"/>
  </si>
  <si>
    <t>archive_scorpio_pd_FCT</t>
  </si>
  <si>
    <t>efpd</t>
  </si>
  <si>
    <t>libra_pd_block8</t>
  </si>
  <si>
    <t>froot</t>
  </si>
  <si>
    <t>pavo_PD</t>
  </si>
  <si>
    <t>libra_pd_FCT</t>
  </si>
  <si>
    <t>pd_report</t>
    <phoneticPr fontId="7" type="noConversion"/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</si>
  <si>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</si>
  <si>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</si>
  <si>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</si>
  <si>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</si>
  <si>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</si>
  <si>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</si>
  <si>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</si>
  <si>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</si>
  <si>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</si>
  <si>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</si>
  <si>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</si>
  <si>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</si>
  <si>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</si>
  <si>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</si>
  <si>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</si>
  <si>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</si>
  <si>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</si>
  <si>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</si>
  <si>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</si>
  <si>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</si>
  <si>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</si>
  <si>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</si>
  <si>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</si>
  <si>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</si>
  <si>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</si>
  <si>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</si>
  <si>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  <phoneticPr fontId="7" type="noConversion"/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</si>
  <si>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</si>
  <si>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</si>
  <si>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</si>
  <si>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</si>
  <si>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</si>
  <si>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</si>
  <si>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</si>
  <si>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</si>
  <si>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</si>
  <si>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</si>
  <si>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</si>
  <si>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</si>
  <si>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</si>
  <si>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</si>
  <si>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</si>
  <si>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</si>
  <si>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</si>
  <si>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</si>
  <si>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</si>
  <si>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</si>
  <si>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</si>
  <si>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</si>
  <si>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磁盘位置</t>
    <phoneticPr fontId="7" type="noConversion"/>
  </si>
  <si>
    <t>总大小（TB）</t>
    <phoneticPr fontId="7" type="noConversion"/>
  </si>
  <si>
    <t>efnas_05_sas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</si>
  <si>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</si>
  <si>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</si>
  <si>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</si>
  <si>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</si>
  <si>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</si>
  <si>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</si>
  <si>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</si>
  <si>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</si>
  <si>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</si>
  <si>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</si>
  <si>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</si>
  <si>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</si>
  <si>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</si>
  <si>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</si>
  <si>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</si>
  <si>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</si>
  <si>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</si>
  <si>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</si>
  <si>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</si>
  <si>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</si>
  <si>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</si>
  <si>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</si>
  <si>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</si>
  <si>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</si>
  <si>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</si>
  <si>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</si>
  <si>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</si>
  <si>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</si>
  <si>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</si>
  <si>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耿红喜</t>
    <phoneticPr fontId="7" type="noConversion"/>
  </si>
  <si>
    <t>尹鹏跃</t>
    <phoneticPr fontId="7" type="noConversion"/>
  </si>
  <si>
    <t>IP_fabri</t>
    <phoneticPr fontId="7" type="noConversion"/>
  </si>
  <si>
    <t>NPE&amp;IP_amos</t>
    <phoneticPr fontId="7" type="noConversion"/>
  </si>
  <si>
    <t>package</t>
    <phoneticPr fontId="7" type="noConversion"/>
  </si>
  <si>
    <t>黄色底纹数据自动link生成，需要手动选择性黏贴到相应week，不要复制公式。</t>
    <phoneticPr fontId="7" type="noConversion"/>
  </si>
  <si>
    <t>公式1</t>
  </si>
  <si>
    <t>公式2</t>
  </si>
  <si>
    <t>集群总费用
（万元/月）</t>
    <phoneticPr fontId="7" type="noConversion"/>
  </si>
  <si>
    <t>-</t>
    <phoneticPr fontId="7" type="noConversion"/>
  </si>
  <si>
    <t>团队云机器总价= TBD</t>
    <phoneticPr fontId="7" type="noConversion"/>
  </si>
  <si>
    <r>
      <t xml:space="preserve">共享集群计算：
</t>
    </r>
    <r>
      <rPr>
        <b/>
        <sz val="11"/>
        <color theme="1"/>
        <rFont val="等线"/>
        <family val="3"/>
        <charset val="134"/>
        <scheme val="minor"/>
      </rPr>
      <t>各团队本地机器总价=（</t>
    </r>
    <r>
      <rPr>
        <b/>
        <sz val="11"/>
        <color theme="1"/>
        <rFont val="等线"/>
        <family val="3"/>
        <charset val="134"/>
      </rPr>
      <t>∑</t>
    </r>
    <r>
      <rPr>
        <b/>
        <vertAlign val="subscript"/>
        <sz val="11"/>
        <color theme="1"/>
        <rFont val="等线"/>
        <family val="3"/>
        <charset val="134"/>
      </rPr>
      <t xml:space="preserve">i=1~4 </t>
    </r>
    <r>
      <rPr>
        <b/>
        <sz val="11"/>
        <color theme="1"/>
        <rFont val="等线"/>
        <family val="3"/>
        <charset val="134"/>
        <scheme val="minor"/>
      </rPr>
      <t>(团队每周申请百分比*当周集群总机器)）/ （∑</t>
    </r>
    <r>
      <rPr>
        <b/>
        <vertAlign val="subscript"/>
        <sz val="11"/>
        <color theme="1"/>
        <rFont val="等线"/>
        <family val="3"/>
        <charset val="134"/>
        <scheme val="minor"/>
      </rPr>
      <t>i=1~4</t>
    </r>
    <r>
      <rPr>
        <b/>
        <sz val="11"/>
        <color theme="1"/>
        <rFont val="等线"/>
        <family val="3"/>
        <charset val="134"/>
        <scheme val="minor"/>
      </rPr>
      <t>每周集群总机器）* （对应集群当月总费用）</t>
    </r>
    <r>
      <rPr>
        <sz val="11"/>
        <color theme="1"/>
        <rFont val="等线"/>
        <family val="2"/>
        <scheme val="minor"/>
      </rPr>
      <t xml:space="preserve">
专用集群计算：
</t>
    </r>
    <r>
      <rPr>
        <b/>
        <sz val="11"/>
        <color theme="1"/>
        <rFont val="等线"/>
        <family val="3"/>
        <charset val="134"/>
        <scheme val="minor"/>
      </rPr>
      <t>团队本地机器总价= 对应集群当月总费用</t>
    </r>
    <phoneticPr fontId="7" type="noConversion"/>
  </si>
  <si>
    <t>后端专用集群</t>
    <phoneticPr fontId="7" type="noConversion"/>
  </si>
  <si>
    <t>Rocky8共享集群</t>
    <phoneticPr fontId="7" type="noConversion"/>
  </si>
  <si>
    <t>前端共享集群</t>
    <phoneticPr fontId="7" type="noConversion"/>
  </si>
  <si>
    <t>中端共享集群</t>
    <phoneticPr fontId="7" type="noConversion"/>
  </si>
  <si>
    <t>公式3</t>
    <phoneticPr fontId="7" type="noConversion"/>
  </si>
  <si>
    <t>公式4</t>
    <phoneticPr fontId="7" type="noConversion"/>
  </si>
  <si>
    <t>合计总价= 磁盘+本地机器+云机器</t>
    <phoneticPr fontId="7" type="noConversion"/>
  </si>
  <si>
    <t>Function/Domain Leader</t>
    <phoneticPr fontId="7" type="noConversion"/>
  </si>
  <si>
    <t>Function/Domain name</t>
    <phoneticPr fontId="7" type="noConversion"/>
  </si>
  <si>
    <t>合计</t>
    <phoneticPr fontId="7" type="noConversion"/>
  </si>
  <si>
    <t>5.0需求峰值</t>
    <phoneticPr fontId="7" type="noConversion"/>
  </si>
  <si>
    <t>已分配</t>
    <phoneticPr fontId="7" type="noConversion"/>
  </si>
  <si>
    <t>SoCDV &amp; SYSIPDV</t>
    <phoneticPr fontId="7" type="noConversion"/>
  </si>
  <si>
    <t>张鑫</t>
    <phoneticPr fontId="7" type="noConversion"/>
  </si>
  <si>
    <t>公共数据</t>
    <phoneticPr fontId="7" type="noConversion"/>
  </si>
  <si>
    <t>HPC“Host集群”</t>
    <phoneticPr fontId="7" type="noConversion"/>
  </si>
  <si>
    <t>middle_end_hosts</t>
    <phoneticPr fontId="7" type="noConversion"/>
  </si>
  <si>
    <t>back_end_hosts</t>
    <phoneticPr fontId="7" type="noConversion"/>
  </si>
  <si>
    <t>W5</t>
    <phoneticPr fontId="7" type="noConversion"/>
  </si>
  <si>
    <t>5W</t>
    <phoneticPr fontId="7" type="noConversion"/>
  </si>
  <si>
    <t>第五周</t>
    <phoneticPr fontId="7" type="noConversion"/>
  </si>
  <si>
    <t>本地机器（申请占比）</t>
    <phoneticPr fontId="7" type="noConversion"/>
  </si>
  <si>
    <t>云机器（申请占比）</t>
    <phoneticPr fontId="7" type="noConversion"/>
  </si>
  <si>
    <t>slot申请占比</t>
    <phoneticPr fontId="7" type="noConversion"/>
  </si>
  <si>
    <t>mem申请占比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</si>
</sst>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_ "/>
    <numFmt numFmtId="178" formatCode="0.00_);[Red]\(0.00\)"/>
    <numFmt numFmtId="179" formatCode="0.00_ "/>
    <numFmt numFmtId="180" formatCode="0.0_ 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35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3" borderId="1" xfId="0" applyFill="1" applyBorder="1"/>
    <xf numFmtId="0" fontId="13" fillId="9" borderId="1" xfId="3" applyBorder="1" applyAlignment="1">
      <alignment horizontal="left" vertical="center" wrapText="1"/>
    </xf>
    <xf numFmtId="0" fontId="13" fillId="9" borderId="1" xfId="3" applyBorder="1" applyAlignment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0" fontId="13" fillId="3" borderId="1" xfId="1" applyFill="1" applyBorder="1" applyAlignment="1">
      <alignment horizontal="left" vertical="center" wrapText="1"/>
    </xf>
    <xf numFmtId="0" fontId="13" fillId="3" borderId="1" xfId="1" applyFill="1" applyBorder="1" applyAlignment="1"/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9" fontId="0" fillId="10" borderId="1" xfId="0" applyNumberFormat="1" applyFill="1" applyBorder="1" applyAlignment="1">
      <alignment horizontal="left" vertical="center" wrapText="1"/>
    </xf>
    <xf numFmtId="177" fontId="13" fillId="10" borderId="1" xfId="3" applyNumberFormat="1" applyFill="1" applyBorder="1" applyAlignment="1">
      <alignment horizontal="left" vertical="center" wrapText="1"/>
    </xf>
    <xf numFmtId="0" fontId="15" fillId="10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6" fillId="7" borderId="1" xfId="4" applyFill="1" applyBorder="1" applyAlignment="1"/>
    <xf numFmtId="0" fontId="16" fillId="7" borderId="1" xfId="4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10" fontId="15" fillId="10" borderId="1" xfId="3" applyNumberFormat="1" applyFont="1" applyFill="1" applyBorder="1" applyAlignment="1">
      <alignment horizontal="left" vertical="center" wrapText="1"/>
    </xf>
    <xf numFmtId="10" fontId="9" fillId="5" borderId="1" xfId="2" applyNumberFormat="1" applyFont="1" applyFill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10" fontId="11" fillId="10" borderId="1" xfId="0" applyNumberFormat="1" applyFont="1" applyFill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3" borderId="1" xfId="0" applyNumberFormat="1" applyFill="1" applyBorder="1"/>
    <xf numFmtId="10" fontId="0" fillId="5" borderId="1" xfId="0" applyNumberFormat="1" applyFill="1" applyBorder="1" applyAlignment="1">
      <alignment horizontal="left" vertical="center" wrapText="1"/>
    </xf>
    <xf numFmtId="10" fontId="16" fillId="7" borderId="1" xfId="4" applyNumberFormat="1" applyFill="1" applyBorder="1" applyAlignment="1"/>
    <xf numFmtId="10" fontId="16" fillId="7" borderId="1" xfId="4" applyNumberFormat="1" applyFill="1" applyBorder="1" applyAlignment="1">
      <alignment horizontal="left" vertical="center" wrapText="1"/>
    </xf>
    <xf numFmtId="10" fontId="0" fillId="0" borderId="0" xfId="0" applyNumberFormat="1"/>
    <xf numFmtId="0" fontId="0" fillId="12" borderId="1" xfId="0" applyFill="1" applyBorder="1" applyAlignment="1">
      <alignment vertical="center" wrapText="1"/>
    </xf>
    <xf numFmtId="10" fontId="0" fillId="12" borderId="1" xfId="0" applyNumberFormat="1" applyFill="1" applyBorder="1" applyAlignment="1">
      <alignment horizontal="left" vertical="center" wrapText="1"/>
    </xf>
    <xf numFmtId="9" fontId="0" fillId="12" borderId="1" xfId="0" applyNumberFormat="1" applyFill="1" applyBorder="1" applyAlignment="1">
      <alignment horizontal="left" vertical="center" wrapText="1"/>
    </xf>
    <xf numFmtId="9" fontId="13" fillId="12" borderId="1" xfId="3" applyNumberFormat="1" applyFill="1" applyBorder="1" applyAlignment="1">
      <alignment horizontal="left" vertical="center" wrapText="1"/>
    </xf>
    <xf numFmtId="0" fontId="0" fillId="3" borderId="2" xfId="0" applyFill="1" applyBorder="1"/>
    <xf numFmtId="0" fontId="0" fillId="5" borderId="2" xfId="0" applyFill="1" applyBorder="1" applyAlignment="1">
      <alignment horizontal="left" vertical="center" wrapText="1"/>
    </xf>
    <xf numFmtId="0" fontId="13" fillId="5" borderId="2" xfId="3" applyFill="1" applyBorder="1" applyAlignment="1">
      <alignment horizontal="left" vertical="center" wrapText="1"/>
    </xf>
    <xf numFmtId="0" fontId="13" fillId="5" borderId="2" xfId="1" applyFill="1" applyBorder="1" applyAlignment="1">
      <alignment horizontal="left" vertical="center" wrapText="1"/>
    </xf>
    <xf numFmtId="0" fontId="16" fillId="7" borderId="2" xfId="4" applyFill="1" applyBorder="1" applyAlignment="1"/>
    <xf numFmtId="0" fontId="16" fillId="7" borderId="2" xfId="4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13" fillId="12" borderId="2" xfId="3" applyFill="1" applyBorder="1" applyAlignment="1">
      <alignment horizontal="left" vertical="center" wrapText="1"/>
    </xf>
    <xf numFmtId="0" fontId="13" fillId="12" borderId="2" xfId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vertical="center" wrapText="1"/>
    </xf>
    <xf numFmtId="177" fontId="0" fillId="5" borderId="1" xfId="0" applyNumberForma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left" vertical="center" wrapText="1"/>
    </xf>
    <xf numFmtId="10" fontId="0" fillId="4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/>
    <xf numFmtId="177" fontId="0" fillId="13" borderId="1" xfId="0" applyNumberFormat="1" applyFill="1" applyBorder="1" applyAlignment="1">
      <alignment horizontal="left"/>
    </xf>
    <xf numFmtId="10" fontId="0" fillId="13" borderId="1" xfId="0" applyNumberFormat="1" applyFill="1" applyBorder="1"/>
    <xf numFmtId="10" fontId="0" fillId="4" borderId="3" xfId="0" applyNumberForma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77" fontId="0" fillId="1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2" xfId="3" applyFont="1" applyFill="1" applyBorder="1" applyAlignment="1">
      <alignment horizontal="left" vertical="center" wrapText="1"/>
    </xf>
    <xf numFmtId="10" fontId="0" fillId="7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0" fontId="20" fillId="0" borderId="1" xfId="0" applyNumberFormat="1" applyFont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5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76" fontId="3" fillId="7" borderId="1" xfId="11" applyNumberForma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10" fontId="3" fillId="9" borderId="1" xfId="11" applyNumberFormat="1" applyBorder="1" applyAlignment="1">
      <alignment horizontal="left" vertical="center" wrapText="1"/>
    </xf>
    <xf numFmtId="9" fontId="3" fillId="12" borderId="1" xfId="11" applyNumberFormat="1" applyFill="1" applyBorder="1" applyAlignment="1">
      <alignment horizontal="left" vertical="center" wrapText="1"/>
    </xf>
    <xf numFmtId="179" fontId="3" fillId="10" borderId="1" xfId="11" applyNumberFormat="1" applyFill="1" applyBorder="1" applyAlignment="1">
      <alignment horizontal="left" vertical="center" wrapText="1"/>
    </xf>
    <xf numFmtId="10" fontId="15" fillId="10" borderId="1" xfId="1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6" fontId="3" fillId="5" borderId="1" xfId="11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8" fontId="3" fillId="10" borderId="1" xfId="11" applyNumberFormat="1" applyFill="1" applyBorder="1" applyAlignment="1">
      <alignment horizontal="left" vertical="center" wrapText="1"/>
    </xf>
    <xf numFmtId="178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79" fontId="0" fillId="7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2" xfId="12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left" vertical="center" wrapText="1"/>
    </xf>
    <xf numFmtId="0" fontId="3" fillId="12" borderId="2" xfId="12" applyFill="1" applyBorder="1" applyAlignment="1">
      <alignment horizontal="left" vertical="center" wrapText="1"/>
    </xf>
    <xf numFmtId="179" fontId="0" fillId="5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/>
    </xf>
    <xf numFmtId="10" fontId="0" fillId="5" borderId="1" xfId="0" applyNumberFormat="1" applyFill="1" applyBorder="1"/>
    <xf numFmtId="179" fontId="0" fillId="0" borderId="1" xfId="0" applyNumberFormat="1" applyBorder="1" applyAlignment="1">
      <alignment horizontal="left"/>
    </xf>
    <xf numFmtId="10" fontId="0" fillId="13" borderId="1" xfId="0" applyNumberFormat="1" applyFill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177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5" borderId="1" xfId="0" applyFont="1" applyFill="1" applyBorder="1" applyAlignment="1">
      <alignment vertical="center" wrapText="1"/>
    </xf>
    <xf numFmtId="0" fontId="0" fillId="17" borderId="0" xfId="0" applyFill="1"/>
    <xf numFmtId="0" fontId="0" fillId="18" borderId="1" xfId="0" applyFill="1" applyBorder="1"/>
    <xf numFmtId="0" fontId="0" fillId="18" borderId="1" xfId="0" applyFill="1" applyBorder="1" applyAlignment="1">
      <alignment vertical="center"/>
    </xf>
    <xf numFmtId="0" fontId="8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vertical="center" wrapText="1"/>
    </xf>
    <xf numFmtId="10" fontId="0" fillId="13" borderId="1" xfId="0" applyNumberFormat="1" applyFill="1" applyBorder="1" applyAlignment="1">
      <alignment horizontal="left" vertical="center" wrapText="1"/>
    </xf>
    <xf numFmtId="10" fontId="0" fillId="7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7" borderId="7" xfId="0" applyFill="1" applyBorder="1"/>
    <xf numFmtId="0" fontId="0" fillId="0" borderId="21" xfId="0" applyBorder="1" applyAlignment="1">
      <alignment horizontal="left" vertical="center"/>
    </xf>
    <xf numFmtId="176" fontId="0" fillId="5" borderId="18" xfId="0" applyNumberFormat="1" applyFill="1" applyBorder="1" applyAlignment="1">
      <alignment horizontal="left" vertical="center" wrapText="1"/>
    </xf>
    <xf numFmtId="0" fontId="18" fillId="5" borderId="20" xfId="0" applyFont="1" applyFill="1" applyBorder="1" applyAlignment="1">
      <alignment vertical="center" wrapText="1"/>
    </xf>
    <xf numFmtId="0" fontId="19" fillId="19" borderId="21" xfId="0" applyFont="1" applyFill="1" applyBorder="1" applyAlignment="1">
      <alignment horizontal="left" vertical="center" wrapText="1"/>
    </xf>
    <xf numFmtId="176" fontId="0" fillId="19" borderId="21" xfId="0" applyNumberFormat="1" applyFill="1" applyBorder="1" applyAlignment="1">
      <alignment horizontal="left"/>
    </xf>
    <xf numFmtId="176" fontId="0" fillId="19" borderId="22" xfId="0" applyNumberFormat="1" applyFill="1" applyBorder="1"/>
    <xf numFmtId="178" fontId="0" fillId="5" borderId="1" xfId="0" applyNumberFormat="1" applyFill="1" applyBorder="1"/>
    <xf numFmtId="0" fontId="0" fillId="5" borderId="21" xfId="0" applyFill="1" applyBorder="1"/>
    <xf numFmtId="0" fontId="0" fillId="20" borderId="2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13" fillId="20" borderId="2" xfId="3" applyFill="1" applyBorder="1" applyAlignment="1">
      <alignment horizontal="left" vertical="center" wrapText="1"/>
    </xf>
    <xf numFmtId="0" fontId="13" fillId="20" borderId="2" xfId="1" applyFill="1" applyBorder="1" applyAlignment="1">
      <alignment horizontal="left" vertical="center" wrapText="1"/>
    </xf>
    <xf numFmtId="0" fontId="0" fillId="20" borderId="19" xfId="0" applyFill="1" applyBorder="1" applyAlignment="1">
      <alignment horizontal="left" vertical="center" wrapText="1"/>
    </xf>
    <xf numFmtId="0" fontId="0" fillId="20" borderId="20" xfId="0" applyFill="1" applyBorder="1" applyAlignment="1">
      <alignment horizontal="left" vertical="center" wrapText="1"/>
    </xf>
    <xf numFmtId="0" fontId="0" fillId="20" borderId="2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/>
    </xf>
    <xf numFmtId="0" fontId="22" fillId="21" borderId="1" xfId="0" applyFont="1" applyFill="1" applyBorder="1" applyAlignment="1">
      <alignment horizontal="left" vertical="center" wrapText="1"/>
    </xf>
    <xf numFmtId="0" fontId="9" fillId="21" borderId="1" xfId="0" applyFont="1" applyFill="1" applyBorder="1" applyAlignment="1">
      <alignment horizontal="left" vertical="center"/>
    </xf>
    <xf numFmtId="0" fontId="0" fillId="21" borderId="23" xfId="0" applyFill="1" applyBorder="1" applyAlignment="1">
      <alignment horizontal="left" vertical="center" wrapText="1"/>
    </xf>
    <xf numFmtId="0" fontId="0" fillId="21" borderId="24" xfId="0" applyFill="1" applyBorder="1" applyAlignment="1">
      <alignment horizontal="left" vertical="center" wrapText="1"/>
    </xf>
    <xf numFmtId="0" fontId="0" fillId="20" borderId="27" xfId="0" applyFill="1" applyBorder="1" applyAlignment="1">
      <alignment horizontal="left" vertical="center" wrapText="1"/>
    </xf>
    <xf numFmtId="178" fontId="0" fillId="5" borderId="3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/>
    </xf>
    <xf numFmtId="0" fontId="2" fillId="13" borderId="1" xfId="14" applyFill="1" applyBorder="1" applyAlignment="1">
      <alignment horizontal="left" vertical="center"/>
    </xf>
    <xf numFmtId="0" fontId="2" fillId="5" borderId="1" xfId="14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13" fillId="13" borderId="1" xfId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22" fillId="2" borderId="1" xfId="0" applyFont="1" applyFill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/>
    </xf>
    <xf numFmtId="0" fontId="0" fillId="20" borderId="3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76" fontId="13" fillId="9" borderId="1" xfId="3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13" fillId="3" borderId="1" xfId="1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/>
    </xf>
    <xf numFmtId="10" fontId="10" fillId="3" borderId="1" xfId="0" applyNumberFormat="1" applyFont="1" applyFill="1" applyBorder="1"/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22" borderId="3" xfId="0" applyFill="1" applyBorder="1" applyAlignment="1">
      <alignment horizontal="left" vertical="center" wrapText="1"/>
    </xf>
    <xf numFmtId="176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/>
    <xf numFmtId="177" fontId="0" fillId="10" borderId="1" xfId="0" applyNumberFormat="1" applyFill="1" applyBorder="1" applyAlignment="1">
      <alignment horizontal="left" vertical="center" wrapText="1"/>
    </xf>
    <xf numFmtId="10" fontId="9" fillId="10" borderId="1" xfId="2" applyNumberFormat="1" applyFont="1" applyFill="1" applyBorder="1" applyAlignment="1">
      <alignment horizontal="left" vertical="center" wrapText="1"/>
    </xf>
    <xf numFmtId="10" fontId="0" fillId="10" borderId="1" xfId="0" applyNumberFormat="1" applyFill="1" applyBorder="1" applyAlignment="1">
      <alignment horizontal="left" vertical="center" wrapText="1"/>
    </xf>
    <xf numFmtId="176" fontId="13" fillId="4" borderId="1" xfId="3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17" fillId="4" borderId="1" xfId="1" applyNumberFormat="1" applyFont="1" applyFill="1" applyBorder="1" applyAlignment="1">
      <alignment horizontal="left" vertical="center" wrapText="1"/>
    </xf>
    <xf numFmtId="10" fontId="13" fillId="4" borderId="1" xfId="3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0" fontId="3" fillId="4" borderId="1" xfId="11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/>
    </xf>
    <xf numFmtId="0" fontId="21" fillId="21" borderId="1" xfId="13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12" fillId="21" borderId="18" xfId="0" applyFont="1" applyFill="1" applyBorder="1" applyAlignment="1">
      <alignment horizontal="left" vertical="center"/>
    </xf>
    <xf numFmtId="0" fontId="23" fillId="21" borderId="18" xfId="13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176" fontId="0" fillId="19" borderId="40" xfId="0" applyNumberFormat="1" applyFill="1" applyBorder="1" applyAlignment="1">
      <alignment horizontal="left"/>
    </xf>
    <xf numFmtId="0" fontId="19" fillId="5" borderId="18" xfId="0" applyFont="1" applyFill="1" applyBorder="1" applyAlignment="1">
      <alignment horizontal="left" vertical="center" wrapText="1"/>
    </xf>
    <xf numFmtId="0" fontId="0" fillId="19" borderId="22" xfId="0" applyFill="1" applyBorder="1" applyAlignment="1">
      <alignment horizontal="left"/>
    </xf>
    <xf numFmtId="0" fontId="0" fillId="23" borderId="1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/>
    <xf numFmtId="0" fontId="0" fillId="20" borderId="31" xfId="0" applyFill="1" applyBorder="1" applyAlignment="1">
      <alignment horizontal="left" vertical="center" wrapText="1"/>
    </xf>
    <xf numFmtId="0" fontId="0" fillId="20" borderId="41" xfId="0" applyFill="1" applyBorder="1" applyAlignment="1">
      <alignment horizontal="left" vertical="center" wrapText="1"/>
    </xf>
    <xf numFmtId="0" fontId="0" fillId="5" borderId="41" xfId="0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19" fillId="0" borderId="41" xfId="0" applyFont="1" applyBorder="1" applyAlignment="1">
      <alignment horizontal="left" vertical="center" wrapText="1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179" fontId="0" fillId="3" borderId="27" xfId="0" applyNumberForma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11" fillId="3" borderId="30" xfId="0" applyNumberFormat="1" applyFont="1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79" fontId="0" fillId="3" borderId="3" xfId="0" applyNumberFormat="1" applyFill="1" applyBorder="1" applyAlignment="1">
      <alignment horizontal="center" vertical="center" wrapText="1"/>
    </xf>
    <xf numFmtId="179" fontId="11" fillId="3" borderId="15" xfId="0" applyNumberFormat="1" applyFont="1" applyFill="1" applyBorder="1" applyAlignment="1">
      <alignment horizontal="center" vertical="center" wrapText="1"/>
    </xf>
    <xf numFmtId="179" fontId="0" fillId="3" borderId="2" xfId="0" applyNumberFormat="1" applyFill="1" applyBorder="1" applyAlignment="1">
      <alignment horizontal="center" vertical="center" wrapText="1"/>
    </xf>
    <xf numFmtId="179" fontId="0" fillId="3" borderId="21" xfId="0" applyNumberFormat="1" applyFill="1" applyBorder="1" applyAlignment="1">
      <alignment horizontal="center" vertical="center" wrapText="1"/>
    </xf>
    <xf numFmtId="179" fontId="0" fillId="3" borderId="34" xfId="0" applyNumberFormat="1" applyFill="1" applyBorder="1" applyAlignment="1">
      <alignment horizontal="center" vertical="center" wrapText="1"/>
    </xf>
    <xf numFmtId="179" fontId="11" fillId="3" borderId="29" xfId="0" applyNumberFormat="1" applyFont="1" applyFill="1" applyBorder="1" applyAlignment="1">
      <alignment horizontal="center" vertical="center" wrapText="1"/>
    </xf>
    <xf numFmtId="180" fontId="0" fillId="5" borderId="40" xfId="0" applyNumberFormat="1" applyFill="1" applyBorder="1" applyAlignment="1">
      <alignment horizontal="center" vertical="center" wrapText="1"/>
    </xf>
    <xf numFmtId="180" fontId="0" fillId="5" borderId="21" xfId="0" applyNumberFormat="1" applyFill="1" applyBorder="1" applyAlignment="1">
      <alignment horizontal="center" vertical="center" wrapText="1"/>
    </xf>
    <xf numFmtId="179" fontId="0" fillId="3" borderId="41" xfId="0" applyNumberFormat="1" applyFill="1" applyBorder="1" applyAlignment="1">
      <alignment horizontal="center" vertical="center" wrapText="1"/>
    </xf>
    <xf numFmtId="180" fontId="0" fillId="5" borderId="41" xfId="0" applyNumberFormat="1" applyFill="1" applyBorder="1" applyAlignment="1">
      <alignment horizontal="center" vertical="center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0" fontId="0" fillId="5" borderId="41" xfId="0" applyNumberFormat="1" applyFill="1" applyBorder="1" applyAlignment="1">
      <alignment horizontal="center" vertical="center" wrapText="1"/>
    </xf>
    <xf numFmtId="10" fontId="0" fillId="5" borderId="42" xfId="0" applyNumberForma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/>
    </xf>
    <xf numFmtId="10" fontId="0" fillId="0" borderId="1" xfId="0" applyNumberFormat="1" applyBorder="1" applyAlignment="1">
      <alignment vertical="center"/>
    </xf>
    <xf numFmtId="0" fontId="0" fillId="5" borderId="5" xfId="0" applyFill="1" applyBorder="1" applyAlignment="1">
      <alignment horizontal="center" vertical="center" wrapText="1"/>
    </xf>
    <xf numFmtId="176" fontId="0" fillId="19" borderId="21" xfId="0" applyNumberFormat="1" applyFill="1" applyBorder="1"/>
    <xf numFmtId="10" fontId="0" fillId="5" borderId="18" xfId="0" applyNumberFormat="1" applyFill="1" applyBorder="1" applyAlignment="1">
      <alignment horizontal="center" vertical="center" wrapText="1"/>
    </xf>
    <xf numFmtId="10" fontId="0" fillId="5" borderId="28" xfId="0" applyNumberForma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11" fillId="0" borderId="37" xfId="0" applyFont="1" applyBorder="1"/>
    <xf numFmtId="0" fontId="11" fillId="0" borderId="5" xfId="0" applyFont="1" applyBorder="1"/>
    <xf numFmtId="0" fontId="0" fillId="0" borderId="5" xfId="0" applyBorder="1"/>
    <xf numFmtId="0" fontId="0" fillId="0" borderId="15" xfId="0" applyBorder="1"/>
    <xf numFmtId="0" fontId="11" fillId="0" borderId="38" xfId="0" applyFont="1" applyBorder="1"/>
    <xf numFmtId="0" fontId="11" fillId="0" borderId="39" xfId="0" applyFont="1" applyBorder="1"/>
    <xf numFmtId="0" fontId="0" fillId="0" borderId="39" xfId="0" applyBorder="1"/>
    <xf numFmtId="0" fontId="0" fillId="0" borderId="29" xfId="0" applyBorder="1"/>
    <xf numFmtId="0" fontId="0" fillId="21" borderId="8" xfId="0" applyFill="1" applyBorder="1" applyAlignment="1">
      <alignment horizontal="left" vertical="center" wrapText="1"/>
    </xf>
    <xf numFmtId="0" fontId="0" fillId="21" borderId="14" xfId="0" applyFill="1" applyBorder="1" applyAlignment="1">
      <alignment vertical="center" wrapText="1"/>
    </xf>
    <xf numFmtId="0" fontId="0" fillId="21" borderId="16" xfId="0" applyFill="1" applyBorder="1" applyAlignment="1">
      <alignment vertical="center" wrapText="1"/>
    </xf>
    <xf numFmtId="0" fontId="0" fillId="21" borderId="9" xfId="0" applyFill="1" applyBorder="1" applyAlignment="1">
      <alignment horizontal="left" vertical="center" wrapText="1"/>
    </xf>
    <xf numFmtId="0" fontId="0" fillId="21" borderId="6" xfId="0" applyFill="1" applyBorder="1" applyAlignment="1">
      <alignment vertical="center" wrapText="1"/>
    </xf>
    <xf numFmtId="0" fontId="0" fillId="2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3" borderId="19" xfId="0" applyFill="1" applyBorder="1" applyAlignment="1">
      <alignment horizontal="left" vertical="center" wrapText="1"/>
    </xf>
    <xf numFmtId="0" fontId="0" fillId="20" borderId="14" xfId="0" applyFill="1" applyBorder="1" applyAlignment="1">
      <alignment horizontal="left" vertical="center"/>
    </xf>
    <xf numFmtId="0" fontId="0" fillId="20" borderId="16" xfId="0" applyFill="1" applyBorder="1" applyAlignment="1">
      <alignment horizontal="left" vertical="center"/>
    </xf>
    <xf numFmtId="0" fontId="0" fillId="20" borderId="1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8" fillId="21" borderId="23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21" borderId="2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1" borderId="2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18" fillId="5" borderId="17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21" borderId="10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1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21" borderId="25" xfId="0" applyFill="1" applyBorder="1"/>
    <xf numFmtId="0" fontId="0" fillId="5" borderId="28" xfId="0" applyFill="1" applyBorder="1" applyAlignment="1">
      <alignment horizontal="left" vertical="center" wrapText="1"/>
    </xf>
    <xf numFmtId="0" fontId="0" fillId="18" borderId="4" xfId="0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9" fontId="8" fillId="10" borderId="1" xfId="2" applyNumberFormat="1" applyFont="1" applyFill="1" applyBorder="1" applyAlignment="1">
      <alignment horizontal="center" vertical="center" wrapText="1"/>
    </xf>
    <xf numFmtId="10" fontId="8" fillId="10" borderId="1" xfId="2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3" fillId="13" borderId="1" xfId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</cellXfs>
  <cellStyles count="15">
    <cellStyle name="20% - 着色 4" xfId="1" builtinId="42"/>
    <cellStyle name="20% - 着色 4 2" xfId="5" xr:uid="{00000000-0005-0000-0000-000001000000}"/>
    <cellStyle name="20% - 着色 4 2 2" xfId="9" xr:uid="{00000000-0005-0000-0000-000002000000}"/>
    <cellStyle name="20% - 着色 4 3" xfId="7" xr:uid="{00000000-0005-0000-0000-000003000000}"/>
    <cellStyle name="20% - 着色 4 3 2" xfId="12" xr:uid="{00000000-0005-0000-0000-000004000000}"/>
    <cellStyle name="40% - 着色 1" xfId="3" builtinId="31"/>
    <cellStyle name="40% - 着色 1 2" xfId="6" xr:uid="{00000000-0005-0000-0000-000006000000}"/>
    <cellStyle name="40% - 着色 1 2 2" xfId="10" xr:uid="{00000000-0005-0000-0000-000007000000}"/>
    <cellStyle name="40% - 着色 1 3" xfId="8" xr:uid="{00000000-0005-0000-0000-000008000000}"/>
    <cellStyle name="40% - 着色 1 4" xfId="11" xr:uid="{00000000-0005-0000-0000-000009000000}"/>
    <cellStyle name="常规" xfId="0" builtinId="0"/>
    <cellStyle name="常规 2" xfId="14" xr:uid="{00000000-0005-0000-0000-00000B000000}"/>
    <cellStyle name="超链接" xfId="13" builtinId="8"/>
    <cellStyle name="好" xfId="4" builtinId="26"/>
    <cellStyle name="着色 3" xfId="2" builtinId="37"/>
  </cellStyles>
  <dxfs count="5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前端</a:t>
            </a:r>
            <a:r>
              <a:rPr lang="zh-CN" sz="1800"/>
              <a:t>团队</a:t>
            </a:r>
            <a:r>
              <a:rPr lang="en-US" sz="1800"/>
              <a:t>SLOT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（前端集群）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前端运行数据统计!$N$3:$N$14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前端运行数据统计!$P$3:$P$14</c:f>
              <c:numCache>
                <c:formatCode>0.00%</c:formatCode>
                <c:ptCount val="12"/>
                <c:pt idx="0">
                  <c:v>0.68631154766402214</c:v>
                </c:pt>
                <c:pt idx="1">
                  <c:v>4.4075053519707842E-2</c:v>
                </c:pt>
                <c:pt idx="2">
                  <c:v>2.2037526759853921E-2</c:v>
                </c:pt>
                <c:pt idx="3">
                  <c:v>2.5185744868404483E-2</c:v>
                </c:pt>
                <c:pt idx="4">
                  <c:v>3.5511900264450322E-2</c:v>
                </c:pt>
                <c:pt idx="5">
                  <c:v>3.5511900264450322E-2</c:v>
                </c:pt>
                <c:pt idx="6">
                  <c:v>2.5185744868404483E-2</c:v>
                </c:pt>
                <c:pt idx="7">
                  <c:v>2.5248709230575494E-2</c:v>
                </c:pt>
                <c:pt idx="8">
                  <c:v>3.1482181085505601E-2</c:v>
                </c:pt>
                <c:pt idx="9">
                  <c:v>3.500818536708223E-2</c:v>
                </c:pt>
                <c:pt idx="10">
                  <c:v>6.2964362171011208E-3</c:v>
                </c:pt>
                <c:pt idx="11">
                  <c:v>6.2964362171011208E-3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EEB-9B76-8554B90EA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前端</a:t>
            </a:r>
            <a:r>
              <a:rPr lang="zh-CN" sz="2000"/>
              <a:t>团队</a:t>
            </a:r>
            <a:r>
              <a:rPr lang="en-US" sz="2000"/>
              <a:t>SLOT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前端运行数据统计!$N$16:$N$27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前端运行数据统计!$P$16:$P$27</c:f>
              <c:numCache>
                <c:formatCode>0.00%</c:formatCode>
                <c:ptCount val="12"/>
                <c:pt idx="0">
                  <c:v>0.67515596330275229</c:v>
                </c:pt>
                <c:pt idx="1">
                  <c:v>0.16928571428571429</c:v>
                </c:pt>
                <c:pt idx="2">
                  <c:v>0.86897142857142851</c:v>
                </c:pt>
                <c:pt idx="3">
                  <c:v>0.34870000000000007</c:v>
                </c:pt>
                <c:pt idx="4">
                  <c:v>0.27728368794326241</c:v>
                </c:pt>
                <c:pt idx="5">
                  <c:v>0.62522695035460996</c:v>
                </c:pt>
                <c:pt idx="6">
                  <c:v>9.6250000000000002E-2</c:v>
                </c:pt>
                <c:pt idx="7">
                  <c:v>0.46508728179551123</c:v>
                </c:pt>
                <c:pt idx="8">
                  <c:v>0.1401</c:v>
                </c:pt>
                <c:pt idx="9">
                  <c:v>0.16937410071942446</c:v>
                </c:pt>
                <c:pt idx="10">
                  <c:v>0.19699999999999998</c:v>
                </c:pt>
                <c:pt idx="11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E-43C4-8CE6-7C8FCB452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中端</a:t>
            </a:r>
            <a:r>
              <a:rPr lang="zh-CN" sz="1800"/>
              <a:t>团队</a:t>
            </a:r>
            <a:r>
              <a:rPr lang="en-US" altLang="zh-CN" sz="1800"/>
              <a:t>memory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</a:t>
            </a:r>
            <a:r>
              <a:rPr lang="zh-CN" altLang="en-US" sz="1800"/>
              <a:t>中</a:t>
            </a:r>
            <a:r>
              <a:rPr lang="zh-CN" sz="1800"/>
              <a:t>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中端运行数据统计!$N$3:$N$14</c15:sqref>
                  </c15:fullRef>
                </c:ext>
              </c:extLst>
              <c:f>中端运行数据统计!$N$3:$N$7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中端运行数据统计!$P$3:$P$14</c15:sqref>
                  </c15:fullRef>
                </c:ext>
              </c:extLst>
              <c:f>中端运行数据统计!$P$3:$P$7</c:f>
              <c:numCache>
                <c:formatCode>0.00%</c:formatCode>
                <c:ptCount val="5"/>
                <c:pt idx="0">
                  <c:v>0.19536019536019536</c:v>
                </c:pt>
                <c:pt idx="1">
                  <c:v>0.61050061050061044</c:v>
                </c:pt>
                <c:pt idx="2">
                  <c:v>7.326007326007325E-2</c:v>
                </c:pt>
                <c:pt idx="3">
                  <c:v>3.6630036630036625E-2</c:v>
                </c:pt>
                <c:pt idx="4">
                  <c:v>4.884004884004884E-2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C-40EB-9771-FC2175B6D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中端</a:t>
            </a:r>
            <a:r>
              <a:rPr lang="zh-CN" sz="2000"/>
              <a:t>团队</a:t>
            </a:r>
            <a:r>
              <a:rPr lang="en-US" altLang="zh-CN" sz="2000"/>
              <a:t>memory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中端运行数据统计!$N$16:$N$27</c15:sqref>
                  </c15:fullRef>
                </c:ext>
              </c:extLst>
              <c:f>中端运行数据统计!$N$16:$N$20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中端运行数据统计!$P$16:$P$27</c15:sqref>
                  </c15:fullRef>
                </c:ext>
              </c:extLst>
              <c:f>中端运行数据统计!$P$16:$P$20</c:f>
              <c:numCache>
                <c:formatCode>0.00%</c:formatCode>
                <c:ptCount val="5"/>
                <c:pt idx="0">
                  <c:v>0.14899999999999999</c:v>
                </c:pt>
                <c:pt idx="1">
                  <c:v>0.38</c:v>
                </c:pt>
                <c:pt idx="2">
                  <c:v>0.35499999999999998</c:v>
                </c:pt>
                <c:pt idx="3">
                  <c:v>3.7999999999999999E-2</c:v>
                </c:pt>
                <c:pt idx="4">
                  <c:v>0.252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E7D-90A7-921B1A6D0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147917</xdr:colOff>
      <xdr:row>46</xdr:row>
      <xdr:rowOff>95623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B6CCF64-0BE0-0810-D130-10A823456AD7}"/>
            </a:ext>
          </a:extLst>
        </xdr:cNvPr>
        <xdr:cNvSpPr txBox="1"/>
      </xdr:nvSpPr>
      <xdr:spPr>
        <a:xfrm>
          <a:off x="6460564" y="10255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708210</xdr:colOff>
      <xdr:row>54</xdr:row>
      <xdr:rowOff>65741</xdr:rowOff>
    </xdr:from>
    <xdr:ext cx="860613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643814-0D24-C615-68E7-5C82E72FFB61}"/>
            </a:ext>
          </a:extLst>
        </xdr:cNvPr>
        <xdr:cNvSpPr txBox="1"/>
      </xdr:nvSpPr>
      <xdr:spPr>
        <a:xfrm>
          <a:off x="5048622" y="11831917"/>
          <a:ext cx="8606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751F9-538E-7B73-6AF8-446BE923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695C7-0822-2CEC-C78B-094CA2BD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CDAB11DD-4137-419B-AA0C-35E71FB1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5D83F24D-255E-4972-8F10-3006BD037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opLeftCell="A2" zoomScale="145" zoomScaleNormal="145" workbookViewId="0">
      <selection activeCell="P2" sqref="P2:U2"/>
    </sheetView>
  </sheetViews>
  <sheetFormatPr defaultRowHeight="14.25" x14ac:dyDescent="0.2"/>
  <cols>
    <col min="1" max="1" width="11.25" customWidth="1"/>
    <col min="2" max="2" width="22.5" customWidth="1"/>
    <col min="3" max="3" width="15.875" customWidth="1"/>
    <col min="4" max="4" width="8.125" customWidth="1"/>
    <col min="5" max="5" width="9.75" customWidth="1"/>
    <col min="6" max="6" width="6.75" customWidth="1"/>
    <col min="7" max="7" width="9.375" customWidth="1"/>
    <col min="8" max="8" width="6.5" customWidth="1"/>
    <col min="9" max="9" width="7.125" customWidth="1"/>
    <col min="10" max="10" width="14.875" customWidth="1"/>
    <col min="11" max="11" width="9" customWidth="1"/>
    <col min="12" max="15" width="8.875" customWidth="1"/>
    <col min="16" max="16" width="8.25" customWidth="1"/>
    <col min="17" max="17" width="6.125" customWidth="1"/>
    <col min="18" max="18" width="9.5" customWidth="1"/>
  </cols>
  <sheetData>
    <row r="1" spans="1:21" x14ac:dyDescent="0.2">
      <c r="A1" s="263" t="s">
        <v>0</v>
      </c>
      <c r="B1" s="266" t="s">
        <v>530</v>
      </c>
      <c r="C1" s="266" t="s">
        <v>531</v>
      </c>
      <c r="D1" s="303" t="s">
        <v>258</v>
      </c>
      <c r="E1" s="304"/>
      <c r="F1" s="304"/>
      <c r="G1" s="305"/>
      <c r="H1" s="310" t="s">
        <v>250</v>
      </c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2"/>
    </row>
    <row r="2" spans="1:21" x14ac:dyDescent="0.2">
      <c r="A2" s="264"/>
      <c r="B2" s="267"/>
      <c r="C2" s="267"/>
      <c r="D2" s="152" t="s">
        <v>160</v>
      </c>
      <c r="E2" s="153" t="s">
        <v>264</v>
      </c>
      <c r="F2" s="154" t="s">
        <v>246</v>
      </c>
      <c r="G2" s="205" t="s">
        <v>169</v>
      </c>
      <c r="H2" s="307" t="s">
        <v>252</v>
      </c>
      <c r="I2" s="308"/>
      <c r="J2" s="306" t="s">
        <v>544</v>
      </c>
      <c r="K2" s="307"/>
      <c r="L2" s="307"/>
      <c r="M2" s="307"/>
      <c r="N2" s="308"/>
      <c r="O2" s="249"/>
      <c r="P2" s="306" t="s">
        <v>545</v>
      </c>
      <c r="Q2" s="307"/>
      <c r="R2" s="307"/>
      <c r="S2" s="307"/>
      <c r="T2" s="307"/>
      <c r="U2" s="309"/>
    </row>
    <row r="3" spans="1:21" x14ac:dyDescent="0.2">
      <c r="A3" s="265"/>
      <c r="B3" s="268"/>
      <c r="C3" s="268"/>
      <c r="D3" s="199" t="s">
        <v>517</v>
      </c>
      <c r="E3" s="199" t="s">
        <v>518</v>
      </c>
      <c r="F3" s="199" t="s">
        <v>527</v>
      </c>
      <c r="G3" s="206" t="s">
        <v>528</v>
      </c>
      <c r="H3" s="213" t="s">
        <v>253</v>
      </c>
      <c r="I3" s="213" t="s">
        <v>254</v>
      </c>
      <c r="J3" s="151" t="s">
        <v>272</v>
      </c>
      <c r="K3" s="213" t="s">
        <v>259</v>
      </c>
      <c r="L3" s="213" t="s">
        <v>265</v>
      </c>
      <c r="M3" s="213" t="s">
        <v>266</v>
      </c>
      <c r="N3" s="213" t="s">
        <v>267</v>
      </c>
      <c r="O3" s="213" t="s">
        <v>542</v>
      </c>
      <c r="P3" s="213" t="s">
        <v>272</v>
      </c>
      <c r="Q3" s="213" t="s">
        <v>259</v>
      </c>
      <c r="R3" s="213" t="s">
        <v>265</v>
      </c>
      <c r="S3" s="213" t="s">
        <v>266</v>
      </c>
      <c r="T3" s="213" t="s">
        <v>267</v>
      </c>
      <c r="U3" s="214" t="s">
        <v>542</v>
      </c>
    </row>
    <row r="4" spans="1:21" x14ac:dyDescent="0.2">
      <c r="A4" s="273" t="s">
        <v>21</v>
      </c>
      <c r="B4" s="172" t="s">
        <v>21</v>
      </c>
      <c r="C4" s="157" t="s">
        <v>85</v>
      </c>
      <c r="D4" s="223">
        <f ca="1">IF(H4="-",0,H4)*$C$30/10000</f>
        <v>3.4152999999999998</v>
      </c>
      <c r="E4" s="223">
        <f ca="1">(IF(K4="-",0,K4)*$D$40+IF(L4="-",0,L4)*$G$40+IF(M4="-",0,M4)*$J$40+IF(N4="-",0,N4)*$M$40)/($D$40+$G$40+$J$40+$M$40)*$C$40</f>
        <v>42.238828242743324</v>
      </c>
      <c r="F4" s="224" t="s">
        <v>520</v>
      </c>
      <c r="G4" s="225">
        <f ca="1">SUM(D4,E4,IF(F4="-",0,F4))</f>
        <v>45.654128242743326</v>
      </c>
      <c r="H4" s="226" cm="1">
        <f t="array" aca="1" ref="H4" ca="1">INDIRECT("磁盘统计！F3")</f>
        <v>41</v>
      </c>
      <c r="I4" s="227" cm="1">
        <f t="array" aca="1" ref="I4" ca="1">INDIRECT("磁盘统计！L3")</f>
        <v>0</v>
      </c>
      <c r="J4" s="243" t="s">
        <v>525</v>
      </c>
      <c r="K4" s="238" cm="1">
        <f t="array" aca="1" ref="K4" ca="1">INDIRECT("前端运行数据统计!Q" &amp; ROW(Q3))/MAX(INDIRECT("前端运行数据统计！Q60"),1)</f>
        <v>0.71682765632943568</v>
      </c>
      <c r="L4" s="238" cm="1">
        <f t="array" aca="1" ref="L4" ca="1">INDIRECT("前端运行数据统计!R" &amp; ROW(R3))/MAX(INDIRECT("前端运行数据统计！R60"),1)</f>
        <v>0.72553257178141406</v>
      </c>
      <c r="M4" s="238" cm="1">
        <f t="array" aca="1" ref="M4" ca="1">INDIRECT("前端运行数据统计!S" &amp; ROW(S3))/MAX(INDIRECT("前端运行数据统计！S60"),1)</f>
        <v>0.62136586478166689</v>
      </c>
      <c r="N4" s="238" cm="1">
        <f t="array" aca="1" ref="N4" ca="1">INDIRECT("前端运行数据统计!T" &amp; ROW(U3))/MAX(INDIRECT("前端运行数据统计！T60"),1)</f>
        <v>0.68631154766402214</v>
      </c>
      <c r="O4" s="238" t="e" cm="1">
        <f t="array" aca="1" ref="O4" ca="1">INDIRECT("前端运行数据统计!U" &amp; ROW(V3))/MAX(INDIRECT("前端运行数据统计！U60"),1)</f>
        <v>#DIV/0!</v>
      </c>
      <c r="P4" s="158"/>
      <c r="Q4" s="238"/>
      <c r="R4" s="238"/>
      <c r="S4" s="238"/>
      <c r="T4" s="238"/>
      <c r="U4" s="251"/>
    </row>
    <row r="5" spans="1:21" x14ac:dyDescent="0.2">
      <c r="A5" s="274"/>
      <c r="B5" s="145" t="s">
        <v>22</v>
      </c>
      <c r="C5" s="144" t="s">
        <v>103</v>
      </c>
      <c r="D5" s="223">
        <f ca="1">IF(H5="-",0,H5)*$C$30/10000</f>
        <v>0.99960000000000004</v>
      </c>
      <c r="E5" s="223">
        <f t="shared" ref="E5:E18" ca="1" si="0">(IF(K5="-",0,K5)*$D$40+IF(L5="-",0,L5)*$G$40+IF(M5="-",0,M5)*$J$40+IF(N5="-",0,N5)*$M$40)/($D$40+$G$40+$J$40+$M$40)*$C$40</f>
        <v>2.3655056100626242</v>
      </c>
      <c r="F5" s="228" t="s">
        <v>520</v>
      </c>
      <c r="G5" s="229">
        <f t="shared" ref="G5:G25" ca="1" si="1">SUM(D5,E5,F5)</f>
        <v>3.3651056100626242</v>
      </c>
      <c r="H5" s="226" cm="1">
        <f t="array" aca="1" ref="H5" ca="1">INDIRECT("磁盘统计！F7")</f>
        <v>12</v>
      </c>
      <c r="I5" s="227" cm="1">
        <f t="array" aca="1" ref="I5" ca="1">INDIRECT("磁盘统计！L7")</f>
        <v>0</v>
      </c>
      <c r="J5" s="243" t="s">
        <v>525</v>
      </c>
      <c r="K5" s="238" cm="1">
        <f t="array" aca="1" ref="K5" ca="1">INDIRECT("前端运行数据统计!Q" &amp; ROW(Q4))/MAX(INDIRECT("前端运行数据统计！Q60"),1)</f>
        <v>3.5587188612099648E-2</v>
      </c>
      <c r="L5" s="238" cm="1">
        <f t="array" aca="1" ref="L5" ca="1">INDIRECT("前端运行数据统计!R" &amp; ROW(R4))/MAX(INDIRECT("前端运行数据统计！R60"),1)</f>
        <v>3.6019347535247506E-2</v>
      </c>
      <c r="M5" s="238" cm="1">
        <f t="array" aca="1" ref="M5" ca="1">INDIRECT("前端运行数据统计!S" &amp; ROW(S4))/MAX(INDIRECT("前端运行数据统计！S60"),1)</f>
        <v>3.9904229848363927E-2</v>
      </c>
      <c r="N5" s="238" cm="1">
        <f t="array" aca="1" ref="N5" ca="1">INDIRECT("前端运行数据统计!T" &amp; ROW(U4))/MAX(INDIRECT("前端运行数据统计！T60"),1)</f>
        <v>4.4075053519707842E-2</v>
      </c>
      <c r="O5" s="238" t="e" cm="1">
        <f t="array" aca="1" ref="O5" ca="1">INDIRECT("前端运行数据统计!U" &amp; ROW(V4))/MAX(INDIRECT("前端运行数据统计！U60"),1)</f>
        <v>#DIV/0!</v>
      </c>
      <c r="P5" s="142"/>
      <c r="Q5" s="238"/>
      <c r="R5" s="238"/>
      <c r="S5" s="238"/>
      <c r="T5" s="238"/>
      <c r="U5" s="252"/>
    </row>
    <row r="6" spans="1:21" x14ac:dyDescent="0.2">
      <c r="A6" s="173" t="s">
        <v>158</v>
      </c>
      <c r="B6" s="174" t="s">
        <v>158</v>
      </c>
      <c r="C6" s="146" t="s">
        <v>45</v>
      </c>
      <c r="D6" s="223">
        <f t="shared" ref="D6:D25" ca="1" si="2">IF(H6="-",0,H6)*$C$30/10000</f>
        <v>2.4157000000000002</v>
      </c>
      <c r="E6" s="223">
        <f t="shared" ca="1" si="0"/>
        <v>0.84464672103087823</v>
      </c>
      <c r="F6" s="228" t="s">
        <v>520</v>
      </c>
      <c r="G6" s="229">
        <f t="shared" ca="1" si="1"/>
        <v>3.2603467210308783</v>
      </c>
      <c r="H6" s="226" cm="1">
        <f t="array" aca="1" ref="H6" ca="1">INDIRECT("磁盘统计！F9")</f>
        <v>29</v>
      </c>
      <c r="I6" s="227" cm="1">
        <f t="array" aca="1" ref="I6" ca="1">INDIRECT("磁盘统计！L9")</f>
        <v>0</v>
      </c>
      <c r="J6" s="243" t="s">
        <v>525</v>
      </c>
      <c r="K6" s="238" cm="1">
        <f t="array" aca="1" ref="K6" ca="1">INDIRECT("前端运行数据统计!Q" &amp; ROW(Q5))/MAX(INDIRECT("前端运行数据统计！Q60"),1)</f>
        <v>5.0838840874428059E-3</v>
      </c>
      <c r="L6" s="238" cm="1">
        <f t="array" aca="1" ref="L6" ca="1">INDIRECT("前端运行数据统计!R" &amp; ROW(R5))/MAX(INDIRECT("前端运行数据统计！R60"),1)</f>
        <v>1.0291242152927859E-2</v>
      </c>
      <c r="M6" s="238" cm="1">
        <f t="array" aca="1" ref="M6" ca="1">INDIRECT("前端运行数据统计!S" &amp; ROW(S5))/MAX(INDIRECT("前端运行数据统计！S60"),1)</f>
        <v>1.9952114924181964E-2</v>
      </c>
      <c r="N6" s="238" cm="1">
        <f t="array" aca="1" ref="N6" ca="1">INDIRECT("前端运行数据统计!T" &amp; ROW(U5))/MAX(INDIRECT("前端运行数据统计！T60"),1)</f>
        <v>2.2037526759853921E-2</v>
      </c>
      <c r="O6" s="238" t="e" cm="1">
        <f t="array" aca="1" ref="O6" ca="1">INDIRECT("前端运行数据统计!U" &amp; ROW(V5))/MAX(INDIRECT("前端运行数据统计！U60"),1)</f>
        <v>#DIV/0!</v>
      </c>
      <c r="P6" s="142"/>
      <c r="Q6" s="238"/>
      <c r="R6" s="238"/>
      <c r="S6" s="238"/>
      <c r="T6" s="238"/>
      <c r="U6" s="252"/>
    </row>
    <row r="7" spans="1:21" x14ac:dyDescent="0.2">
      <c r="A7" s="275" t="s">
        <v>17</v>
      </c>
      <c r="B7" s="174" t="s">
        <v>6</v>
      </c>
      <c r="C7" s="144" t="s">
        <v>132</v>
      </c>
      <c r="D7" s="223">
        <f t="shared" ca="1" si="2"/>
        <v>4.3315999999999999</v>
      </c>
      <c r="E7" s="223">
        <f t="shared" ca="1" si="0"/>
        <v>2.5547577356380136</v>
      </c>
      <c r="F7" s="228" t="s">
        <v>520</v>
      </c>
      <c r="G7" s="229">
        <f t="shared" ca="1" si="1"/>
        <v>6.886357735638013</v>
      </c>
      <c r="H7" s="226" cm="1">
        <f t="array" aca="1" ref="H7" ca="1">INDIRECT("磁盘统计！F15")</f>
        <v>52</v>
      </c>
      <c r="I7" s="227" cm="1">
        <f t="array" aca="1" ref="I7" ca="1">INDIRECT("磁盘统计！L15")</f>
        <v>8.1999999999999993</v>
      </c>
      <c r="J7" s="243" t="s">
        <v>525</v>
      </c>
      <c r="K7" s="238" cm="1">
        <f t="array" aca="1" ref="K7" ca="1">INDIRECT("前端运行数据统计!Q" &amp; ROW(Q6))/MAX(INDIRECT("前端运行数据统计！Q60"),1)</f>
        <v>2.2877478393492627E-2</v>
      </c>
      <c r="L7" s="238" cm="1">
        <f t="array" aca="1" ref="L7" ca="1">INDIRECT("前端运行数据统计!R" &amp; ROW(R6))/MAX(INDIRECT("前端运行数据统计！R60"),1)</f>
        <v>5.660183184110322E-2</v>
      </c>
      <c r="M7" s="238" cm="1">
        <f t="array" aca="1" ref="M7" ca="1">INDIRECT("前端运行数据统计!S" &amp; ROW(S6))/MAX(INDIRECT("前端运行数据统计！S60"),1)</f>
        <v>6.2706646904571881E-2</v>
      </c>
      <c r="N7" s="238" cm="1">
        <f t="array" aca="1" ref="N7" ca="1">INDIRECT("前端运行数据统计!T" &amp; ROW(U6))/MAX(INDIRECT("前端运行数据统计！T60"),1)</f>
        <v>2.5185744868404483E-2</v>
      </c>
      <c r="O7" s="238" t="e" cm="1">
        <f t="array" aca="1" ref="O7" ca="1">INDIRECT("前端运行数据统计!U" &amp; ROW(V6))/MAX(INDIRECT("前端运行数据统计！U60"),1)</f>
        <v>#DIV/0!</v>
      </c>
      <c r="P7" s="142"/>
      <c r="Q7" s="238"/>
      <c r="R7" s="238"/>
      <c r="S7" s="238"/>
      <c r="T7" s="238"/>
      <c r="U7" s="252"/>
    </row>
    <row r="8" spans="1:21" x14ac:dyDescent="0.2">
      <c r="A8" s="273"/>
      <c r="B8" s="174" t="s">
        <v>23</v>
      </c>
      <c r="C8" s="144" t="s">
        <v>80</v>
      </c>
      <c r="D8" s="223">
        <f t="shared" ca="1" si="2"/>
        <v>0.87465000000000004</v>
      </c>
      <c r="E8" s="223">
        <f t="shared" ca="1" si="0"/>
        <v>1.9059216629647426</v>
      </c>
      <c r="F8" s="228" t="s">
        <v>520</v>
      </c>
      <c r="G8" s="229">
        <f t="shared" ca="1" si="1"/>
        <v>2.7805716629647428</v>
      </c>
      <c r="H8" s="226" cm="1">
        <f t="array" aca="1" ref="H8" ca="1">INDIRECT("磁盘统计！F22")</f>
        <v>10.5</v>
      </c>
      <c r="I8" s="227" cm="1">
        <f t="array" aca="1" ref="I8" ca="1">INDIRECT("磁盘统计！L22")</f>
        <v>0</v>
      </c>
      <c r="J8" s="243" t="s">
        <v>525</v>
      </c>
      <c r="K8" s="238" cm="1">
        <f t="array" aca="1" ref="K8" ca="1">INDIRECT("前端运行数据统计!Q" &amp; ROW(Q7))/MAX(INDIRECT("前端运行数据统计！Q60"),1)</f>
        <v>2.8673106253177427E-2</v>
      </c>
      <c r="L8" s="238" cm="1">
        <f t="array" aca="1" ref="L8" ca="1">INDIRECT("前端运行数据统计!R" &amp; ROW(R7))/MAX(INDIRECT("前端运行数据统计！R60"),1)</f>
        <v>2.9021302871256562E-2</v>
      </c>
      <c r="M8" s="238" cm="1">
        <f t="array" aca="1" ref="M8" ca="1">INDIRECT("前端运行数据统计!S" &amp; ROW(S7))/MAX(INDIRECT("前端运行数据统计！S60"),1)</f>
        <v>3.2151408049253219E-2</v>
      </c>
      <c r="N8" s="238" cm="1">
        <f t="array" aca="1" ref="N8" ca="1">INDIRECT("前端运行数据统计!T" &amp; ROW(U7))/MAX(INDIRECT("前端运行数据统计！T60"),1)</f>
        <v>3.5511900264450322E-2</v>
      </c>
      <c r="O8" s="238" t="e" cm="1">
        <f t="array" aca="1" ref="O8" ca="1">INDIRECT("前端运行数据统计!U" &amp; ROW(V7))/MAX(INDIRECT("前端运行数据统计！U60"),1)</f>
        <v>#DIV/0!</v>
      </c>
      <c r="P8" s="142"/>
      <c r="Q8" s="238"/>
      <c r="R8" s="238"/>
      <c r="S8" s="238"/>
      <c r="T8" s="238"/>
      <c r="U8" s="252"/>
    </row>
    <row r="9" spans="1:21" x14ac:dyDescent="0.2">
      <c r="A9" s="273"/>
      <c r="B9" s="174" t="s">
        <v>19</v>
      </c>
      <c r="C9" s="144" t="s">
        <v>136</v>
      </c>
      <c r="D9" s="223">
        <f t="shared" ca="1" si="2"/>
        <v>1.54105</v>
      </c>
      <c r="E9" s="223">
        <f t="shared" ca="1" si="0"/>
        <v>0.7371598684476266</v>
      </c>
      <c r="F9" s="228" t="s">
        <v>520</v>
      </c>
      <c r="G9" s="229">
        <f t="shared" ca="1" si="1"/>
        <v>2.2782098684476266</v>
      </c>
      <c r="H9" s="226" cm="1">
        <f t="array" aca="1" ref="H9" ca="1">INDIRECT("磁盘统计！F25")</f>
        <v>18.5</v>
      </c>
      <c r="I9" s="227" cm="1">
        <f t="array" aca="1" ref="I9" ca="1">INDIRECT("磁盘统计！L25")</f>
        <v>0</v>
      </c>
      <c r="J9" s="243" t="s">
        <v>525</v>
      </c>
      <c r="K9" s="238" cm="1">
        <f t="array" aca="1" ref="K9" ca="1">INDIRECT("前端运行数据统计!Q" &amp; ROW(Q8))/MAX(INDIRECT("前端运行数据统计！Q60"),1)</f>
        <v>3.2536858159633959E-3</v>
      </c>
      <c r="L9" s="238" cm="1">
        <f t="array" aca="1" ref="L9" ca="1">INDIRECT("前端运行数据统计!R" &amp; ROW(R8))/MAX(INDIRECT("前端运行数据统计！R60"),1)</f>
        <v>8.4388185654008432E-3</v>
      </c>
      <c r="M9" s="238" cm="1">
        <f t="array" aca="1" ref="M9" ca="1">INDIRECT("前端运行数据统计!S" &amp; ROW(S8))/MAX(INDIRECT("前端运行数据统计！S60"),1)</f>
        <v>3.6483867289932733E-3</v>
      </c>
      <c r="N9" s="238" cm="1">
        <f t="array" aca="1" ref="N9" ca="1">INDIRECT("前端运行数据统计!T" &amp; ROW(U8))/MAX(INDIRECT("前端运行数据统计！T60"),1)</f>
        <v>3.5511900264450322E-2</v>
      </c>
      <c r="O9" s="238" t="e" cm="1">
        <f t="array" aca="1" ref="O9" ca="1">INDIRECT("前端运行数据统计!U" &amp; ROW(V8))/MAX(INDIRECT("前端运行数据统计！U60"),1)</f>
        <v>#DIV/0!</v>
      </c>
      <c r="P9" s="142"/>
      <c r="Q9" s="238"/>
      <c r="R9" s="238"/>
      <c r="S9" s="238"/>
      <c r="T9" s="238"/>
      <c r="U9" s="252"/>
    </row>
    <row r="10" spans="1:21" ht="28.5" x14ac:dyDescent="0.2">
      <c r="A10" s="273"/>
      <c r="B10" s="145" t="s">
        <v>18</v>
      </c>
      <c r="C10" s="144" t="s">
        <v>133</v>
      </c>
      <c r="D10" s="223">
        <f t="shared" ca="1" si="2"/>
        <v>0.9163</v>
      </c>
      <c r="E10" s="223">
        <f t="shared" ca="1" si="0"/>
        <v>1.3517174914643566</v>
      </c>
      <c r="F10" s="228" t="s">
        <v>520</v>
      </c>
      <c r="G10" s="229">
        <f t="shared" ca="1" si="1"/>
        <v>2.2680174914643567</v>
      </c>
      <c r="H10" s="226" cm="1">
        <f t="array" aca="1" ref="H10" ca="1">INDIRECT("磁盘统计！F27")</f>
        <v>11</v>
      </c>
      <c r="I10" s="227" cm="1">
        <f t="array" aca="1" ref="I10" ca="1">INDIRECT("磁盘统计！L27")</f>
        <v>0</v>
      </c>
      <c r="J10" s="243" t="s">
        <v>525</v>
      </c>
      <c r="K10" s="238" cm="1">
        <f t="array" aca="1" ref="K10" ca="1">INDIRECT("前端运行数据统计!Q" &amp; ROW(Q9))/MAX(INDIRECT("前端运行数据统计！Q60"),1)</f>
        <v>2.0335536349771224E-2</v>
      </c>
      <c r="L10" s="238" cm="1">
        <f t="array" aca="1" ref="L10" ca="1">INDIRECT("前端运行数据统计!R" &amp; ROW(R9))/MAX(INDIRECT("前端运行数据统计！R60"),1)</f>
        <v>2.0582484305855717E-2</v>
      </c>
      <c r="M10" s="238" cm="1">
        <f t="array" aca="1" ref="M10" ca="1">INDIRECT("前端运行数据统计!S" &amp; ROW(S9))/MAX(INDIRECT("前端运行数据统计！S60"),1)</f>
        <v>2.2802417056207957E-2</v>
      </c>
      <c r="N10" s="238" cm="1">
        <f t="array" aca="1" ref="N10" ca="1">INDIRECT("前端运行数据统计!T" &amp; ROW(U9))/MAX(INDIRECT("前端运行数据统计！T60"),1)</f>
        <v>2.5185744868404483E-2</v>
      </c>
      <c r="O10" s="238" t="e" cm="1">
        <f t="array" aca="1" ref="O10" ca="1">INDIRECT("前端运行数据统计!U" &amp; ROW(V9))/MAX(INDIRECT("前端运行数据统计！U60"),1)</f>
        <v>#DIV/0!</v>
      </c>
      <c r="P10" s="142"/>
      <c r="Q10" s="238"/>
      <c r="R10" s="238"/>
      <c r="S10" s="238"/>
      <c r="T10" s="238"/>
      <c r="U10" s="252"/>
    </row>
    <row r="11" spans="1:21" x14ac:dyDescent="0.2">
      <c r="A11" s="273"/>
      <c r="B11" s="174" t="s">
        <v>159</v>
      </c>
      <c r="C11" s="144" t="s">
        <v>59</v>
      </c>
      <c r="D11" s="223">
        <f t="shared" ca="1" si="2"/>
        <v>0.1666</v>
      </c>
      <c r="E11" s="223">
        <f t="shared" ca="1" si="0"/>
        <v>1.2313341917631264</v>
      </c>
      <c r="F11" s="228" t="s">
        <v>520</v>
      </c>
      <c r="G11" s="229">
        <f t="shared" ca="1" si="1"/>
        <v>1.3979341917631265</v>
      </c>
      <c r="H11" s="226" cm="1">
        <f t="array" aca="1" ref="H11" ca="1">INDIRECT("磁盘统计！F30")</f>
        <v>2</v>
      </c>
      <c r="I11" s="227" cm="1">
        <f t="array" aca="1" ref="I11" ca="1">INDIRECT("磁盘统计！L30")</f>
        <v>0</v>
      </c>
      <c r="J11" s="243" t="s">
        <v>525</v>
      </c>
      <c r="K11" s="238" cm="1">
        <f t="array" aca="1" ref="K11" ca="1">INDIRECT("前端运行数据统计!Q" &amp; ROW(Q10))/MAX(INDIRECT("前端运行数据统计！Q60"),1)</f>
        <v>1.2963904422979155E-2</v>
      </c>
      <c r="L11" s="238" cm="1">
        <f t="array" aca="1" ref="L11" ca="1">INDIRECT("前端运行数据统计!R" &amp; ROW(R10))/MAX(INDIRECT("前端运行数据统计！R60"),1)</f>
        <v>2.0633940516620358E-2</v>
      </c>
      <c r="M11" s="238" cm="1">
        <f t="array" aca="1" ref="M11" ca="1">INDIRECT("前端运行数据统计!S" &amp; ROW(S10))/MAX(INDIRECT("前端运行数据统计！S60"),1)</f>
        <v>2.2859423098848478E-2</v>
      </c>
      <c r="N11" s="238" cm="1">
        <f t="array" aca="1" ref="N11" ca="1">INDIRECT("前端运行数据统计!T" &amp; ROW(U10))/MAX(INDIRECT("前端运行数据统计！T60"),1)</f>
        <v>2.5248709230575494E-2</v>
      </c>
      <c r="O11" s="238" t="e" cm="1">
        <f t="array" aca="1" ref="O11" ca="1">INDIRECT("前端运行数据统计!U" &amp; ROW(V10))/MAX(INDIRECT("前端运行数据统计！U60"),1)</f>
        <v>#DIV/0!</v>
      </c>
      <c r="P11" s="142"/>
      <c r="Q11" s="238"/>
      <c r="R11" s="238"/>
      <c r="S11" s="238"/>
      <c r="T11" s="238"/>
      <c r="U11" s="252"/>
    </row>
    <row r="12" spans="1:21" x14ac:dyDescent="0.2">
      <c r="A12" s="274"/>
      <c r="B12" s="174" t="s">
        <v>20</v>
      </c>
      <c r="C12" s="144" t="s">
        <v>52</v>
      </c>
      <c r="D12" s="223">
        <f t="shared" ca="1" si="2"/>
        <v>0.83299999999999996</v>
      </c>
      <c r="E12" s="223">
        <f t="shared" ca="1" si="0"/>
        <v>1.6896468643304454</v>
      </c>
      <c r="F12" s="228" t="s">
        <v>520</v>
      </c>
      <c r="G12" s="229">
        <f t="shared" ca="1" si="1"/>
        <v>2.5226468643304454</v>
      </c>
      <c r="H12" s="226" cm="1">
        <f t="array" aca="1" ref="H12" ca="1">INDIRECT("磁盘统计！F31")</f>
        <v>10</v>
      </c>
      <c r="I12" s="227" cm="1">
        <f t="array" aca="1" ref="I12" ca="1">INDIRECT("磁盘统计！L31")</f>
        <v>1</v>
      </c>
      <c r="J12" s="243" t="s">
        <v>525</v>
      </c>
      <c r="K12" s="238" cm="1">
        <f t="array" aca="1" ref="K12" ca="1">INDIRECT("前端运行数据统计!Q" &amp; ROW(Q11))/MAX(INDIRECT("前端运行数据统计！Q60"),1)</f>
        <v>2.541942043721403E-2</v>
      </c>
      <c r="L12" s="238" cm="1">
        <f t="array" aca="1" ref="L12" ca="1">INDIRECT("前端运行数据统计!R" &amp; ROW(R11))/MAX(INDIRECT("前端运行数据统计！R60"),1)</f>
        <v>2.5728105382319646E-2</v>
      </c>
      <c r="M12" s="238" cm="1">
        <f t="array" aca="1" ref="M12" ca="1">INDIRECT("前端运行数据统计!S" &amp; ROW(S11))/MAX(INDIRECT("前端运行数据统计！S60"),1)</f>
        <v>2.8503021320259947E-2</v>
      </c>
      <c r="N12" s="238" cm="1">
        <f t="array" aca="1" ref="N12" ca="1">INDIRECT("前端运行数据统计!T" &amp; ROW(U11))/MAX(INDIRECT("前端运行数据统计！T60"),1)</f>
        <v>3.1482181085505601E-2</v>
      </c>
      <c r="O12" s="238" t="e" cm="1">
        <f t="array" aca="1" ref="O12" ca="1">INDIRECT("前端运行数据统计!U" &amp; ROW(V11))/MAX(INDIRECT("前端运行数据统计！U60"),1)</f>
        <v>#DIV/0!</v>
      </c>
      <c r="P12" s="142"/>
      <c r="Q12" s="238"/>
      <c r="R12" s="238"/>
      <c r="S12" s="238"/>
      <c r="T12" s="238"/>
      <c r="U12" s="252"/>
    </row>
    <row r="13" spans="1:21" ht="22.5" customHeight="1" x14ac:dyDescent="0.2">
      <c r="A13" s="173" t="s">
        <v>84</v>
      </c>
      <c r="B13" s="174" t="s">
        <v>84</v>
      </c>
      <c r="C13" s="144" t="s">
        <v>134</v>
      </c>
      <c r="D13" s="223">
        <f t="shared" ca="1" si="2"/>
        <v>4.3315999999999999</v>
      </c>
      <c r="E13" s="223">
        <f t="shared" ca="1" si="0"/>
        <v>1.8788873131354555</v>
      </c>
      <c r="F13" s="228" t="s">
        <v>520</v>
      </c>
      <c r="G13" s="229">
        <f t="shared" ca="1" si="1"/>
        <v>6.2104873131354559</v>
      </c>
      <c r="H13" s="226" cm="1">
        <f t="array" aca="1" ref="H13" ca="1">INDIRECT("磁盘统计！F33")</f>
        <v>52</v>
      </c>
      <c r="I13" s="227" cm="1">
        <f t="array" aca="1" ref="I13" ca="1">INDIRECT("磁盘统计！L33")</f>
        <v>0</v>
      </c>
      <c r="J13" s="243" t="s">
        <v>525</v>
      </c>
      <c r="K13" s="238" cm="1">
        <f t="array" aca="1" ref="K13" ca="1">INDIRECT("前端运行数据统计!Q" &amp; ROW(Q12))/MAX(INDIRECT("前端运行数据统计！Q60"),1)</f>
        <v>2.8266395526182004E-2</v>
      </c>
      <c r="L13" s="238" cm="1">
        <f t="array" aca="1" ref="L13" ca="1">INDIRECT("前端运行数据统计!R" &amp; ROW(R12))/MAX(INDIRECT("前端运行数据统计！R60"),1)</f>
        <v>2.8609653185139448E-2</v>
      </c>
      <c r="M13" s="238" cm="1">
        <f t="array" aca="1" ref="M13" ca="1">INDIRECT("前端运行数据统计!S" &amp; ROW(S12))/MAX(INDIRECT("前端运行数据统计！S60"),1)</f>
        <v>3.1695359708129062E-2</v>
      </c>
      <c r="N13" s="238" cm="1">
        <f t="array" aca="1" ref="N13" ca="1">INDIRECT("前端运行数据统计!T" &amp; ROW(U12))/MAX(INDIRECT("前端运行数据统计！T60"),1)</f>
        <v>3.500818536708223E-2</v>
      </c>
      <c r="O13" s="238" t="e" cm="1">
        <f t="array" aca="1" ref="O13" ca="1">INDIRECT("前端运行数据统计!U" &amp; ROW(V12))/MAX(INDIRECT("前端运行数据统计！U60"),1)</f>
        <v>#DIV/0!</v>
      </c>
      <c r="P13" s="142"/>
      <c r="Q13" s="238"/>
      <c r="R13" s="238"/>
      <c r="S13" s="238"/>
      <c r="T13" s="238"/>
      <c r="U13" s="252"/>
    </row>
    <row r="14" spans="1:21" ht="15" customHeight="1" x14ac:dyDescent="0.2">
      <c r="A14" s="275" t="s">
        <v>13</v>
      </c>
      <c r="B14" s="174" t="s">
        <v>14</v>
      </c>
      <c r="C14" s="147" t="s">
        <v>126</v>
      </c>
      <c r="D14" s="223">
        <f t="shared" ca="1" si="2"/>
        <v>0.9163</v>
      </c>
      <c r="E14" s="223">
        <f t="shared" ca="1" si="0"/>
        <v>0.33792937286608915</v>
      </c>
      <c r="F14" s="228" t="s">
        <v>520</v>
      </c>
      <c r="G14" s="229">
        <f t="shared" ca="1" si="1"/>
        <v>1.2542293728660892</v>
      </c>
      <c r="H14" s="226" cm="1">
        <f t="array" aca="1" ref="H14" ca="1">INDIRECT("磁盘统计！F38")</f>
        <v>11</v>
      </c>
      <c r="I14" s="227" cm="1">
        <f t="array" aca="1" ref="I14" ca="1">INDIRECT("磁盘统计！L38")</f>
        <v>0</v>
      </c>
      <c r="J14" s="243" t="s">
        <v>525</v>
      </c>
      <c r="K14" s="238" cm="1">
        <f t="array" aca="1" ref="K14" ca="1">INDIRECT("前端运行数据统计!Q" &amp; ROW(Q13))/MAX(INDIRECT("前端运行数据统计！Q60"),1)</f>
        <v>5.0838840874428059E-3</v>
      </c>
      <c r="L14" s="238" cm="1">
        <f t="array" aca="1" ref="L14" ca="1">INDIRECT("前端运行数据统计!R" &amp; ROW(R13))/MAX(INDIRECT("前端运行数据统计！R60"),1)</f>
        <v>5.1456210764639293E-3</v>
      </c>
      <c r="M14" s="238" cm="1">
        <f t="array" aca="1" ref="M14" ca="1">INDIRECT("前端运行数据统计!S" &amp; ROW(S13))/MAX(INDIRECT("前端运行数据统计！S60"),1)</f>
        <v>5.7006042640519892E-3</v>
      </c>
      <c r="N14" s="238" cm="1">
        <f t="array" aca="1" ref="N14" ca="1">INDIRECT("前端运行数据统计!T" &amp; ROW(U13))/MAX(INDIRECT("前端运行数据统计！T60"),1)</f>
        <v>6.2964362171011208E-3</v>
      </c>
      <c r="O14" s="238" t="e" cm="1">
        <f t="array" aca="1" ref="O14" ca="1">INDIRECT("前端运行数据统计!U" &amp; ROW(V13))/MAX(INDIRECT("前端运行数据统计！U60"),1)</f>
        <v>#DIV/0!</v>
      </c>
      <c r="P14" s="142"/>
      <c r="Q14" s="238"/>
      <c r="R14" s="238"/>
      <c r="S14" s="238"/>
      <c r="T14" s="238"/>
      <c r="U14" s="252"/>
    </row>
    <row r="15" spans="1:21" ht="15" customHeight="1" x14ac:dyDescent="0.2">
      <c r="A15" s="273"/>
      <c r="B15" s="174" t="s">
        <v>114</v>
      </c>
      <c r="C15" s="144" t="s">
        <v>115</v>
      </c>
      <c r="D15" s="223">
        <f t="shared" ca="1" si="2"/>
        <v>0</v>
      </c>
      <c r="E15" s="223">
        <f t="shared" ca="1" si="0"/>
        <v>0.33792937286608915</v>
      </c>
      <c r="F15" s="228" t="s">
        <v>520</v>
      </c>
      <c r="G15" s="229">
        <f t="shared" ca="1" si="1"/>
        <v>0.33792937286608915</v>
      </c>
      <c r="H15" s="226" cm="1">
        <f t="array" aca="1" ref="H15" ca="1">INDIRECT("磁盘统计！F40")</f>
        <v>0</v>
      </c>
      <c r="I15" s="227" cm="1">
        <f t="array" aca="1" ref="I15" ca="1">INDIRECT("磁盘统计！L40")</f>
        <v>0</v>
      </c>
      <c r="J15" s="243" t="s">
        <v>525</v>
      </c>
      <c r="K15" s="238" cm="1">
        <f t="array" aca="1" ref="K15" ca="1">INDIRECT("前端运行数据统计!Q" &amp; ROW(Q14))/MAX(INDIRECT("前端运行数据统计！Q60"),1)</f>
        <v>5.0838840874428059E-3</v>
      </c>
      <c r="L15" s="238" cm="1">
        <f t="array" aca="1" ref="L15" ca="1">INDIRECT("前端运行数据统计!R" &amp; ROW(R14))/MAX(INDIRECT("前端运行数据统计！R60"),1)</f>
        <v>5.1456210764639293E-3</v>
      </c>
      <c r="M15" s="238" cm="1">
        <f t="array" aca="1" ref="M15" ca="1">INDIRECT("前端运行数据统计!S" &amp; ROW(S14))/MAX(INDIRECT("前端运行数据统计！S60"),1)</f>
        <v>5.7006042640519892E-3</v>
      </c>
      <c r="N15" s="238" cm="1">
        <f t="array" aca="1" ref="N15" ca="1">INDIRECT("前端运行数据统计!T" &amp; ROW(U14))/MAX(INDIRECT("前端运行数据统计！T60"),1)</f>
        <v>6.2964362171011208E-3</v>
      </c>
      <c r="O15" s="238" t="e" cm="1">
        <f t="array" aca="1" ref="O15" ca="1">INDIRECT("前端运行数据统计!U" &amp; ROW(V14))/MAX(INDIRECT("前端运行数据统计！U60"),1)</f>
        <v>#DIV/0!</v>
      </c>
      <c r="P15" s="142"/>
      <c r="Q15" s="238"/>
      <c r="R15" s="238"/>
      <c r="S15" s="238"/>
      <c r="T15" s="238"/>
      <c r="U15" s="252"/>
    </row>
    <row r="16" spans="1:21" ht="15" customHeight="1" x14ac:dyDescent="0.2">
      <c r="A16" s="269"/>
      <c r="B16" s="174" t="s">
        <v>356</v>
      </c>
      <c r="C16" s="144" t="s">
        <v>513</v>
      </c>
      <c r="D16" s="223">
        <f t="shared" ca="1" si="2"/>
        <v>0.37485000000000002</v>
      </c>
      <c r="E16" s="223">
        <f t="shared" ca="1" si="0"/>
        <v>0</v>
      </c>
      <c r="F16" s="228" t="s">
        <v>520</v>
      </c>
      <c r="G16" s="229">
        <f t="shared" ca="1" si="1"/>
        <v>0.37485000000000002</v>
      </c>
      <c r="H16" s="226" cm="1">
        <f t="array" aca="1" ref="H16" ca="1">INDIRECT("磁盘统计！F41")</f>
        <v>4.5</v>
      </c>
      <c r="I16" s="227" cm="1">
        <f t="array" aca="1" ref="I16" ca="1">INDIRECT("磁盘统计！L41")</f>
        <v>0</v>
      </c>
      <c r="J16" s="243" t="s">
        <v>525</v>
      </c>
      <c r="K16" s="151" t="s">
        <v>520</v>
      </c>
      <c r="L16" s="151" t="s">
        <v>520</v>
      </c>
      <c r="M16" s="151" t="s">
        <v>520</v>
      </c>
      <c r="N16" s="151" t="s">
        <v>520</v>
      </c>
      <c r="O16" s="151" t="s">
        <v>520</v>
      </c>
      <c r="P16" s="142"/>
      <c r="Q16" s="151"/>
      <c r="R16" s="151"/>
      <c r="S16" s="151"/>
      <c r="T16" s="151"/>
      <c r="U16" s="253"/>
    </row>
    <row r="17" spans="1:21" ht="15" customHeight="1" x14ac:dyDescent="0.2">
      <c r="A17" s="269"/>
      <c r="B17" s="174" t="s">
        <v>511</v>
      </c>
      <c r="C17" s="144" t="s">
        <v>514</v>
      </c>
      <c r="D17" s="223">
        <f t="shared" ca="1" si="2"/>
        <v>0.3332</v>
      </c>
      <c r="E17" s="223">
        <f t="shared" ca="1" si="0"/>
        <v>0</v>
      </c>
      <c r="F17" s="228" t="s">
        <v>520</v>
      </c>
      <c r="G17" s="229">
        <f t="shared" ca="1" si="1"/>
        <v>0.3332</v>
      </c>
      <c r="H17" s="226" cm="1">
        <f t="array" aca="1" ref="H17" ca="1">INDIRECT("磁盘统计！F42")</f>
        <v>4</v>
      </c>
      <c r="I17" s="227" cm="1">
        <f t="array" aca="1" ref="I17" ca="1">INDIRECT("磁盘统计！L42")</f>
        <v>0.5</v>
      </c>
      <c r="J17" s="243" t="s">
        <v>525</v>
      </c>
      <c r="K17" s="151" t="s">
        <v>520</v>
      </c>
      <c r="L17" s="151" t="s">
        <v>520</v>
      </c>
      <c r="M17" s="151" t="s">
        <v>520</v>
      </c>
      <c r="N17" s="151" t="s">
        <v>520</v>
      </c>
      <c r="O17" s="151" t="s">
        <v>520</v>
      </c>
      <c r="P17" s="142"/>
      <c r="Q17" s="151"/>
      <c r="R17" s="151"/>
      <c r="S17" s="151"/>
      <c r="T17" s="151"/>
      <c r="U17" s="253"/>
    </row>
    <row r="18" spans="1:21" ht="15" customHeight="1" x14ac:dyDescent="0.2">
      <c r="A18" s="270"/>
      <c r="B18" s="174" t="s">
        <v>512</v>
      </c>
      <c r="C18" s="144" t="s">
        <v>515</v>
      </c>
      <c r="D18" s="223">
        <f t="shared" ca="1" si="2"/>
        <v>0.3332</v>
      </c>
      <c r="E18" s="223">
        <f t="shared" ca="1" si="0"/>
        <v>0</v>
      </c>
      <c r="F18" s="228" t="s">
        <v>520</v>
      </c>
      <c r="G18" s="229">
        <f t="shared" ca="1" si="1"/>
        <v>0.3332</v>
      </c>
      <c r="H18" s="226" cm="1">
        <f t="array" aca="1" ref="H18" ca="1">INDIRECT("磁盘统计！F44")</f>
        <v>4</v>
      </c>
      <c r="I18" s="227" cm="1">
        <f t="array" aca="1" ref="I18" ca="1">INDIRECT("磁盘统计！L44")</f>
        <v>0</v>
      </c>
      <c r="J18" s="243" t="s">
        <v>525</v>
      </c>
      <c r="K18" s="151" t="s">
        <v>520</v>
      </c>
      <c r="L18" s="151" t="s">
        <v>520</v>
      </c>
      <c r="M18" s="151" t="s">
        <v>520</v>
      </c>
      <c r="N18" s="151" t="s">
        <v>520</v>
      </c>
      <c r="O18" s="151" t="s">
        <v>520</v>
      </c>
      <c r="P18" s="142"/>
      <c r="Q18" s="151"/>
      <c r="R18" s="151"/>
      <c r="S18" s="151"/>
      <c r="T18" s="151"/>
      <c r="U18" s="253"/>
    </row>
    <row r="19" spans="1:21" ht="15" customHeight="1" x14ac:dyDescent="0.2">
      <c r="A19" s="202" t="s">
        <v>191</v>
      </c>
      <c r="B19" s="203" t="s">
        <v>192</v>
      </c>
      <c r="C19" s="203" t="s">
        <v>242</v>
      </c>
      <c r="D19" s="223">
        <f t="shared" ca="1" si="2"/>
        <v>12.828200000000001</v>
      </c>
      <c r="E19" s="230">
        <f ca="1">(IF(K19="-",0,K19)*$D$41+IF(L19="-",0,L19)*$G$41+IF(M19="-",0,M19)*$J$41+IF(N19="-",0,N19)*$M$41)/($D$41+$G$41+$J$41+$M$41)*$C$41</f>
        <v>4.0333617536595945</v>
      </c>
      <c r="F19" s="228" t="s">
        <v>520</v>
      </c>
      <c r="G19" s="229">
        <f t="shared" ca="1" si="1"/>
        <v>16.861561753659593</v>
      </c>
      <c r="H19" s="226" cm="1">
        <f t="array" aca="1" ref="H19" ca="1">INDIRECT("磁盘统计！F45")</f>
        <v>154</v>
      </c>
      <c r="I19" s="227" cm="1">
        <f t="array" aca="1" ref="I19" ca="1">INDIRECT("磁盘统计！L45")</f>
        <v>17.2</v>
      </c>
      <c r="J19" s="244" t="s">
        <v>526</v>
      </c>
      <c r="K19" s="239" cm="1">
        <f t="array" aca="1" ref="K19" ca="1">INDIRECT("中端运行数据统计！Q" &amp; ROW(Q3))/MAX(INDIRECT("中端运行数据统计！Q54"),1)</f>
        <v>0.22598870056497175</v>
      </c>
      <c r="L19" s="239" cm="1">
        <f t="array" aca="1" ref="L19" ca="1">INDIRECT("中端运行数据统计！R" &amp; ROW(R3))/MAX(INDIRECT("中端运行数据统计！R54"),1)</f>
        <v>0.20253164556962028</v>
      </c>
      <c r="M19" s="239" cm="1">
        <f t="array" aca="1" ref="M19" ca="1">INDIRECT("中端运行数据统计！S" &amp; ROW(S3))/MAX(INDIRECT("中端运行数据统计！S54"),1)</f>
        <v>0.20253164556962028</v>
      </c>
      <c r="N19" s="239" cm="1">
        <f t="array" aca="1" ref="N19" ca="1">INDIRECT("中端运行数据统计！T" &amp; ROW(U3))/MAX(INDIRECT("中端运行数据统计！T54"),1)</f>
        <v>0.19536019536019536</v>
      </c>
      <c r="O19" s="239" t="e" cm="1">
        <f t="array" aca="1" ref="O19" ca="1">INDIRECT("中端运行数据统计！U" &amp; ROW(V3))/MAX(INDIRECT("中端运行数据统计！U54"),1)</f>
        <v>#DIV/0!</v>
      </c>
      <c r="P19" s="142"/>
      <c r="Q19" s="239"/>
      <c r="R19" s="239"/>
      <c r="S19" s="239"/>
      <c r="T19" s="239"/>
      <c r="U19" s="251"/>
    </row>
    <row r="20" spans="1:21" ht="15" customHeight="1" x14ac:dyDescent="0.2">
      <c r="A20" s="212" t="s">
        <v>198</v>
      </c>
      <c r="B20" s="204" t="s">
        <v>198</v>
      </c>
      <c r="C20" s="203" t="s">
        <v>243</v>
      </c>
      <c r="D20" s="223">
        <f t="shared" ca="1" si="2"/>
        <v>7.2470999999999997</v>
      </c>
      <c r="E20" s="230">
        <f t="shared" ref="E20:E23" ca="1" si="3">(IF(K20="-",0,K20)*$D$41+IF(L20="-",0,L20)*$G$41+IF(M20="-",0,M20)*$J$41+IF(N20="-",0,N20)*$M$41)/($D$41+$G$41+$J$41+$M$41)*$C$41</f>
        <v>10.68513783312741</v>
      </c>
      <c r="F20" s="228" t="s">
        <v>520</v>
      </c>
      <c r="G20" s="229">
        <f t="shared" ca="1" si="1"/>
        <v>17.932237833127409</v>
      </c>
      <c r="H20" s="226" cm="1">
        <f t="array" aca="1" ref="H20" ca="1">INDIRECT("磁盘统计！F59")</f>
        <v>87</v>
      </c>
      <c r="I20" s="227" cm="1">
        <f t="array" aca="1" ref="I20" ca="1">INDIRECT("磁盘统计！L59")</f>
        <v>1.2</v>
      </c>
      <c r="J20" s="244" t="s">
        <v>526</v>
      </c>
      <c r="K20" s="239" cm="1">
        <f t="array" aca="1" ref="K20" ca="1">INDIRECT("中端运行数据统计！Q" &amp; ROW(Q4))/MAX(INDIRECT("中端运行数据统计！Q54"),1)</f>
        <v>0.2824858757062147</v>
      </c>
      <c r="L20" s="239" cm="1">
        <f t="array" aca="1" ref="L20" ca="1">INDIRECT("中端运行数据统计！R" &amp; ROW(R4))/MAX(INDIRECT("中端运行数据统计！R54"),1)</f>
        <v>0.63291139240506333</v>
      </c>
      <c r="M20" s="239" cm="1">
        <f t="array" aca="1" ref="M20" ca="1">INDIRECT("中端运行数据统计！S" &amp; ROW(S4))/MAX(INDIRECT("中端运行数据统计！S54"),1)</f>
        <v>0.63291139240506333</v>
      </c>
      <c r="N20" s="239" cm="1">
        <f t="array" aca="1" ref="N20" ca="1">INDIRECT("中端运行数据统计！T" &amp; ROW(U4))/MAX(INDIRECT("中端运行数据统计！T54"),1)</f>
        <v>0.61050061050061044</v>
      </c>
      <c r="O20" s="239" t="e" cm="1">
        <f t="array" aca="1" ref="O20" ca="1">INDIRECT("中端运行数据统计！U" &amp; ROW(V4))/MAX(INDIRECT("中端运行数据统计！U54"),1)</f>
        <v>#DIV/0!</v>
      </c>
      <c r="P20" s="142"/>
      <c r="Q20" s="239"/>
      <c r="R20" s="239"/>
      <c r="S20" s="239"/>
      <c r="T20" s="239"/>
      <c r="U20" s="251"/>
    </row>
    <row r="21" spans="1:21" ht="15" customHeight="1" x14ac:dyDescent="0.2">
      <c r="A21" s="272" t="s">
        <v>13</v>
      </c>
      <c r="B21" s="204" t="s">
        <v>145</v>
      </c>
      <c r="C21" s="204" t="s">
        <v>201</v>
      </c>
      <c r="D21" s="223">
        <f t="shared" ca="1" si="2"/>
        <v>8.1633999999999993</v>
      </c>
      <c r="E21" s="230">
        <f t="shared" ca="1" si="3"/>
        <v>1.5125106576223475</v>
      </c>
      <c r="F21" s="228" t="s">
        <v>520</v>
      </c>
      <c r="G21" s="229">
        <f t="shared" ca="1" si="1"/>
        <v>9.6759106576223459</v>
      </c>
      <c r="H21" s="226" cm="1">
        <f t="array" aca="1" ref="H21" ca="1">INDIRECT("磁盘统计！F61")</f>
        <v>98</v>
      </c>
      <c r="I21" s="227" cm="1">
        <f t="array" aca="1" ref="I21" ca="1">INDIRECT("磁盘统计！L61")</f>
        <v>88.3</v>
      </c>
      <c r="J21" s="244" t="s">
        <v>526</v>
      </c>
      <c r="K21" s="239" cm="1">
        <f t="array" aca="1" ref="K21" ca="1">INDIRECT("中端运行数据统计！Q" &amp; ROW(Q5))/MAX(INDIRECT("中端运行数据统计！Q54"),1)</f>
        <v>8.4745762711864417E-2</v>
      </c>
      <c r="L21" s="239" cm="1">
        <f t="array" aca="1" ref="L21" ca="1">INDIRECT("中端运行数据统计！R" &amp; ROW(R5))/MAX(INDIRECT("中端运行数据统计！R54"),1)</f>
        <v>7.5949367088607597E-2</v>
      </c>
      <c r="M21" s="239" cm="1">
        <f t="array" aca="1" ref="M21" ca="1">INDIRECT("中端运行数据统计！S" &amp; ROW(S5))/MAX(INDIRECT("中端运行数据统计！S54"),1)</f>
        <v>7.5949367088607583E-2</v>
      </c>
      <c r="N21" s="239" cm="1">
        <f t="array" aca="1" ref="N21" ca="1">INDIRECT("中端运行数据统计！T" &amp; ROW(U5))/MAX(INDIRECT("中端运行数据统计！T54"),1)</f>
        <v>7.326007326007325E-2</v>
      </c>
      <c r="O21" s="239" t="e" cm="1">
        <f t="array" aca="1" ref="O21" ca="1">INDIRECT("中端运行数据统计！U" &amp; ROW(V5))/MAX(INDIRECT("中端运行数据统计！U54"),1)</f>
        <v>#DIV/0!</v>
      </c>
      <c r="P21" s="142"/>
      <c r="Q21" s="239"/>
      <c r="R21" s="239"/>
      <c r="S21" s="239"/>
      <c r="T21" s="239"/>
      <c r="U21" s="251"/>
    </row>
    <row r="22" spans="1:21" ht="15" customHeight="1" x14ac:dyDescent="0.2">
      <c r="A22" s="272"/>
      <c r="B22" s="204" t="s">
        <v>203</v>
      </c>
      <c r="C22" s="204" t="s">
        <v>204</v>
      </c>
      <c r="D22" s="223">
        <f t="shared" ca="1" si="2"/>
        <v>0.99960000000000004</v>
      </c>
      <c r="E22" s="230">
        <f t="shared" ca="1" si="3"/>
        <v>0.75625532881117374</v>
      </c>
      <c r="F22" s="228" t="s">
        <v>520</v>
      </c>
      <c r="G22" s="229">
        <f t="shared" ca="1" si="1"/>
        <v>1.7558553288111738</v>
      </c>
      <c r="H22" s="226" cm="1">
        <f t="array" aca="1" ref="H22" ca="1">INDIRECT("磁盘统计！F72")</f>
        <v>12</v>
      </c>
      <c r="I22" s="227" cm="1">
        <f t="array" aca="1" ref="I22" ca="1">INDIRECT("磁盘统计！L72")</f>
        <v>3</v>
      </c>
      <c r="J22" s="244" t="s">
        <v>526</v>
      </c>
      <c r="K22" s="239" cm="1">
        <f t="array" aca="1" ref="K22" ca="1">INDIRECT("中端运行数据统计！Q" &amp; ROW(Q6))/MAX(INDIRECT("中端运行数据统计！Q54"),1)</f>
        <v>4.2372881355932208E-2</v>
      </c>
      <c r="L22" s="239" cm="1">
        <f t="array" aca="1" ref="L22" ca="1">INDIRECT("中端运行数据统计！R" &amp; ROW(R6))/MAX(INDIRECT("中端运行数据统计！R54"),1)</f>
        <v>3.7974683544303799E-2</v>
      </c>
      <c r="M22" s="239" cm="1">
        <f t="array" aca="1" ref="M22" ca="1">INDIRECT("中端运行数据统计！S" &amp; ROW(S6))/MAX(INDIRECT("中端运行数据统计！S54"),1)</f>
        <v>3.7974683544303792E-2</v>
      </c>
      <c r="N22" s="239" cm="1">
        <f t="array" aca="1" ref="N22" ca="1">INDIRECT("中端运行数据统计！T" &amp; ROW(U6))/MAX(INDIRECT("中端运行数据统计！T54"),1)</f>
        <v>3.6630036630036625E-2</v>
      </c>
      <c r="O22" s="239" t="e" cm="1">
        <f t="array" aca="1" ref="O22" ca="1">INDIRECT("中端运行数据统计！U" &amp; ROW(V6))/MAX(INDIRECT("中端运行数据统计！U54"),1)</f>
        <v>#DIV/0!</v>
      </c>
      <c r="P22" s="142"/>
      <c r="Q22" s="239"/>
      <c r="R22" s="239"/>
      <c r="S22" s="239"/>
      <c r="T22" s="239"/>
      <c r="U22" s="251"/>
    </row>
    <row r="23" spans="1:21" ht="15" customHeight="1" x14ac:dyDescent="0.2">
      <c r="A23" s="272"/>
      <c r="B23" s="204" t="s">
        <v>206</v>
      </c>
      <c r="C23" s="204" t="s">
        <v>207</v>
      </c>
      <c r="D23" s="223">
        <f t="shared" ca="1" si="2"/>
        <v>0.66639999999999999</v>
      </c>
      <c r="E23" s="230">
        <f t="shared" ca="1" si="3"/>
        <v>1.0083404384148986</v>
      </c>
      <c r="F23" s="228" t="s">
        <v>520</v>
      </c>
      <c r="G23" s="229">
        <f t="shared" ca="1" si="1"/>
        <v>1.6747404384148985</v>
      </c>
      <c r="H23" s="226" cm="1">
        <f t="array" aca="1" ref="H23" ca="1">INDIRECT("磁盘统计！F73")</f>
        <v>8</v>
      </c>
      <c r="I23" s="227" cm="1">
        <f t="array" aca="1" ref="I23" ca="1">INDIRECT("磁盘统计！L73")</f>
        <v>0</v>
      </c>
      <c r="J23" s="244" t="s">
        <v>526</v>
      </c>
      <c r="K23" s="239" cm="1">
        <f t="array" aca="1" ref="K23" ca="1">INDIRECT("中端运行数据统计！Q" &amp; ROW(Q7))/MAX(INDIRECT("中端运行数据统计！Q54"),1)</f>
        <v>5.6497175141242938E-2</v>
      </c>
      <c r="L23" s="239" cm="1">
        <f t="array" aca="1" ref="L23" ca="1">INDIRECT("中端运行数据统计！R" &amp; ROW(R7))/MAX(INDIRECT("中端运行数据统计！R54"),1)</f>
        <v>5.0632911392405069E-2</v>
      </c>
      <c r="M23" s="239" cm="1">
        <f t="array" aca="1" ref="M23" ca="1">INDIRECT("中端运行数据统计！S" &amp; ROW(S7))/MAX(INDIRECT("中端运行数据统计！S54"),1)</f>
        <v>5.0632911392405069E-2</v>
      </c>
      <c r="N23" s="239" cm="1">
        <f t="array" aca="1" ref="N23" ca="1">INDIRECT("中端运行数据统计！T" &amp; ROW(U7))/MAX(INDIRECT("中端运行数据统计！T54"),1)</f>
        <v>4.884004884004884E-2</v>
      </c>
      <c r="O23" s="239" t="e" cm="1">
        <f t="array" aca="1" ref="O23" ca="1">INDIRECT("中端运行数据统计！U" &amp; ROW(V7))/MAX(INDIRECT("中端运行数据统计！U54"),1)</f>
        <v>#DIV/0!</v>
      </c>
      <c r="P23" s="142"/>
      <c r="Q23" s="239"/>
      <c r="R23" s="239"/>
      <c r="S23" s="239"/>
      <c r="T23" s="239"/>
      <c r="U23" s="251"/>
    </row>
    <row r="24" spans="1:21" ht="15" customHeight="1" x14ac:dyDescent="0.2">
      <c r="A24" s="148" t="s">
        <v>13</v>
      </c>
      <c r="B24" s="145" t="s">
        <v>145</v>
      </c>
      <c r="C24" s="145" t="s">
        <v>201</v>
      </c>
      <c r="D24" s="223">
        <f t="shared" si="2"/>
        <v>0</v>
      </c>
      <c r="E24" s="224">
        <f ca="1">C43</f>
        <v>2</v>
      </c>
      <c r="F24" s="228" t="s">
        <v>520</v>
      </c>
      <c r="G24" s="229">
        <f t="shared" ca="1" si="1"/>
        <v>2</v>
      </c>
      <c r="H24" s="213" t="s">
        <v>520</v>
      </c>
      <c r="I24" s="151" t="s">
        <v>520</v>
      </c>
      <c r="J24" s="244" t="s">
        <v>524</v>
      </c>
      <c r="K24" s="151" t="s">
        <v>520</v>
      </c>
      <c r="L24" s="151" t="s">
        <v>520</v>
      </c>
      <c r="M24" s="151" t="s">
        <v>520</v>
      </c>
      <c r="N24" s="151" t="s">
        <v>520</v>
      </c>
      <c r="O24" s="151" t="s">
        <v>520</v>
      </c>
      <c r="P24" s="18"/>
      <c r="Q24" s="151"/>
      <c r="R24" s="151"/>
      <c r="S24" s="151"/>
      <c r="T24" s="151"/>
      <c r="U24" s="253"/>
    </row>
    <row r="25" spans="1:21" ht="15" customHeight="1" thickBot="1" x14ac:dyDescent="0.25">
      <c r="A25" s="149" t="s">
        <v>13</v>
      </c>
      <c r="B25" s="150" t="s">
        <v>213</v>
      </c>
      <c r="C25" s="150" t="s">
        <v>214</v>
      </c>
      <c r="D25" s="231">
        <f t="shared" ca="1" si="2"/>
        <v>28.838459999999998</v>
      </c>
      <c r="E25" s="231">
        <f ca="1">C42+C44+C45+C46+C47</f>
        <v>20.049999999999997</v>
      </c>
      <c r="F25" s="232" t="s">
        <v>520</v>
      </c>
      <c r="G25" s="233">
        <f t="shared" ca="1" si="1"/>
        <v>48.888459999999995</v>
      </c>
      <c r="H25" s="234" cm="1">
        <f t="array" aca="1" ref="H25" ca="1">INDIRECT("磁盘统计！F75")</f>
        <v>346.2</v>
      </c>
      <c r="I25" s="235" cm="1">
        <f t="array" aca="1" ref="I25" ca="1">INDIRECT("磁盘统计！L75")</f>
        <v>139.82</v>
      </c>
      <c r="J25" s="240" t="s">
        <v>523</v>
      </c>
      <c r="K25" s="240" t="s">
        <v>520</v>
      </c>
      <c r="L25" s="240" t="s">
        <v>520</v>
      </c>
      <c r="M25" s="240" t="s">
        <v>520</v>
      </c>
      <c r="N25" s="240" t="s">
        <v>520</v>
      </c>
      <c r="O25" s="151" t="s">
        <v>520</v>
      </c>
      <c r="P25" s="143"/>
      <c r="Q25" s="240"/>
      <c r="R25" s="240"/>
      <c r="S25" s="240"/>
      <c r="T25" s="240"/>
      <c r="U25" s="254"/>
    </row>
    <row r="26" spans="1:21" ht="15" customHeight="1" thickBot="1" x14ac:dyDescent="0.25">
      <c r="A26" s="216" t="s">
        <v>532</v>
      </c>
      <c r="B26" s="217"/>
      <c r="C26" s="217"/>
      <c r="D26" s="236">
        <f ca="1">SUM(D4:D25)</f>
        <v>80.526109999999989</v>
      </c>
      <c r="E26" s="236">
        <f t="shared" ref="E26:K26" ca="1" si="4">SUM(E4:E25)</f>
        <v>97.519870458948219</v>
      </c>
      <c r="F26" s="236">
        <f t="shared" si="4"/>
        <v>0</v>
      </c>
      <c r="G26" s="236">
        <f t="shared" ca="1" si="4"/>
        <v>178.04598045894824</v>
      </c>
      <c r="H26" s="237">
        <f t="shared" ca="1" si="4"/>
        <v>966.7</v>
      </c>
      <c r="I26" s="237">
        <f t="shared" ca="1" si="4"/>
        <v>259.21999999999997</v>
      </c>
      <c r="J26" s="218"/>
      <c r="K26" s="241">
        <f t="shared" ca="1" si="4"/>
        <v>1.6015464198828695</v>
      </c>
      <c r="L26" s="241">
        <f t="shared" ref="L26" ca="1" si="5">SUM(L4:L25)</f>
        <v>1.9717505402902131</v>
      </c>
      <c r="M26" s="241">
        <f t="shared" ref="M26:N26" ca="1" si="6">SUM(M4:M25)</f>
        <v>1.8969900809485805</v>
      </c>
      <c r="N26" s="241">
        <f t="shared" ca="1" si="6"/>
        <v>1.9427423309176237</v>
      </c>
      <c r="O26" s="242" t="e">
        <f t="shared" ref="O26" ca="1" si="7">SUM(O4:O25)</f>
        <v>#DIV/0!</v>
      </c>
      <c r="P26" s="215"/>
      <c r="Q26" s="215"/>
      <c r="R26" s="215"/>
      <c r="S26" s="215"/>
      <c r="T26" s="215"/>
      <c r="U26" s="215"/>
    </row>
    <row r="28" spans="1:21" ht="15" thickBot="1" x14ac:dyDescent="0.25">
      <c r="A28" s="122" t="s">
        <v>273</v>
      </c>
    </row>
    <row r="29" spans="1:21" ht="42.75" x14ac:dyDescent="0.2">
      <c r="A29" s="155" t="s">
        <v>170</v>
      </c>
      <c r="B29" s="156" t="s">
        <v>171</v>
      </c>
      <c r="C29" s="156" t="s">
        <v>308</v>
      </c>
      <c r="D29" s="313" t="s">
        <v>298</v>
      </c>
      <c r="E29" s="313"/>
      <c r="F29" s="313" t="s">
        <v>301</v>
      </c>
      <c r="G29" s="315"/>
    </row>
    <row r="30" spans="1:21" x14ac:dyDescent="0.2">
      <c r="A30" s="269" t="s">
        <v>172</v>
      </c>
      <c r="B30" s="119" t="s">
        <v>247</v>
      </c>
      <c r="C30" s="119">
        <v>833</v>
      </c>
      <c r="D30" s="314" t="s">
        <v>299</v>
      </c>
      <c r="E30" s="314"/>
      <c r="F30" s="314" t="s">
        <v>302</v>
      </c>
      <c r="G30" s="316"/>
    </row>
    <row r="31" spans="1:21" ht="29.45" customHeight="1" x14ac:dyDescent="0.2">
      <c r="A31" s="270"/>
      <c r="B31" s="2" t="s">
        <v>304</v>
      </c>
      <c r="C31" s="134">
        <v>0</v>
      </c>
      <c r="D31" s="282" t="s">
        <v>305</v>
      </c>
      <c r="E31" s="282"/>
      <c r="F31" s="282" t="s">
        <v>302</v>
      </c>
      <c r="G31" s="284"/>
    </row>
    <row r="32" spans="1:21" x14ac:dyDescent="0.2">
      <c r="A32" s="271" t="s">
        <v>264</v>
      </c>
      <c r="B32" s="134" t="s">
        <v>248</v>
      </c>
      <c r="C32" s="134">
        <v>1000</v>
      </c>
      <c r="D32" s="282" t="s">
        <v>299</v>
      </c>
      <c r="E32" s="282"/>
      <c r="F32" s="282" t="s">
        <v>303</v>
      </c>
      <c r="G32" s="284"/>
    </row>
    <row r="33" spans="1:18" x14ac:dyDescent="0.2">
      <c r="A33" s="270"/>
      <c r="B33" s="134" t="s">
        <v>249</v>
      </c>
      <c r="C33" s="134">
        <v>4000</v>
      </c>
      <c r="D33" s="282" t="s">
        <v>299</v>
      </c>
      <c r="E33" s="282"/>
      <c r="F33" s="282" t="s">
        <v>303</v>
      </c>
      <c r="G33" s="284"/>
    </row>
    <row r="34" spans="1:18" x14ac:dyDescent="0.2">
      <c r="A34" s="271" t="s">
        <v>251</v>
      </c>
      <c r="B34" s="134" t="s">
        <v>248</v>
      </c>
      <c r="C34" s="134">
        <v>6336</v>
      </c>
      <c r="D34" s="282" t="s">
        <v>300</v>
      </c>
      <c r="E34" s="282"/>
      <c r="F34" s="282" t="s">
        <v>303</v>
      </c>
      <c r="G34" s="284"/>
    </row>
    <row r="35" spans="1:18" ht="15" thickBot="1" x14ac:dyDescent="0.25">
      <c r="A35" s="288"/>
      <c r="B35" s="136" t="s">
        <v>249</v>
      </c>
      <c r="C35" s="136">
        <v>11070</v>
      </c>
      <c r="D35" s="283" t="s">
        <v>300</v>
      </c>
      <c r="E35" s="283"/>
      <c r="F35" s="283" t="s">
        <v>303</v>
      </c>
      <c r="G35" s="295"/>
    </row>
    <row r="36" spans="1:18" x14ac:dyDescent="0.2"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</row>
    <row r="37" spans="1:18" ht="15" thickBot="1" x14ac:dyDescent="0.25">
      <c r="A37" s="122" t="s">
        <v>274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</row>
    <row r="38" spans="1:18" x14ac:dyDescent="0.2">
      <c r="A38" s="289" t="s">
        <v>173</v>
      </c>
      <c r="B38" s="291" t="s">
        <v>268</v>
      </c>
      <c r="C38" s="293" t="s">
        <v>519</v>
      </c>
      <c r="D38" s="299" t="s">
        <v>260</v>
      </c>
      <c r="E38" s="286"/>
      <c r="F38" s="287"/>
      <c r="G38" s="285" t="s">
        <v>271</v>
      </c>
      <c r="H38" s="286"/>
      <c r="I38" s="287"/>
      <c r="J38" s="285" t="s">
        <v>261</v>
      </c>
      <c r="K38" s="286"/>
      <c r="L38" s="287"/>
      <c r="M38" s="285" t="s">
        <v>262</v>
      </c>
      <c r="N38" s="300"/>
      <c r="O38" s="301"/>
      <c r="P38" s="285" t="s">
        <v>543</v>
      </c>
      <c r="Q38" s="300"/>
      <c r="R38" s="302"/>
    </row>
    <row r="39" spans="1:18" x14ac:dyDescent="0.2">
      <c r="A39" s="290"/>
      <c r="B39" s="292"/>
      <c r="C39" s="294"/>
      <c r="D39" s="207" t="s">
        <v>263</v>
      </c>
      <c r="E39" s="104" t="s">
        <v>255</v>
      </c>
      <c r="F39" s="104" t="s">
        <v>256</v>
      </c>
      <c r="G39" s="200" t="s">
        <v>263</v>
      </c>
      <c r="H39" s="104" t="s">
        <v>255</v>
      </c>
      <c r="I39" s="104" t="s">
        <v>256</v>
      </c>
      <c r="J39" s="200" t="s">
        <v>263</v>
      </c>
      <c r="K39" s="104" t="s">
        <v>255</v>
      </c>
      <c r="L39" s="104" t="s">
        <v>256</v>
      </c>
      <c r="M39" s="200" t="s">
        <v>263</v>
      </c>
      <c r="N39" s="104" t="s">
        <v>255</v>
      </c>
      <c r="O39" s="104" t="s">
        <v>181</v>
      </c>
      <c r="P39" s="200" t="s">
        <v>263</v>
      </c>
      <c r="Q39" s="104" t="s">
        <v>180</v>
      </c>
      <c r="R39" s="201" t="s">
        <v>181</v>
      </c>
    </row>
    <row r="40" spans="1:18" x14ac:dyDescent="0.2">
      <c r="A40" s="296" t="s">
        <v>269</v>
      </c>
      <c r="B40" s="121" t="s">
        <v>290</v>
      </c>
      <c r="C40" s="210">
        <f ca="1">(SUM(E40,H40,K40,N40,Q40)/4*$C$32+SUM(F40,I40,L40,O40,R40)/4*$C$33)/10000</f>
        <v>61.225000000000001</v>
      </c>
      <c r="D40" s="208" cm="1">
        <f t="array" aca="1" ref="D40" ca="1">INDIRECT("集群统计!P" &amp; ROW(P4))</f>
        <v>256</v>
      </c>
      <c r="E40" s="131" cm="1">
        <f t="array" aca="1" ref="E40" ca="1">INDIRECT("集群统计!N" &amp; ROW(N4))</f>
        <v>127</v>
      </c>
      <c r="F40" s="131" cm="1">
        <f t="array" aca="1" ref="F40" ca="1">INDIRECT("集群统计!O" &amp; ROW(O4))</f>
        <v>129</v>
      </c>
      <c r="G40" s="131" cm="1">
        <f t="array" aca="1" ref="G40" ca="1">INDIRECT("集群统计!U" &amp; ROW(V4))</f>
        <v>251</v>
      </c>
      <c r="H40" s="131" cm="1">
        <f t="array" aca="1" ref="H40" ca="1">INDIRECT("集群统计!S" &amp; ROW(S4))</f>
        <v>124</v>
      </c>
      <c r="I40" s="131" cm="1">
        <f t="array" aca="1" ref="I40" ca="1">INDIRECT("集群统计!T" &amp; ROW(U4))</f>
        <v>127</v>
      </c>
      <c r="J40" s="131" cm="1">
        <f t="array" aca="1" ref="J40" ca="1">INDIRECT("集群统计!Z" &amp; ROW(AA4))</f>
        <v>220</v>
      </c>
      <c r="K40" s="131" cm="1">
        <f t="array" aca="1" ref="K40" ca="1">INDIRECT("集群统计!X" &amp; ROW(Y4))</f>
        <v>93</v>
      </c>
      <c r="L40" s="131" cm="1">
        <f t="array" aca="1" ref="L40" ca="1">INDIRECT("集群统计!Y" &amp; ROW(Z4))</f>
        <v>127</v>
      </c>
      <c r="M40" s="131" cm="1">
        <f t="array" aca="1" ref="M40" ca="1">INDIRECT("集群统计!AE" &amp; ROW(AF4))</f>
        <v>213</v>
      </c>
      <c r="N40" s="131" cm="1">
        <f t="array" aca="1" ref="N40" ca="1">INDIRECT("集群统计!AC" &amp; ROW(AD4))</f>
        <v>93</v>
      </c>
      <c r="O40" s="131" cm="1">
        <f t="array" aca="1" ref="O40" ca="1">INDIRECT("集群统计!AD" &amp; ROW(AE4))</f>
        <v>120</v>
      </c>
      <c r="P40" s="131" cm="1">
        <f t="array" aca="1" ref="P40" ca="1">INDIRECT("集群统计!AJ" &amp; ROW(AK4))</f>
        <v>0</v>
      </c>
      <c r="Q40" s="131" cm="1">
        <f t="array" aca="1" ref="Q40" ca="1">INDIRECT("集群统计!AH" &amp; ROW(AI4))</f>
        <v>0</v>
      </c>
      <c r="R40" s="137" cm="1">
        <f t="array" aca="1" ref="R40" ca="1">INDIRECT("集群统计!AI" &amp; ROW(AJ4))</f>
        <v>0</v>
      </c>
    </row>
    <row r="41" spans="1:18" x14ac:dyDescent="0.2">
      <c r="A41" s="297"/>
      <c r="B41" s="121" t="s">
        <v>291</v>
      </c>
      <c r="C41" s="210">
        <f t="shared" ref="C41:C47" ca="1" si="8">(SUM(E41,H41,K41,N41,Q41)/4*$C$32+SUM(F41,I41,L41,O41,R41)/4*$C$33)/10000</f>
        <v>19.574999999999999</v>
      </c>
      <c r="D41" s="208" cm="1">
        <f t="array" aca="1" ref="D41" ca="1">INDIRECT("集群统计!P" &amp; ROW(P5))</f>
        <v>59</v>
      </c>
      <c r="E41" s="131" cm="1">
        <f t="array" aca="1" ref="E41" ca="1">INDIRECT("集群统计!N" &amp; ROW(N5))</f>
        <v>17</v>
      </c>
      <c r="F41" s="131" cm="1">
        <f t="array" aca="1" ref="F41" ca="1">INDIRECT("集群统计!O" &amp; ROW(O5))</f>
        <v>42</v>
      </c>
      <c r="G41" s="131" cm="1">
        <f t="array" aca="1" ref="G41" ca="1">INDIRECT("集群统计!U" &amp; ROW(V5))</f>
        <v>64</v>
      </c>
      <c r="H41" s="131" cm="1">
        <f t="array" aca="1" ref="H41" ca="1">INDIRECT("集群统计!S" &amp; ROW(S5))</f>
        <v>20</v>
      </c>
      <c r="I41" s="131" cm="1">
        <f t="array" aca="1" ref="I41" ca="1">INDIRECT("集群统计!T" &amp; ROW(U5))</f>
        <v>44</v>
      </c>
      <c r="J41" s="131" cm="1">
        <f t="array" aca="1" ref="J41" ca="1">INDIRECT("集群统计!Z" &amp; ROW(AA5))</f>
        <v>64</v>
      </c>
      <c r="K41" s="131" cm="1">
        <f t="array" aca="1" ref="K41" ca="1">INDIRECT("集群统计!X" &amp; ROW(Y5))</f>
        <v>21</v>
      </c>
      <c r="L41" s="131" cm="1">
        <f t="array" aca="1" ref="L41" ca="1">INDIRECT("集群统计!Y" &amp; ROW(Z5))</f>
        <v>43</v>
      </c>
      <c r="M41" s="131" cm="1">
        <f t="array" aca="1" ref="M41" ca="1">INDIRECT("集群统计!AE" &amp; ROW(AF5))</f>
        <v>68</v>
      </c>
      <c r="N41" s="131" cm="1">
        <f t="array" aca="1" ref="N41" ca="1">INDIRECT("集群统计!AC" &amp; ROW(AD5))</f>
        <v>21</v>
      </c>
      <c r="O41" s="131" cm="1">
        <f t="array" aca="1" ref="O41" ca="1">INDIRECT("集群统计!AD" &amp; ROW(AE5))</f>
        <v>47</v>
      </c>
      <c r="P41" s="131" cm="1">
        <f t="array" aca="1" ref="P41" ca="1">INDIRECT("集群统计!AJ" &amp; ROW(AK5))</f>
        <v>0</v>
      </c>
      <c r="Q41" s="131" cm="1">
        <f t="array" aca="1" ref="Q41" ca="1">INDIRECT("集群统计!AH" &amp; ROW(AI5))</f>
        <v>0</v>
      </c>
      <c r="R41" s="137" cm="1">
        <f t="array" aca="1" ref="R41" ca="1">INDIRECT("集群统计!AI" &amp; ROW(AJ5))</f>
        <v>0</v>
      </c>
    </row>
    <row r="42" spans="1:18" x14ac:dyDescent="0.2">
      <c r="A42" s="297"/>
      <c r="B42" s="121" t="s">
        <v>292</v>
      </c>
      <c r="C42" s="210">
        <f t="shared" ca="1" si="8"/>
        <v>1.3</v>
      </c>
      <c r="D42" s="208" cm="1">
        <f t="array" aca="1" ref="D42" ca="1">INDIRECT("集群统计!P" &amp; ROW(P6))</f>
        <v>4</v>
      </c>
      <c r="E42" s="131" cm="1">
        <f t="array" aca="1" ref="E42" ca="1">INDIRECT("集群统计!N" &amp; ROW(N6))</f>
        <v>1</v>
      </c>
      <c r="F42" s="131" cm="1">
        <f t="array" aca="1" ref="F42" ca="1">INDIRECT("集群统计!O" &amp; ROW(O6))</f>
        <v>3</v>
      </c>
      <c r="G42" s="131" cm="1">
        <f t="array" aca="1" ref="G42" ca="1">INDIRECT("集群统计!U" &amp; ROW(V6))</f>
        <v>4</v>
      </c>
      <c r="H42" s="131" cm="1">
        <f t="array" aca="1" ref="H42" ca="1">INDIRECT("集群统计!S" &amp; ROW(S6))</f>
        <v>1</v>
      </c>
      <c r="I42" s="131" cm="1">
        <f t="array" aca="1" ref="I42" ca="1">INDIRECT("集群统计!T" &amp; ROW(U6))</f>
        <v>3</v>
      </c>
      <c r="J42" s="131" cm="1">
        <f t="array" aca="1" ref="J42" ca="1">INDIRECT("集群统计!Z" &amp; ROW(AA6))</f>
        <v>4</v>
      </c>
      <c r="K42" s="131" cm="1">
        <f t="array" aca="1" ref="K42" ca="1">INDIRECT("集群统计!X" &amp; ROW(Y6))</f>
        <v>1</v>
      </c>
      <c r="L42" s="131" cm="1">
        <f t="array" aca="1" ref="L42" ca="1">INDIRECT("集群统计!Y" &amp; ROW(Z6))</f>
        <v>3</v>
      </c>
      <c r="M42" s="131" cm="1">
        <f t="array" aca="1" ref="M42" ca="1">INDIRECT("集群统计!AE" &amp; ROW(AF6))</f>
        <v>4</v>
      </c>
      <c r="N42" s="131" cm="1">
        <f t="array" aca="1" ref="N42" ca="1">INDIRECT("集群统计!AC" &amp; ROW(AD6))</f>
        <v>1</v>
      </c>
      <c r="O42" s="131" cm="1">
        <f t="array" aca="1" ref="O42" ca="1">INDIRECT("集群统计!AD" &amp; ROW(AE6))</f>
        <v>3</v>
      </c>
      <c r="P42" s="131" cm="1">
        <f t="array" aca="1" ref="P42" ca="1">INDIRECT("集群统计!AJ" &amp; ROW(AK6))</f>
        <v>0</v>
      </c>
      <c r="Q42" s="131" cm="1">
        <f t="array" aca="1" ref="Q42" ca="1">INDIRECT("集群统计!AH" &amp; ROW(AI6))</f>
        <v>0</v>
      </c>
      <c r="R42" s="137" cm="1">
        <f t="array" aca="1" ref="R42" ca="1">INDIRECT("集群统计!AI" &amp; ROW(AJ6))</f>
        <v>0</v>
      </c>
    </row>
    <row r="43" spans="1:18" ht="35.1" customHeight="1" x14ac:dyDescent="0.2">
      <c r="A43" s="297"/>
      <c r="B43" s="121" t="s">
        <v>293</v>
      </c>
      <c r="C43" s="210">
        <f t="shared" ca="1" si="8"/>
        <v>2</v>
      </c>
      <c r="D43" s="208" cm="1">
        <f t="array" aca="1" ref="D43" ca="1">INDIRECT("集群统计!P" &amp; ROW(P7))</f>
        <v>5</v>
      </c>
      <c r="E43" s="131" cm="1">
        <f t="array" aca="1" ref="E43" ca="1">INDIRECT("集群统计!N" &amp; ROW(N7))</f>
        <v>0</v>
      </c>
      <c r="F43" s="131" cm="1">
        <f t="array" aca="1" ref="F43" ca="1">INDIRECT("集群统计!O" &amp; ROW(O7))</f>
        <v>5</v>
      </c>
      <c r="G43" s="131" cm="1">
        <f t="array" aca="1" ref="G43" ca="1">INDIRECT("集群统计!U" &amp; ROW(V7))</f>
        <v>5</v>
      </c>
      <c r="H43" s="131" cm="1">
        <f t="array" aca="1" ref="H43" ca="1">INDIRECT("集群统计!S" &amp; ROW(S7))</f>
        <v>0</v>
      </c>
      <c r="I43" s="131" cm="1">
        <f t="array" aca="1" ref="I43" ca="1">INDIRECT("集群统计!T" &amp; ROW(U7))</f>
        <v>5</v>
      </c>
      <c r="J43" s="131" cm="1">
        <f t="array" aca="1" ref="J43" ca="1">INDIRECT("集群统计!Z" &amp; ROW(AA7))</f>
        <v>5</v>
      </c>
      <c r="K43" s="131" cm="1">
        <f t="array" aca="1" ref="K43" ca="1">INDIRECT("集群统计!X" &amp; ROW(Y7))</f>
        <v>0</v>
      </c>
      <c r="L43" s="131" cm="1">
        <f t="array" aca="1" ref="L43" ca="1">INDIRECT("集群统计!Y" &amp; ROW(Z7))</f>
        <v>5</v>
      </c>
      <c r="M43" s="131" cm="1">
        <f t="array" aca="1" ref="M43" ca="1">INDIRECT("集群统计!AE" &amp; ROW(AF7))</f>
        <v>5</v>
      </c>
      <c r="N43" s="131" cm="1">
        <f t="array" aca="1" ref="N43" ca="1">INDIRECT("集群统计!AC" &amp; ROW(AD7))</f>
        <v>0</v>
      </c>
      <c r="O43" s="131" cm="1">
        <f t="array" aca="1" ref="O43" ca="1">INDIRECT("集群统计!AD" &amp; ROW(AE7))</f>
        <v>5</v>
      </c>
      <c r="P43" s="131" cm="1">
        <f t="array" aca="1" ref="P43" ca="1">INDIRECT("集群统计!AJ" &amp; ROW(AK7))</f>
        <v>0</v>
      </c>
      <c r="Q43" s="131" cm="1">
        <f t="array" aca="1" ref="Q43" ca="1">INDIRECT("集群统计!AH" &amp; ROW(AI7))</f>
        <v>0</v>
      </c>
      <c r="R43" s="137" cm="1">
        <f t="array" aca="1" ref="R43" ca="1">INDIRECT("集群统计!AI" &amp; ROW(AJ7))</f>
        <v>0</v>
      </c>
    </row>
    <row r="44" spans="1:18" ht="42.75" x14ac:dyDescent="0.2">
      <c r="A44" s="297"/>
      <c r="B44" s="121" t="s">
        <v>294</v>
      </c>
      <c r="C44" s="210">
        <f t="shared" ca="1" si="8"/>
        <v>6.1</v>
      </c>
      <c r="D44" s="208" cm="1">
        <f t="array" aca="1" ref="D44" ca="1">INDIRECT("集群统计!P" &amp; ROW(P8))</f>
        <v>15</v>
      </c>
      <c r="E44" s="131" cm="1">
        <f t="array" aca="1" ref="E44" ca="1">INDIRECT("集群统计!N" &amp; ROW(N8))</f>
        <v>0</v>
      </c>
      <c r="F44" s="131" cm="1">
        <f t="array" aca="1" ref="F44" ca="1">INDIRECT("集群统计!O" &amp; ROW(O8))</f>
        <v>15</v>
      </c>
      <c r="G44" s="131" cm="1">
        <f t="array" aca="1" ref="G44" ca="1">INDIRECT("集群统计!U" &amp; ROW(V8))</f>
        <v>15</v>
      </c>
      <c r="H44" s="131" cm="1">
        <f t="array" aca="1" ref="H44" ca="1">INDIRECT("集群统计!S" &amp; ROW(S8))</f>
        <v>0</v>
      </c>
      <c r="I44" s="131" cm="1">
        <f t="array" aca="1" ref="I44" ca="1">INDIRECT("集群统计!T" &amp; ROW(U8))</f>
        <v>15</v>
      </c>
      <c r="J44" s="131" cm="1">
        <f t="array" aca="1" ref="J44" ca="1">INDIRECT("集群统计!Z" &amp; ROW(AA8))</f>
        <v>27</v>
      </c>
      <c r="K44" s="131" cm="1">
        <f t="array" aca="1" ref="K44" ca="1">INDIRECT("集群统计!X" &amp; ROW(Y8))</f>
        <v>12</v>
      </c>
      <c r="L44" s="131" cm="1">
        <f t="array" aca="1" ref="L44" ca="1">INDIRECT("集群统计!Y" &amp; ROW(Z8))</f>
        <v>15</v>
      </c>
      <c r="M44" s="131" cm="1">
        <f t="array" aca="1" ref="M44" ca="1">INDIRECT("集群统计!AE" &amp; ROW(AF8))</f>
        <v>22</v>
      </c>
      <c r="N44" s="131" cm="1">
        <f t="array" aca="1" ref="N44" ca="1">INDIRECT("集群统计!AC" &amp; ROW(AD8))</f>
        <v>12</v>
      </c>
      <c r="O44" s="131" cm="1">
        <f t="array" aca="1" ref="O44" ca="1">INDIRECT("集群统计!AD" &amp; ROW(AE8))</f>
        <v>10</v>
      </c>
      <c r="P44" s="131" cm="1">
        <f t="array" aca="1" ref="P44" ca="1">INDIRECT("集群统计!AJ" &amp; ROW(AK8))</f>
        <v>0</v>
      </c>
      <c r="Q44" s="131" cm="1">
        <f t="array" aca="1" ref="Q44" ca="1">INDIRECT("集群统计!AH" &amp; ROW(AI8))</f>
        <v>0</v>
      </c>
      <c r="R44" s="137" cm="1">
        <f t="array" aca="1" ref="R44" ca="1">INDIRECT("集群统计!AI" &amp; ROW(AJ8))</f>
        <v>0</v>
      </c>
    </row>
    <row r="45" spans="1:18" ht="42.75" x14ac:dyDescent="0.2">
      <c r="A45" s="297"/>
      <c r="B45" s="121" t="s">
        <v>295</v>
      </c>
      <c r="C45" s="210">
        <f t="shared" ca="1" si="8"/>
        <v>3</v>
      </c>
      <c r="D45" s="208" cm="1">
        <f t="array" aca="1" ref="D45" ca="1">INDIRECT("集群统计!P" &amp; ROW(P9))</f>
        <v>5</v>
      </c>
      <c r="E45" s="131" cm="1">
        <f t="array" aca="1" ref="E45" ca="1">INDIRECT("集群统计!N" &amp; ROW(N9))</f>
        <v>0</v>
      </c>
      <c r="F45" s="131" cm="1">
        <f t="array" aca="1" ref="F45" ca="1">INDIRECT("集群统计!O" &amp; ROW(O9))</f>
        <v>5</v>
      </c>
      <c r="G45" s="131" cm="1">
        <f t="array" aca="1" ref="G45" ca="1">INDIRECT("集群统计!U" &amp; ROW(V9))</f>
        <v>5</v>
      </c>
      <c r="H45" s="131" cm="1">
        <f t="array" aca="1" ref="H45" ca="1">INDIRECT("集群统计!S" &amp; ROW(S9))</f>
        <v>0</v>
      </c>
      <c r="I45" s="131" cm="1">
        <f t="array" aca="1" ref="I45" ca="1">INDIRECT("集群统计!T" &amp; ROW(U9))</f>
        <v>5</v>
      </c>
      <c r="J45" s="131" cm="1">
        <f t="array" aca="1" ref="J45" ca="1">INDIRECT("集群统计!Z" &amp; ROW(AA9))</f>
        <v>5</v>
      </c>
      <c r="K45" s="131" cm="1">
        <f t="array" aca="1" ref="K45" ca="1">INDIRECT("集群统计!X" &amp; ROW(Y9))</f>
        <v>0</v>
      </c>
      <c r="L45" s="131" cm="1">
        <f t="array" aca="1" ref="L45" ca="1">INDIRECT("集群统计!Y" &amp; ROW(Z9))</f>
        <v>5</v>
      </c>
      <c r="M45" s="131" cm="1">
        <f t="array" aca="1" ref="M45" ca="1">INDIRECT("集群统计!AE" &amp; ROW(AF9))</f>
        <v>15</v>
      </c>
      <c r="N45" s="131" cm="1">
        <f t="array" aca="1" ref="N45" ca="1">INDIRECT("集群统计!AC" &amp; ROW(AD9))</f>
        <v>0</v>
      </c>
      <c r="O45" s="131" cm="1">
        <f t="array" aca="1" ref="O45" ca="1">INDIRECT("集群统计!AD" &amp; ROW(AE9))</f>
        <v>15</v>
      </c>
      <c r="P45" s="131" cm="1">
        <f t="array" aca="1" ref="P45" ca="1">INDIRECT("集群统计!AJ" &amp; ROW(AK9))</f>
        <v>0</v>
      </c>
      <c r="Q45" s="131" cm="1">
        <f t="array" aca="1" ref="Q45" ca="1">INDIRECT("集群统计!AH" &amp; ROW(AI9))</f>
        <v>0</v>
      </c>
      <c r="R45" s="137" cm="1">
        <f t="array" aca="1" ref="R45" ca="1">INDIRECT("集群统计!AI" &amp; ROW(AJ9))</f>
        <v>0</v>
      </c>
    </row>
    <row r="46" spans="1:18" ht="42.75" x14ac:dyDescent="0.2">
      <c r="A46" s="297"/>
      <c r="B46" s="121" t="s">
        <v>296</v>
      </c>
      <c r="C46" s="210">
        <f t="shared" ca="1" si="8"/>
        <v>5.25</v>
      </c>
      <c r="D46" s="208" cm="1">
        <f t="array" aca="1" ref="D46" ca="1">INDIRECT("集群统计!P" &amp; ROW(P10))</f>
        <v>40</v>
      </c>
      <c r="E46" s="131" cm="1">
        <f t="array" aca="1" ref="E46" ca="1">INDIRECT("集群统计!N" &amp; ROW(N10))</f>
        <v>39</v>
      </c>
      <c r="F46" s="131" cm="1">
        <f t="array" aca="1" ref="F46" ca="1">INDIRECT("集群统计!O" &amp; ROW(O10))</f>
        <v>1</v>
      </c>
      <c r="G46" s="131" cm="1">
        <f t="array" aca="1" ref="G46" ca="1">INDIRECT("集群统计!U" &amp; ROW(V10))</f>
        <v>40</v>
      </c>
      <c r="H46" s="131" cm="1">
        <f t="array" aca="1" ref="H46" ca="1">INDIRECT("集群统计!S" &amp; ROW(S10))</f>
        <v>39</v>
      </c>
      <c r="I46" s="131" cm="1">
        <f t="array" aca="1" ref="I46" ca="1">INDIRECT("集群统计!T" &amp; ROW(U10))</f>
        <v>1</v>
      </c>
      <c r="J46" s="131" cm="1">
        <f t="array" aca="1" ref="J46" ca="1">INDIRECT("集群统计!Z" &amp; ROW(AA10))</f>
        <v>59</v>
      </c>
      <c r="K46" s="131" cm="1">
        <f t="array" aca="1" ref="K46" ca="1">INDIRECT("集群统计!X" &amp; ROW(Y10))</f>
        <v>58</v>
      </c>
      <c r="L46" s="131" cm="1">
        <f t="array" aca="1" ref="L46" ca="1">INDIRECT("集群统计!Y" &amp; ROW(Z10))</f>
        <v>1</v>
      </c>
      <c r="M46" s="131" cm="1">
        <f t="array" aca="1" ref="M46" ca="1">INDIRECT("集群统计!AE" &amp; ROW(AF10))</f>
        <v>59</v>
      </c>
      <c r="N46" s="131" cm="1">
        <f t="array" aca="1" ref="N46" ca="1">INDIRECT("集群统计!AC" &amp; ROW(AD10))</f>
        <v>58</v>
      </c>
      <c r="O46" s="131" cm="1">
        <f t="array" aca="1" ref="O46" ca="1">INDIRECT("集群统计!AD" &amp; ROW(AE10))</f>
        <v>1</v>
      </c>
      <c r="P46" s="131" cm="1">
        <f t="array" aca="1" ref="P46" ca="1">INDIRECT("集群统计!AJ" &amp; ROW(AK10))</f>
        <v>0</v>
      </c>
      <c r="Q46" s="131" cm="1">
        <f t="array" aca="1" ref="Q46" ca="1">INDIRECT("集群统计!AH" &amp; ROW(AI10))</f>
        <v>0</v>
      </c>
      <c r="R46" s="137" cm="1">
        <f t="array" aca="1" ref="R46" ca="1">INDIRECT("集群统计!AI" &amp; ROW(AJ10))</f>
        <v>0</v>
      </c>
    </row>
    <row r="47" spans="1:18" ht="42.75" x14ac:dyDescent="0.2">
      <c r="A47" s="298"/>
      <c r="B47" s="121" t="s">
        <v>297</v>
      </c>
      <c r="C47" s="210">
        <f t="shared" ca="1" si="8"/>
        <v>4.4000000000000004</v>
      </c>
      <c r="D47" s="208" cm="1">
        <f t="array" aca="1" ref="D47" ca="1">INDIRECT("集群统计!P" &amp; ROW(P11))</f>
        <v>12</v>
      </c>
      <c r="E47" s="131" cm="1">
        <f t="array" aca="1" ref="E47" ca="1">INDIRECT("集群统计!N" &amp; ROW(N11))</f>
        <v>0</v>
      </c>
      <c r="F47" s="131" cm="1">
        <f t="array" aca="1" ref="F47" ca="1">INDIRECT("集群统计!O" &amp; ROW(O11))</f>
        <v>12</v>
      </c>
      <c r="G47" s="131" cm="1">
        <f t="array" aca="1" ref="G47" ca="1">INDIRECT("集群统计!U" &amp; ROW(V11))</f>
        <v>12</v>
      </c>
      <c r="H47" s="131" cm="1">
        <f t="array" aca="1" ref="H47" ca="1">INDIRECT("集群统计!S" &amp; ROW(S11))</f>
        <v>0</v>
      </c>
      <c r="I47" s="131" cm="1">
        <f t="array" aca="1" ref="I47" ca="1">INDIRECT("集群统计!T" &amp; ROW(U11))</f>
        <v>12</v>
      </c>
      <c r="J47" s="131" cm="1">
        <f t="array" aca="1" ref="J47" ca="1">INDIRECT("集群统计!Z" &amp; ROW(AA11))</f>
        <v>10</v>
      </c>
      <c r="K47" s="131" cm="1">
        <f t="array" aca="1" ref="K47" ca="1">INDIRECT("集群统计!X" &amp; ROW(Y11))</f>
        <v>0</v>
      </c>
      <c r="L47" s="131" cm="1">
        <f t="array" aca="1" ref="L47" ca="1">INDIRECT("集群统计!Y" &amp; ROW(Z11))</f>
        <v>10</v>
      </c>
      <c r="M47" s="131" cm="1">
        <f t="array" aca="1" ref="M47" ca="1">INDIRECT("集群统计!AE" &amp; ROW(AF11))</f>
        <v>10</v>
      </c>
      <c r="N47" s="131" cm="1">
        <f t="array" aca="1" ref="N47" ca="1">INDIRECT("集群统计!AC" &amp; ROW(AD11))</f>
        <v>0</v>
      </c>
      <c r="O47" s="131" cm="1">
        <f t="array" aca="1" ref="O47" ca="1">INDIRECT("集群统计!AD" &amp; ROW(AE11))</f>
        <v>10</v>
      </c>
      <c r="P47" s="131" cm="1">
        <f t="array" aca="1" ref="P47" ca="1">INDIRECT("集群统计!AJ" &amp; ROW(AK11))</f>
        <v>0</v>
      </c>
      <c r="Q47" s="131" cm="1">
        <f t="array" aca="1" ref="Q47" ca="1">INDIRECT("集群统计!AH" &amp; ROW(AI11))</f>
        <v>0</v>
      </c>
      <c r="R47" s="137" cm="1">
        <f t="array" aca="1" ref="R47" ca="1">INDIRECT("集群统计!AI" &amp; ROW(AJ11))</f>
        <v>0</v>
      </c>
    </row>
    <row r="48" spans="1:18" ht="15" thickBot="1" x14ac:dyDescent="0.25">
      <c r="A48" s="138" t="s">
        <v>270</v>
      </c>
      <c r="B48" s="139"/>
      <c r="C48" s="211"/>
      <c r="D48" s="209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250"/>
      <c r="P48" s="140"/>
      <c r="Q48" s="140"/>
      <c r="R48" s="141"/>
    </row>
    <row r="49" spans="1:18" ht="15" thickBot="1" x14ac:dyDescent="0.25">
      <c r="A49" s="219" t="s">
        <v>532</v>
      </c>
      <c r="B49" s="220"/>
      <c r="C49" s="221">
        <f ca="1">SUM(C40:C47)</f>
        <v>102.85</v>
      </c>
      <c r="D49" s="221">
        <f t="shared" ref="D49:O49" ca="1" si="9">SUM(D40:D47)</f>
        <v>396</v>
      </c>
      <c r="E49" s="221">
        <f t="shared" ca="1" si="9"/>
        <v>184</v>
      </c>
      <c r="F49" s="221">
        <f t="shared" ca="1" si="9"/>
        <v>212</v>
      </c>
      <c r="G49" s="221">
        <f t="shared" ca="1" si="9"/>
        <v>396</v>
      </c>
      <c r="H49" s="221">
        <f t="shared" ca="1" si="9"/>
        <v>184</v>
      </c>
      <c r="I49" s="221">
        <f t="shared" ca="1" si="9"/>
        <v>212</v>
      </c>
      <c r="J49" s="221">
        <f t="shared" ca="1" si="9"/>
        <v>394</v>
      </c>
      <c r="K49" s="221">
        <f t="shared" ca="1" si="9"/>
        <v>185</v>
      </c>
      <c r="L49" s="221">
        <f t="shared" ca="1" si="9"/>
        <v>209</v>
      </c>
      <c r="M49" s="221">
        <f t="shared" ca="1" si="9"/>
        <v>396</v>
      </c>
      <c r="N49" s="221">
        <f t="shared" ca="1" si="9"/>
        <v>185</v>
      </c>
      <c r="O49" s="221">
        <f t="shared" ca="1" si="9"/>
        <v>211</v>
      </c>
      <c r="P49" s="221">
        <f t="shared" ref="P49:Q49" ca="1" si="10">SUM(P40:P47)</f>
        <v>0</v>
      </c>
      <c r="Q49" s="221">
        <f t="shared" ca="1" si="10"/>
        <v>0</v>
      </c>
      <c r="R49" s="222">
        <f t="shared" ref="R49" ca="1" si="11">SUM(R40:R47)</f>
        <v>0</v>
      </c>
    </row>
    <row r="51" spans="1:18" ht="15" thickBot="1" x14ac:dyDescent="0.25">
      <c r="A51" s="135" t="s">
        <v>306</v>
      </c>
    </row>
    <row r="52" spans="1:18" ht="19.5" customHeight="1" thickBot="1" x14ac:dyDescent="0.25">
      <c r="A52" s="279" t="s">
        <v>307</v>
      </c>
      <c r="B52" s="280"/>
      <c r="C52" s="280"/>
      <c r="D52" s="280"/>
      <c r="E52" s="280"/>
      <c r="F52" s="280"/>
      <c r="G52" s="280"/>
      <c r="H52" s="280"/>
      <c r="I52" s="280"/>
      <c r="J52" s="281"/>
    </row>
    <row r="53" spans="1:18" ht="61.5" customHeight="1" x14ac:dyDescent="0.2">
      <c r="A53" s="276" t="s">
        <v>522</v>
      </c>
      <c r="B53" s="277"/>
      <c r="C53" s="277"/>
      <c r="D53" s="277"/>
      <c r="E53" s="277"/>
      <c r="F53" s="277"/>
      <c r="G53" s="277"/>
      <c r="H53" s="277"/>
      <c r="I53" s="277"/>
      <c r="J53" s="278"/>
    </row>
    <row r="54" spans="1:18" ht="16.5" customHeight="1" x14ac:dyDescent="0.2">
      <c r="A54" s="255" t="s">
        <v>521</v>
      </c>
      <c r="B54" s="256"/>
      <c r="C54" s="256"/>
      <c r="D54" s="256"/>
      <c r="E54" s="256"/>
      <c r="F54" s="256"/>
      <c r="G54" s="256"/>
      <c r="H54" s="256"/>
      <c r="I54" s="257"/>
      <c r="J54" s="258"/>
    </row>
    <row r="55" spans="1:18" ht="17.100000000000001" customHeight="1" thickBot="1" x14ac:dyDescent="0.25">
      <c r="A55" s="259" t="s">
        <v>529</v>
      </c>
      <c r="B55" s="260"/>
      <c r="C55" s="260"/>
      <c r="D55" s="260"/>
      <c r="E55" s="260"/>
      <c r="F55" s="260"/>
      <c r="G55" s="260"/>
      <c r="H55" s="260"/>
      <c r="I55" s="261"/>
      <c r="J55" s="262"/>
    </row>
  </sheetData>
  <mergeCells count="42">
    <mergeCell ref="M38:O38"/>
    <mergeCell ref="P38:R38"/>
    <mergeCell ref="D1:G1"/>
    <mergeCell ref="J2:N2"/>
    <mergeCell ref="P2:U2"/>
    <mergeCell ref="H2:I2"/>
    <mergeCell ref="H1:U1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  <mergeCell ref="F33:G33"/>
    <mergeCell ref="F35:G35"/>
    <mergeCell ref="A40:A47"/>
    <mergeCell ref="D38:F38"/>
    <mergeCell ref="G38:I38"/>
    <mergeCell ref="J38:L38"/>
    <mergeCell ref="A34:A35"/>
    <mergeCell ref="A38:A39"/>
    <mergeCell ref="B38:B39"/>
    <mergeCell ref="C38:C39"/>
    <mergeCell ref="A54:J54"/>
    <mergeCell ref="A55:J55"/>
    <mergeCell ref="A1:A3"/>
    <mergeCell ref="B1:B3"/>
    <mergeCell ref="C1:C3"/>
    <mergeCell ref="A30:A31"/>
    <mergeCell ref="A32:A33"/>
    <mergeCell ref="A21:A23"/>
    <mergeCell ref="A4:A5"/>
    <mergeCell ref="A7:A12"/>
    <mergeCell ref="A14:A18"/>
    <mergeCell ref="A53:J53"/>
    <mergeCell ref="A52:J52"/>
    <mergeCell ref="D34:E34"/>
    <mergeCell ref="D35:E35"/>
    <mergeCell ref="F34:G34"/>
  </mergeCells>
  <phoneticPr fontId="7" type="noConversion"/>
  <hyperlinks>
    <hyperlink ref="D3" location="费用统计!A50" display="公式1" xr:uid="{00000000-0004-0000-0000-000000000000}"/>
    <hyperlink ref="E3" location="费用统计!A51" display="公式2" xr:uid="{00000000-0004-0000-0000-000001000000}"/>
    <hyperlink ref="F3" location="费用统计!A52" display="公式3" xr:uid="{00000000-0004-0000-0000-000002000000}"/>
    <hyperlink ref="G3" location="费用统计!A53" display="公式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1"/>
  <sheetViews>
    <sheetView topLeftCell="N1" zoomScale="85" zoomScaleNormal="85" workbookViewId="0">
      <selection activeCell="AE2" sqref="AE1:AE1048576"/>
    </sheetView>
  </sheetViews>
  <sheetFormatPr defaultRowHeight="14.25" x14ac:dyDescent="0.2"/>
  <cols>
    <col min="1" max="1" width="19.875" customWidth="1"/>
    <col min="2" max="2" width="5.875" customWidth="1"/>
    <col min="3" max="3" width="9.375" customWidth="1"/>
    <col min="4" max="5" width="6.625" customWidth="1"/>
    <col min="6" max="6" width="9.875" customWidth="1"/>
    <col min="7" max="7" width="12.625" customWidth="1"/>
    <col min="8" max="8" width="14.125" customWidth="1"/>
    <col min="9" max="9" width="14" customWidth="1"/>
    <col min="10" max="10" width="14.375" customWidth="1"/>
    <col min="11" max="11" width="14" customWidth="1"/>
    <col min="12" max="13" width="8.25" customWidth="1"/>
    <col min="14" max="15" width="6.5" customWidth="1"/>
    <col min="16" max="16" width="7" customWidth="1"/>
    <col min="17" max="18" width="8.25" customWidth="1"/>
    <col min="19" max="20" width="6.5" customWidth="1"/>
    <col min="21" max="21" width="7" customWidth="1"/>
    <col min="22" max="22" width="5.625" customWidth="1"/>
    <col min="23" max="36" width="7" customWidth="1"/>
    <col min="37" max="44" width="14.5" customWidth="1"/>
    <col min="45" max="56" width="15" customWidth="1"/>
  </cols>
  <sheetData>
    <row r="1" spans="1:56" x14ac:dyDescent="0.2">
      <c r="A1" s="5"/>
      <c r="B1" s="323" t="s">
        <v>538</v>
      </c>
      <c r="C1" s="324"/>
      <c r="D1" s="323" t="s">
        <v>286</v>
      </c>
      <c r="E1" s="324"/>
      <c r="F1" s="5"/>
      <c r="G1" s="81" t="s">
        <v>538</v>
      </c>
      <c r="H1" s="325" t="s">
        <v>538</v>
      </c>
      <c r="I1" s="326"/>
      <c r="J1" s="326"/>
      <c r="K1" s="327"/>
      <c r="L1" s="320" t="s">
        <v>285</v>
      </c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2"/>
      <c r="AK1" s="320" t="s">
        <v>285</v>
      </c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2"/>
    </row>
    <row r="2" spans="1:56" ht="15.95" customHeight="1" x14ac:dyDescent="0.2">
      <c r="A2" s="123"/>
      <c r="B2" s="123"/>
      <c r="C2" s="123"/>
      <c r="D2" s="123"/>
      <c r="E2" s="123"/>
      <c r="F2" s="123"/>
      <c r="G2" s="123"/>
      <c r="H2" s="328" t="s">
        <v>175</v>
      </c>
      <c r="I2" s="329"/>
      <c r="J2" s="329"/>
      <c r="K2" s="330"/>
      <c r="L2" s="124" t="s">
        <v>182</v>
      </c>
      <c r="M2" s="124" t="s">
        <v>284</v>
      </c>
      <c r="N2" s="125" t="s">
        <v>180</v>
      </c>
      <c r="O2" s="125" t="s">
        <v>181</v>
      </c>
      <c r="P2" s="126" t="s">
        <v>263</v>
      </c>
      <c r="Q2" s="124" t="s">
        <v>182</v>
      </c>
      <c r="R2" s="124" t="s">
        <v>284</v>
      </c>
      <c r="S2" s="125" t="s">
        <v>180</v>
      </c>
      <c r="T2" s="125" t="s">
        <v>181</v>
      </c>
      <c r="U2" s="126" t="s">
        <v>263</v>
      </c>
      <c r="V2" s="124" t="s">
        <v>182</v>
      </c>
      <c r="W2" s="124" t="s">
        <v>284</v>
      </c>
      <c r="X2" s="125" t="s">
        <v>180</v>
      </c>
      <c r="Y2" s="125" t="s">
        <v>181</v>
      </c>
      <c r="Z2" s="126" t="s">
        <v>263</v>
      </c>
      <c r="AA2" s="124" t="s">
        <v>182</v>
      </c>
      <c r="AB2" s="124" t="s">
        <v>284</v>
      </c>
      <c r="AC2" s="125" t="s">
        <v>180</v>
      </c>
      <c r="AD2" s="125" t="s">
        <v>181</v>
      </c>
      <c r="AE2" s="126" t="s">
        <v>263</v>
      </c>
      <c r="AF2" s="124" t="s">
        <v>182</v>
      </c>
      <c r="AG2" s="124" t="s">
        <v>284</v>
      </c>
      <c r="AH2" s="125" t="s">
        <v>180</v>
      </c>
      <c r="AI2" s="125" t="s">
        <v>181</v>
      </c>
      <c r="AJ2" s="126" t="s">
        <v>263</v>
      </c>
      <c r="AK2" s="127" t="s">
        <v>176</v>
      </c>
      <c r="AL2" s="127" t="s">
        <v>177</v>
      </c>
      <c r="AM2" s="127" t="s">
        <v>178</v>
      </c>
      <c r="AN2" s="127" t="s">
        <v>179</v>
      </c>
      <c r="AO2" s="127" t="s">
        <v>176</v>
      </c>
      <c r="AP2" s="127" t="s">
        <v>177</v>
      </c>
      <c r="AQ2" s="127" t="s">
        <v>178</v>
      </c>
      <c r="AR2" s="127" t="s">
        <v>179</v>
      </c>
      <c r="AS2" s="127" t="s">
        <v>176</v>
      </c>
      <c r="AT2" s="127" t="s">
        <v>177</v>
      </c>
      <c r="AU2" s="127" t="s">
        <v>178</v>
      </c>
      <c r="AV2" s="127" t="s">
        <v>179</v>
      </c>
      <c r="AW2" s="127" t="s">
        <v>176</v>
      </c>
      <c r="AX2" s="127" t="s">
        <v>177</v>
      </c>
      <c r="AY2" s="127" t="s">
        <v>178</v>
      </c>
      <c r="AZ2" s="127" t="s">
        <v>179</v>
      </c>
      <c r="BA2" s="127" t="s">
        <v>176</v>
      </c>
      <c r="BB2" s="127" t="s">
        <v>177</v>
      </c>
      <c r="BC2" s="127" t="s">
        <v>178</v>
      </c>
      <c r="BD2" s="127" t="s">
        <v>179</v>
      </c>
    </row>
    <row r="3" spans="1:56" ht="23.1" customHeight="1" x14ac:dyDescent="0.2">
      <c r="A3" s="124" t="s">
        <v>183</v>
      </c>
      <c r="B3" s="124" t="s">
        <v>182</v>
      </c>
      <c r="C3" s="124" t="s">
        <v>236</v>
      </c>
      <c r="D3" s="125" t="s">
        <v>180</v>
      </c>
      <c r="E3" s="125" t="s">
        <v>181</v>
      </c>
      <c r="F3" s="125" t="s">
        <v>173</v>
      </c>
      <c r="G3" s="126" t="s">
        <v>174</v>
      </c>
      <c r="H3" s="127" t="s">
        <v>176</v>
      </c>
      <c r="I3" s="127" t="s">
        <v>177</v>
      </c>
      <c r="J3" s="127" t="s">
        <v>178</v>
      </c>
      <c r="K3" s="127" t="s">
        <v>179</v>
      </c>
      <c r="L3" s="317" t="s">
        <v>280</v>
      </c>
      <c r="M3" s="318"/>
      <c r="N3" s="318"/>
      <c r="O3" s="318"/>
      <c r="P3" s="319"/>
      <c r="Q3" s="317" t="s">
        <v>281</v>
      </c>
      <c r="R3" s="318"/>
      <c r="S3" s="318"/>
      <c r="T3" s="318"/>
      <c r="U3" s="319"/>
      <c r="V3" s="317" t="s">
        <v>282</v>
      </c>
      <c r="W3" s="318"/>
      <c r="X3" s="318"/>
      <c r="Y3" s="318"/>
      <c r="Z3" s="319"/>
      <c r="AA3" s="317" t="s">
        <v>283</v>
      </c>
      <c r="AB3" s="318"/>
      <c r="AC3" s="318"/>
      <c r="AD3" s="318"/>
      <c r="AE3" s="319"/>
      <c r="AF3" s="317" t="s">
        <v>541</v>
      </c>
      <c r="AG3" s="318"/>
      <c r="AH3" s="318"/>
      <c r="AI3" s="318"/>
      <c r="AJ3" s="319"/>
      <c r="AK3" s="317" t="s">
        <v>280</v>
      </c>
      <c r="AL3" s="318"/>
      <c r="AM3" s="318"/>
      <c r="AN3" s="319"/>
      <c r="AO3" s="317" t="s">
        <v>281</v>
      </c>
      <c r="AP3" s="318"/>
      <c r="AQ3" s="318"/>
      <c r="AR3" s="319"/>
      <c r="AS3" s="317" t="s">
        <v>282</v>
      </c>
      <c r="AT3" s="318"/>
      <c r="AU3" s="318"/>
      <c r="AV3" s="319"/>
      <c r="AW3" s="317" t="s">
        <v>283</v>
      </c>
      <c r="AX3" s="318"/>
      <c r="AY3" s="318"/>
      <c r="AZ3" s="319"/>
      <c r="BA3" s="317" t="s">
        <v>541</v>
      </c>
      <c r="BB3" s="318"/>
      <c r="BC3" s="318"/>
      <c r="BD3" s="319"/>
    </row>
    <row r="4" spans="1:56" x14ac:dyDescent="0.2">
      <c r="A4" s="72" t="s">
        <v>235</v>
      </c>
      <c r="B4" s="72">
        <v>15882</v>
      </c>
      <c r="C4" s="72">
        <v>176</v>
      </c>
      <c r="D4" s="115">
        <v>93</v>
      </c>
      <c r="E4" s="115">
        <v>120</v>
      </c>
      <c r="F4" s="71" t="s">
        <v>150</v>
      </c>
      <c r="G4" s="80">
        <v>213</v>
      </c>
      <c r="H4" s="248">
        <v>0.47699999999999998</v>
      </c>
      <c r="I4" s="248">
        <v>0.65700000000000003</v>
      </c>
      <c r="J4" s="248">
        <v>0.36499999999999999</v>
      </c>
      <c r="K4" s="248">
        <v>0.498</v>
      </c>
      <c r="L4" s="72">
        <v>19670</v>
      </c>
      <c r="M4" s="72">
        <v>227</v>
      </c>
      <c r="N4" s="115">
        <v>127</v>
      </c>
      <c r="O4" s="115">
        <v>129</v>
      </c>
      <c r="P4" s="80">
        <v>256</v>
      </c>
      <c r="Q4" s="72">
        <v>19434</v>
      </c>
      <c r="R4" s="72">
        <v>222</v>
      </c>
      <c r="S4" s="115">
        <v>124</v>
      </c>
      <c r="T4" s="115">
        <v>127</v>
      </c>
      <c r="U4" s="80">
        <v>251</v>
      </c>
      <c r="V4" s="72">
        <v>17542</v>
      </c>
      <c r="W4" s="72">
        <v>190</v>
      </c>
      <c r="X4" s="115">
        <v>93</v>
      </c>
      <c r="Y4" s="115">
        <v>127</v>
      </c>
      <c r="Z4" s="80">
        <v>220</v>
      </c>
      <c r="AA4" s="72">
        <v>15882</v>
      </c>
      <c r="AB4" s="72">
        <v>176</v>
      </c>
      <c r="AC4" s="115">
        <v>93</v>
      </c>
      <c r="AD4" s="115">
        <v>120</v>
      </c>
      <c r="AE4" s="80">
        <v>213</v>
      </c>
      <c r="AF4" s="72"/>
      <c r="AG4" s="72"/>
      <c r="AH4" s="115"/>
      <c r="AI4" s="115"/>
      <c r="AJ4" s="80"/>
      <c r="AK4" s="79">
        <v>0.61299999999999999</v>
      </c>
      <c r="AL4" s="79">
        <v>0.71899999999999997</v>
      </c>
      <c r="AM4" s="79">
        <v>0.373</v>
      </c>
      <c r="AN4" s="79">
        <v>0.45</v>
      </c>
      <c r="AO4" s="79">
        <v>0.67</v>
      </c>
      <c r="AP4" s="79">
        <v>0.78900000000000003</v>
      </c>
      <c r="AQ4" s="79">
        <v>0.439</v>
      </c>
      <c r="AR4" s="79">
        <v>0.56499999999999995</v>
      </c>
      <c r="AS4" s="79">
        <v>0.57899999999999996</v>
      </c>
      <c r="AT4" s="79">
        <v>0.78400000000000003</v>
      </c>
      <c r="AU4" s="79">
        <v>0.45200000000000001</v>
      </c>
      <c r="AV4" s="79">
        <v>0.58799999999999997</v>
      </c>
      <c r="AW4" s="248">
        <v>0.47699999999999998</v>
      </c>
      <c r="AX4" s="248">
        <v>0.65700000000000003</v>
      </c>
      <c r="AY4" s="248">
        <v>0.36499999999999999</v>
      </c>
      <c r="AZ4" s="248">
        <v>0.498</v>
      </c>
      <c r="BA4" s="248"/>
      <c r="BB4" s="248"/>
      <c r="BC4" s="248"/>
      <c r="BD4" s="248"/>
    </row>
    <row r="5" spans="1:56" x14ac:dyDescent="0.2">
      <c r="A5" s="72" t="s">
        <v>539</v>
      </c>
      <c r="B5" s="72">
        <v>5992</v>
      </c>
      <c r="C5" s="72">
        <v>81.900000000000006</v>
      </c>
      <c r="D5" s="115">
        <v>21</v>
      </c>
      <c r="E5" s="115">
        <v>47</v>
      </c>
      <c r="F5" s="71" t="s">
        <v>151</v>
      </c>
      <c r="G5" s="80">
        <v>68</v>
      </c>
      <c r="H5" s="248">
        <v>0.32500000000000001</v>
      </c>
      <c r="I5" s="248">
        <v>0.91700000000000004</v>
      </c>
      <c r="J5" s="248">
        <v>0.32200000000000001</v>
      </c>
      <c r="K5" s="248">
        <v>0.58199999999999996</v>
      </c>
      <c r="L5" s="72">
        <v>4876</v>
      </c>
      <c r="M5" s="72">
        <v>70.8</v>
      </c>
      <c r="N5" s="115">
        <v>17</v>
      </c>
      <c r="O5" s="115">
        <v>42</v>
      </c>
      <c r="P5" s="80">
        <v>59</v>
      </c>
      <c r="Q5" s="72">
        <v>5112</v>
      </c>
      <c r="R5" s="72">
        <v>75.900000000000006</v>
      </c>
      <c r="S5" s="115">
        <v>20</v>
      </c>
      <c r="T5" s="115">
        <v>44</v>
      </c>
      <c r="U5" s="80">
        <v>64</v>
      </c>
      <c r="V5" s="72">
        <v>5112</v>
      </c>
      <c r="W5" s="72">
        <v>75.2</v>
      </c>
      <c r="X5" s="115">
        <v>21</v>
      </c>
      <c r="Y5" s="115">
        <v>43</v>
      </c>
      <c r="Z5" s="80">
        <v>64</v>
      </c>
      <c r="AA5" s="72">
        <v>5992</v>
      </c>
      <c r="AB5" s="72">
        <v>81.900000000000006</v>
      </c>
      <c r="AC5" s="115">
        <v>21</v>
      </c>
      <c r="AD5" s="115">
        <v>47</v>
      </c>
      <c r="AE5" s="80">
        <v>68</v>
      </c>
      <c r="AF5" s="72"/>
      <c r="AG5" s="72"/>
      <c r="AH5" s="115"/>
      <c r="AI5" s="115"/>
      <c r="AJ5" s="80"/>
      <c r="AK5" s="79">
        <v>8.1000000000000003E-2</v>
      </c>
      <c r="AL5" s="79">
        <v>0.95699999999999996</v>
      </c>
      <c r="AM5" s="79">
        <v>0.14699999999999999</v>
      </c>
      <c r="AN5" s="79">
        <v>0.55000000000000004</v>
      </c>
      <c r="AO5" s="79">
        <v>0.17499999999999999</v>
      </c>
      <c r="AP5" s="79">
        <v>0.97699999999999998</v>
      </c>
      <c r="AQ5" s="79">
        <v>0.192</v>
      </c>
      <c r="AR5" s="79">
        <v>0.52</v>
      </c>
      <c r="AS5" s="79">
        <v>0.26400000000000001</v>
      </c>
      <c r="AT5" s="79">
        <v>0.90700000000000003</v>
      </c>
      <c r="AU5" s="79">
        <v>0.27400000000000002</v>
      </c>
      <c r="AV5" s="79">
        <v>0.51500000000000001</v>
      </c>
      <c r="AW5" s="248">
        <v>0.32500000000000001</v>
      </c>
      <c r="AX5" s="248">
        <v>0.91700000000000004</v>
      </c>
      <c r="AY5" s="248">
        <v>0.32200000000000001</v>
      </c>
      <c r="AZ5" s="248">
        <v>0.58199999999999996</v>
      </c>
      <c r="BA5" s="248"/>
      <c r="BB5" s="248"/>
      <c r="BC5" s="248"/>
      <c r="BD5" s="248"/>
    </row>
    <row r="6" spans="1:56" x14ac:dyDescent="0.2">
      <c r="A6" s="72" t="s">
        <v>540</v>
      </c>
      <c r="B6" s="72">
        <v>488</v>
      </c>
      <c r="C6" s="72">
        <v>5.16</v>
      </c>
      <c r="D6" s="115">
        <v>1</v>
      </c>
      <c r="E6" s="115">
        <v>3</v>
      </c>
      <c r="F6" s="71" t="s">
        <v>152</v>
      </c>
      <c r="G6" s="80">
        <v>4</v>
      </c>
      <c r="H6" s="248">
        <v>0.17299999999999999</v>
      </c>
      <c r="I6" s="248">
        <v>1</v>
      </c>
      <c r="J6" s="248">
        <v>0.218</v>
      </c>
      <c r="K6" s="248">
        <v>0.59299999999999997</v>
      </c>
      <c r="L6" s="72">
        <v>488</v>
      </c>
      <c r="M6" s="72">
        <v>5.16</v>
      </c>
      <c r="N6" s="115">
        <v>1</v>
      </c>
      <c r="O6" s="115">
        <v>3</v>
      </c>
      <c r="P6" s="80">
        <v>4</v>
      </c>
      <c r="Q6" s="72">
        <v>488</v>
      </c>
      <c r="R6" s="72">
        <v>5.16</v>
      </c>
      <c r="S6" s="115">
        <v>1</v>
      </c>
      <c r="T6" s="115">
        <v>3</v>
      </c>
      <c r="U6" s="80">
        <v>4</v>
      </c>
      <c r="V6" s="72">
        <v>488</v>
      </c>
      <c r="W6" s="72">
        <v>5.16</v>
      </c>
      <c r="X6" s="115">
        <v>1</v>
      </c>
      <c r="Y6" s="115">
        <v>3</v>
      </c>
      <c r="Z6" s="80">
        <v>4</v>
      </c>
      <c r="AA6" s="72">
        <v>488</v>
      </c>
      <c r="AB6" s="72">
        <v>5.16</v>
      </c>
      <c r="AC6" s="115">
        <v>1</v>
      </c>
      <c r="AD6" s="115">
        <v>3</v>
      </c>
      <c r="AE6" s="80">
        <v>4</v>
      </c>
      <c r="AF6" s="72"/>
      <c r="AG6" s="72"/>
      <c r="AH6" s="115"/>
      <c r="AI6" s="115"/>
      <c r="AJ6" s="80"/>
      <c r="AK6" s="79">
        <v>0.20100000000000001</v>
      </c>
      <c r="AL6" s="79">
        <v>1</v>
      </c>
      <c r="AM6" s="79">
        <v>0.17499999999999999</v>
      </c>
      <c r="AN6" s="79">
        <v>0.623</v>
      </c>
      <c r="AO6" s="79">
        <v>0.152</v>
      </c>
      <c r="AP6" s="79">
        <v>1</v>
      </c>
      <c r="AQ6" s="79">
        <v>0.158</v>
      </c>
      <c r="AR6" s="79">
        <v>0.61099999999999999</v>
      </c>
      <c r="AS6" s="79">
        <v>0.185</v>
      </c>
      <c r="AT6" s="79">
        <v>1</v>
      </c>
      <c r="AU6" s="79">
        <v>0.20200000000000001</v>
      </c>
      <c r="AV6" s="79">
        <v>0.53800000000000003</v>
      </c>
      <c r="AW6" s="248">
        <v>0.17299999999999999</v>
      </c>
      <c r="AX6" s="248">
        <v>1</v>
      </c>
      <c r="AY6" s="248">
        <v>0.218</v>
      </c>
      <c r="AZ6" s="248">
        <v>0.59299999999999997</v>
      </c>
      <c r="BA6" s="248"/>
      <c r="BB6" s="248"/>
      <c r="BC6" s="248"/>
      <c r="BD6" s="248"/>
    </row>
    <row r="7" spans="1:56" ht="23.1" customHeight="1" x14ac:dyDescent="0.2">
      <c r="A7" s="72" t="s">
        <v>276</v>
      </c>
      <c r="B7" s="72">
        <v>712</v>
      </c>
      <c r="C7" s="72">
        <v>10.3</v>
      </c>
      <c r="D7" s="115">
        <v>0</v>
      </c>
      <c r="E7" s="115">
        <v>5</v>
      </c>
      <c r="F7" s="71" t="s">
        <v>153</v>
      </c>
      <c r="G7" s="80">
        <v>5</v>
      </c>
      <c r="H7" s="248">
        <v>0.16700000000000001</v>
      </c>
      <c r="I7" s="248">
        <v>0.67</v>
      </c>
      <c r="J7" s="248">
        <v>0.33800000000000002</v>
      </c>
      <c r="K7" s="248">
        <v>0.58299999999999996</v>
      </c>
      <c r="L7" s="72">
        <v>712</v>
      </c>
      <c r="M7" s="72">
        <v>10.3</v>
      </c>
      <c r="N7" s="115">
        <v>0</v>
      </c>
      <c r="O7" s="115">
        <v>5</v>
      </c>
      <c r="P7" s="80">
        <v>5</v>
      </c>
      <c r="Q7" s="72">
        <v>712</v>
      </c>
      <c r="R7" s="72">
        <v>10.3</v>
      </c>
      <c r="S7" s="115">
        <v>0</v>
      </c>
      <c r="T7" s="115">
        <v>5</v>
      </c>
      <c r="U7" s="80">
        <v>5</v>
      </c>
      <c r="V7" s="72">
        <v>712</v>
      </c>
      <c r="W7" s="72">
        <v>10.3</v>
      </c>
      <c r="X7" s="115">
        <v>0</v>
      </c>
      <c r="Y7" s="115">
        <v>5</v>
      </c>
      <c r="Z7" s="80">
        <v>5</v>
      </c>
      <c r="AA7" s="72">
        <v>712</v>
      </c>
      <c r="AB7" s="72">
        <v>10.3</v>
      </c>
      <c r="AC7" s="115">
        <v>0</v>
      </c>
      <c r="AD7" s="115">
        <v>5</v>
      </c>
      <c r="AE7" s="80">
        <v>5</v>
      </c>
      <c r="AF7" s="72"/>
      <c r="AG7" s="72"/>
      <c r="AH7" s="115"/>
      <c r="AI7" s="115"/>
      <c r="AJ7" s="80"/>
      <c r="AK7" s="79">
        <v>0.17799999999999999</v>
      </c>
      <c r="AL7" s="79">
        <v>0.42899999999999999</v>
      </c>
      <c r="AM7" s="79">
        <v>0.372</v>
      </c>
      <c r="AN7" s="79">
        <v>0.53400000000000003</v>
      </c>
      <c r="AO7" s="79">
        <v>0.123</v>
      </c>
      <c r="AP7" s="79">
        <v>0.38900000000000001</v>
      </c>
      <c r="AQ7" s="79">
        <v>0.20399999999999999</v>
      </c>
      <c r="AR7" s="79">
        <v>0.378</v>
      </c>
      <c r="AS7" s="79">
        <v>0.14099999999999999</v>
      </c>
      <c r="AT7" s="79">
        <v>0.433</v>
      </c>
      <c r="AU7" s="79">
        <v>0.315</v>
      </c>
      <c r="AV7" s="79">
        <v>0.56599999999999995</v>
      </c>
      <c r="AW7" s="248">
        <v>0.16700000000000001</v>
      </c>
      <c r="AX7" s="248">
        <v>0.67</v>
      </c>
      <c r="AY7" s="248">
        <v>0.33800000000000002</v>
      </c>
      <c r="AZ7" s="248">
        <v>0.58299999999999996</v>
      </c>
      <c r="BA7" s="248"/>
      <c r="BB7" s="248"/>
      <c r="BC7" s="248"/>
      <c r="BD7" s="248"/>
    </row>
    <row r="8" spans="1:56" x14ac:dyDescent="0.2">
      <c r="A8" s="72" t="s">
        <v>275</v>
      </c>
      <c r="B8" s="72">
        <v>2184</v>
      </c>
      <c r="C8" s="72">
        <v>36.9</v>
      </c>
      <c r="D8" s="115">
        <v>12</v>
      </c>
      <c r="E8" s="115">
        <v>10</v>
      </c>
      <c r="F8" s="71" t="s">
        <v>154</v>
      </c>
      <c r="G8" s="80">
        <v>22</v>
      </c>
      <c r="H8" s="248">
        <v>0.187</v>
      </c>
      <c r="I8" s="248">
        <v>0.7</v>
      </c>
      <c r="J8" s="248">
        <v>0.38300000000000001</v>
      </c>
      <c r="K8" s="248">
        <v>0.68300000000000005</v>
      </c>
      <c r="L8" s="72">
        <v>2160</v>
      </c>
      <c r="M8" s="72">
        <v>30</v>
      </c>
      <c r="N8" s="115">
        <v>0</v>
      </c>
      <c r="O8" s="115">
        <v>15</v>
      </c>
      <c r="P8" s="80">
        <v>15</v>
      </c>
      <c r="Q8" s="72">
        <v>2160</v>
      </c>
      <c r="R8" s="72">
        <v>30</v>
      </c>
      <c r="S8" s="115">
        <v>0</v>
      </c>
      <c r="T8" s="115">
        <v>15</v>
      </c>
      <c r="U8" s="80">
        <v>15</v>
      </c>
      <c r="V8" s="72">
        <v>2904</v>
      </c>
      <c r="W8" s="72">
        <v>47.7</v>
      </c>
      <c r="X8" s="115">
        <v>12</v>
      </c>
      <c r="Y8" s="115">
        <v>15</v>
      </c>
      <c r="Z8" s="80">
        <v>27</v>
      </c>
      <c r="AA8" s="72">
        <v>2184</v>
      </c>
      <c r="AB8" s="72">
        <v>36.9</v>
      </c>
      <c r="AC8" s="115">
        <v>12</v>
      </c>
      <c r="AD8" s="115">
        <v>10</v>
      </c>
      <c r="AE8" s="80">
        <v>22</v>
      </c>
      <c r="AF8" s="72"/>
      <c r="AG8" s="72"/>
      <c r="AH8" s="115"/>
      <c r="AI8" s="115"/>
      <c r="AJ8" s="80"/>
      <c r="AK8" s="79">
        <v>0.17499999999999999</v>
      </c>
      <c r="AL8" s="79">
        <v>0.65</v>
      </c>
      <c r="AM8" s="79">
        <v>0.36599999999999999</v>
      </c>
      <c r="AN8" s="79">
        <v>0.69699999999999995</v>
      </c>
      <c r="AO8" s="79">
        <v>0.14099999999999999</v>
      </c>
      <c r="AP8" s="79">
        <v>0.54900000000000004</v>
      </c>
      <c r="AQ8" s="79">
        <v>0.40699999999999997</v>
      </c>
      <c r="AR8" s="79">
        <v>0.82899999999999996</v>
      </c>
      <c r="AS8" s="79">
        <v>0.188</v>
      </c>
      <c r="AT8" s="79">
        <v>0.71499999999999997</v>
      </c>
      <c r="AU8" s="79">
        <v>0.46100000000000002</v>
      </c>
      <c r="AV8" s="79">
        <v>0.82799999999999996</v>
      </c>
      <c r="AW8" s="248">
        <v>0.187</v>
      </c>
      <c r="AX8" s="248">
        <v>0.7</v>
      </c>
      <c r="AY8" s="248">
        <v>0.38300000000000001</v>
      </c>
      <c r="AZ8" s="248">
        <v>0.68300000000000005</v>
      </c>
      <c r="BA8" s="248"/>
      <c r="BB8" s="248"/>
      <c r="BC8" s="248"/>
      <c r="BD8" s="248"/>
    </row>
    <row r="9" spans="1:56" x14ac:dyDescent="0.2">
      <c r="A9" s="72" t="s">
        <v>278</v>
      </c>
      <c r="B9" s="72">
        <v>2460</v>
      </c>
      <c r="C9" s="72">
        <v>44.8</v>
      </c>
      <c r="D9" s="115">
        <v>0</v>
      </c>
      <c r="E9" s="115">
        <v>15</v>
      </c>
      <c r="F9" s="71" t="s">
        <v>155</v>
      </c>
      <c r="G9" s="80">
        <v>15</v>
      </c>
      <c r="H9" s="248">
        <v>0.25700000000000001</v>
      </c>
      <c r="I9" s="248">
        <v>0.81200000000000006</v>
      </c>
      <c r="J9" s="248">
        <v>0.183</v>
      </c>
      <c r="K9" s="248">
        <v>0.33</v>
      </c>
      <c r="L9" s="72">
        <v>1030</v>
      </c>
      <c r="M9" s="72">
        <v>26.6</v>
      </c>
      <c r="N9" s="115">
        <v>0</v>
      </c>
      <c r="O9" s="115">
        <v>5</v>
      </c>
      <c r="P9" s="80">
        <v>5</v>
      </c>
      <c r="Q9" s="72">
        <v>1030</v>
      </c>
      <c r="R9" s="72">
        <v>26.6</v>
      </c>
      <c r="S9" s="115">
        <v>0</v>
      </c>
      <c r="T9" s="115">
        <v>5</v>
      </c>
      <c r="U9" s="80">
        <v>5</v>
      </c>
      <c r="V9" s="72">
        <v>1030</v>
      </c>
      <c r="W9" s="72">
        <v>26.6</v>
      </c>
      <c r="X9" s="115">
        <v>0</v>
      </c>
      <c r="Y9" s="115">
        <v>5</v>
      </c>
      <c r="Z9" s="80">
        <v>5</v>
      </c>
      <c r="AA9" s="72">
        <v>2460</v>
      </c>
      <c r="AB9" s="72">
        <v>44.8</v>
      </c>
      <c r="AC9" s="115">
        <v>0</v>
      </c>
      <c r="AD9" s="115">
        <v>15</v>
      </c>
      <c r="AE9" s="80">
        <v>15</v>
      </c>
      <c r="AF9" s="72"/>
      <c r="AG9" s="72"/>
      <c r="AH9" s="115"/>
      <c r="AI9" s="115"/>
      <c r="AJ9" s="80"/>
      <c r="AK9" s="79">
        <v>0.25900000000000001</v>
      </c>
      <c r="AL9" s="79">
        <v>0.68899999999999995</v>
      </c>
      <c r="AM9" s="79">
        <v>0.216</v>
      </c>
      <c r="AN9" s="79">
        <v>0.39100000000000001</v>
      </c>
      <c r="AO9" s="79">
        <v>0.158</v>
      </c>
      <c r="AP9" s="79">
        <v>0.70199999999999996</v>
      </c>
      <c r="AQ9" s="79">
        <v>0.152</v>
      </c>
      <c r="AR9" s="79">
        <v>0.32500000000000001</v>
      </c>
      <c r="AS9" s="79">
        <v>0.14599999999999999</v>
      </c>
      <c r="AT9" s="79">
        <v>0.746</v>
      </c>
      <c r="AU9" s="79">
        <v>0.13</v>
      </c>
      <c r="AV9" s="79">
        <v>0.432</v>
      </c>
      <c r="AW9" s="248">
        <v>0.25700000000000001</v>
      </c>
      <c r="AX9" s="248">
        <v>0.81200000000000006</v>
      </c>
      <c r="AY9" s="248">
        <v>0.183</v>
      </c>
      <c r="AZ9" s="248">
        <v>0.33</v>
      </c>
      <c r="BA9" s="248"/>
      <c r="BB9" s="248"/>
      <c r="BC9" s="248"/>
      <c r="BD9" s="248"/>
    </row>
    <row r="10" spans="1:56" x14ac:dyDescent="0.2">
      <c r="A10" s="72" t="s">
        <v>279</v>
      </c>
      <c r="B10" s="72">
        <v>3738</v>
      </c>
      <c r="C10" s="72">
        <v>45.5</v>
      </c>
      <c r="D10" s="115">
        <v>58</v>
      </c>
      <c r="E10" s="115">
        <v>1</v>
      </c>
      <c r="F10" s="71" t="s">
        <v>156</v>
      </c>
      <c r="G10" s="80">
        <v>59</v>
      </c>
      <c r="H10" s="248">
        <v>0.1</v>
      </c>
      <c r="I10" s="248">
        <v>0.57799999999999996</v>
      </c>
      <c r="J10" s="248">
        <v>0.11</v>
      </c>
      <c r="K10" s="248">
        <v>0.41</v>
      </c>
      <c r="L10" s="72">
        <v>2592</v>
      </c>
      <c r="M10" s="72">
        <v>31.7</v>
      </c>
      <c r="N10" s="115">
        <v>39</v>
      </c>
      <c r="O10" s="115">
        <v>1</v>
      </c>
      <c r="P10" s="80">
        <v>40</v>
      </c>
      <c r="Q10" s="72">
        <v>2592</v>
      </c>
      <c r="R10" s="72">
        <v>31.7</v>
      </c>
      <c r="S10" s="115">
        <v>39</v>
      </c>
      <c r="T10" s="115">
        <v>1</v>
      </c>
      <c r="U10" s="80">
        <v>40</v>
      </c>
      <c r="V10" s="72">
        <v>3738</v>
      </c>
      <c r="W10" s="72">
        <v>45.5</v>
      </c>
      <c r="X10" s="115">
        <v>58</v>
      </c>
      <c r="Y10" s="115">
        <v>1</v>
      </c>
      <c r="Z10" s="80">
        <v>59</v>
      </c>
      <c r="AA10" s="72">
        <v>3738</v>
      </c>
      <c r="AB10" s="72">
        <v>45.5</v>
      </c>
      <c r="AC10" s="115">
        <v>58</v>
      </c>
      <c r="AD10" s="115">
        <v>1</v>
      </c>
      <c r="AE10" s="80">
        <v>59</v>
      </c>
      <c r="AF10" s="72"/>
      <c r="AG10" s="72"/>
      <c r="AH10" s="115"/>
      <c r="AI10" s="115"/>
      <c r="AJ10" s="80"/>
      <c r="AK10" s="79">
        <v>4.2999999999999997E-2</v>
      </c>
      <c r="AL10" s="79">
        <v>0.439</v>
      </c>
      <c r="AM10" s="79">
        <v>7.1999999999999995E-2</v>
      </c>
      <c r="AN10" s="79">
        <v>0.54700000000000004</v>
      </c>
      <c r="AO10" s="79">
        <v>9.0999999999999998E-2</v>
      </c>
      <c r="AP10" s="79">
        <v>0.53500000000000003</v>
      </c>
      <c r="AQ10" s="79">
        <v>0.13100000000000001</v>
      </c>
      <c r="AR10" s="79">
        <v>0.60699999999999998</v>
      </c>
      <c r="AS10" s="79">
        <v>8.8999999999999996E-2</v>
      </c>
      <c r="AT10" s="79">
        <v>0.48299999999999998</v>
      </c>
      <c r="AU10" s="79">
        <v>0.104</v>
      </c>
      <c r="AV10" s="79">
        <v>0.36499999999999999</v>
      </c>
      <c r="AW10" s="248">
        <v>0.1</v>
      </c>
      <c r="AX10" s="248">
        <v>0.57799999999999996</v>
      </c>
      <c r="AY10" s="248">
        <v>0.11</v>
      </c>
      <c r="AZ10" s="248">
        <v>0.41</v>
      </c>
      <c r="BA10" s="248"/>
      <c r="BB10" s="248"/>
      <c r="BC10" s="248"/>
      <c r="BD10" s="248"/>
    </row>
    <row r="11" spans="1:56" x14ac:dyDescent="0.2">
      <c r="A11" s="72" t="s">
        <v>277</v>
      </c>
      <c r="B11" s="72">
        <v>1440</v>
      </c>
      <c r="C11" s="72">
        <v>15.7</v>
      </c>
      <c r="D11" s="115">
        <v>0</v>
      </c>
      <c r="E11" s="115">
        <v>10</v>
      </c>
      <c r="F11" s="71" t="s">
        <v>157</v>
      </c>
      <c r="G11" s="80">
        <v>10</v>
      </c>
      <c r="H11" s="248">
        <v>6.8000000000000005E-2</v>
      </c>
      <c r="I11" s="248">
        <v>0.40200000000000002</v>
      </c>
      <c r="J11" s="248">
        <v>0.14000000000000001</v>
      </c>
      <c r="K11" s="248">
        <v>0.38500000000000001</v>
      </c>
      <c r="L11" s="72">
        <v>1704</v>
      </c>
      <c r="M11" s="72">
        <v>18.7</v>
      </c>
      <c r="N11" s="115">
        <v>0</v>
      </c>
      <c r="O11" s="115">
        <v>12</v>
      </c>
      <c r="P11" s="80">
        <v>12</v>
      </c>
      <c r="Q11" s="72">
        <v>1704</v>
      </c>
      <c r="R11" s="72">
        <v>18.7</v>
      </c>
      <c r="S11" s="115">
        <v>0</v>
      </c>
      <c r="T11" s="115">
        <v>12</v>
      </c>
      <c r="U11" s="80">
        <v>12</v>
      </c>
      <c r="V11" s="72">
        <v>1420</v>
      </c>
      <c r="W11" s="72">
        <v>15.7</v>
      </c>
      <c r="X11" s="115">
        <v>0</v>
      </c>
      <c r="Y11" s="115">
        <v>10</v>
      </c>
      <c r="Z11" s="80">
        <v>10</v>
      </c>
      <c r="AA11" s="72">
        <v>1440</v>
      </c>
      <c r="AB11" s="72">
        <v>15.7</v>
      </c>
      <c r="AC11" s="115">
        <v>0</v>
      </c>
      <c r="AD11" s="115">
        <v>10</v>
      </c>
      <c r="AE11" s="80">
        <v>10</v>
      </c>
      <c r="AF11" s="72"/>
      <c r="AG11" s="72"/>
      <c r="AH11" s="115"/>
      <c r="AI11" s="115"/>
      <c r="AJ11" s="80"/>
      <c r="AK11" s="79">
        <v>0.23200000000000001</v>
      </c>
      <c r="AL11" s="79">
        <v>0.63100000000000001</v>
      </c>
      <c r="AM11" s="79">
        <v>0.20399999999999999</v>
      </c>
      <c r="AN11" s="79">
        <v>0.41899999999999998</v>
      </c>
      <c r="AO11" s="79">
        <v>0.23499999999999999</v>
      </c>
      <c r="AP11" s="79">
        <v>0.64500000000000002</v>
      </c>
      <c r="AQ11" s="79">
        <v>0.24199999999999999</v>
      </c>
      <c r="AR11" s="79">
        <v>0.65</v>
      </c>
      <c r="AS11" s="79">
        <v>0.18</v>
      </c>
      <c r="AT11" s="79">
        <v>0.70699999999999996</v>
      </c>
      <c r="AU11" s="79">
        <v>0.26500000000000001</v>
      </c>
      <c r="AV11" s="79">
        <v>0.64800000000000002</v>
      </c>
      <c r="AW11" s="248">
        <v>6.8000000000000005E-2</v>
      </c>
      <c r="AX11" s="248">
        <v>0.40200000000000002</v>
      </c>
      <c r="AY11" s="248">
        <v>0.14000000000000001</v>
      </c>
      <c r="AZ11" s="248">
        <v>0.38500000000000001</v>
      </c>
      <c r="BA11" s="248"/>
      <c r="BB11" s="248"/>
      <c r="BC11" s="248"/>
      <c r="BD11" s="248"/>
    </row>
  </sheetData>
  <mergeCells count="16">
    <mergeCell ref="B1:C1"/>
    <mergeCell ref="H1:K1"/>
    <mergeCell ref="D1:E1"/>
    <mergeCell ref="AK3:AN3"/>
    <mergeCell ref="AS3:AV3"/>
    <mergeCell ref="H2:K2"/>
    <mergeCell ref="Q3:U3"/>
    <mergeCell ref="AO3:AR3"/>
    <mergeCell ref="AW3:AZ3"/>
    <mergeCell ref="BA3:BD3"/>
    <mergeCell ref="L1:AJ1"/>
    <mergeCell ref="AK1:BD1"/>
    <mergeCell ref="V3:Z3"/>
    <mergeCell ref="AA3:AE3"/>
    <mergeCell ref="AF3:AJ3"/>
    <mergeCell ref="L3:P3"/>
  </mergeCells>
  <phoneticPr fontId="7" type="noConversion"/>
  <conditionalFormatting sqref="H4">
    <cfRule type="cellIs" dxfId="57" priority="180" operator="greaterThan">
      <formula>0.7</formula>
    </cfRule>
  </conditionalFormatting>
  <conditionalFormatting sqref="H4:K11">
    <cfRule type="cellIs" dxfId="56" priority="179" operator="between">
      <formula>0.5</formula>
      <formula>0.7</formula>
    </cfRule>
    <cfRule type="cellIs" dxfId="55" priority="178" operator="between">
      <formula>50</formula>
      <formula>70</formula>
    </cfRule>
    <cfRule type="cellIs" dxfId="54" priority="177" operator="greaterThan">
      <formula>0.7</formula>
    </cfRule>
    <cfRule type="cellIs" dxfId="53" priority="176" operator="lessThan">
      <formula>0.5</formula>
    </cfRule>
    <cfRule type="cellIs" dxfId="52" priority="174" operator="lessThan">
      <formula>0.5</formula>
    </cfRule>
    <cfRule type="cellIs" dxfId="51" priority="173" operator="greaterThan">
      <formula>0.7</formula>
    </cfRule>
    <cfRule type="cellIs" dxfId="50" priority="182" operator="greaterThan">
      <formula>70</formula>
    </cfRule>
    <cfRule type="cellIs" dxfId="49" priority="172" operator="between">
      <formula>0.5</formula>
      <formula>0.7</formula>
    </cfRule>
    <cfRule type="cellIs" dxfId="48" priority="175" operator="between">
      <formula>0.5</formula>
      <formula>0.7</formula>
    </cfRule>
    <cfRule type="cellIs" dxfId="47" priority="181" operator="greaterThan">
      <formula>0.75</formula>
    </cfRule>
  </conditionalFormatting>
  <conditionalFormatting sqref="M14:M16">
    <cfRule type="cellIs" dxfId="46" priority="118" operator="equal">
      <formula>"&lt;50%"</formula>
    </cfRule>
    <cfRule type="cellIs" dxfId="45" priority="127" operator="equal">
      <formula>"&gt;70%"</formula>
    </cfRule>
    <cfRule type="cellIs" dxfId="44" priority="126" operator="equal">
      <formula>"&lt;50%"</formula>
    </cfRule>
    <cfRule type="containsText" dxfId="43" priority="125" operator="containsText" text="50%,70%">
      <formula>NOT(ISERROR(SEARCH("50%,70%",M14)))</formula>
    </cfRule>
    <cfRule type="cellIs" dxfId="42" priority="123" operator="greaterThan">
      <formula>0.7</formula>
    </cfRule>
    <cfRule type="cellIs" dxfId="41" priority="122" operator="equal">
      <formula>"&gt;70%"</formula>
    </cfRule>
    <cfRule type="cellIs" dxfId="40" priority="121" operator="equal">
      <formula>"&lt;50%"</formula>
    </cfRule>
    <cfRule type="cellIs" dxfId="39" priority="120" operator="equal">
      <formula>"[50%, 70%]"</formula>
    </cfRule>
    <cfRule type="cellIs" dxfId="38" priority="117" operator="equal">
      <formula>"[50%, 70%]"</formula>
    </cfRule>
    <cfRule type="cellIs" dxfId="37" priority="119" operator="equal">
      <formula>"&gt;70%"</formula>
    </cfRule>
    <cfRule type="cellIs" dxfId="36" priority="124" operator="equal">
      <formula>"[50%, 70%]"</formula>
    </cfRule>
  </conditionalFormatting>
  <conditionalFormatting sqref="R14:R16">
    <cfRule type="cellIs" dxfId="35" priority="21" operator="equal">
      <formula>"[50%, 70%]"</formula>
    </cfRule>
    <cfRule type="cellIs" dxfId="34" priority="22" operator="equal">
      <formula>"&lt;50%"</formula>
    </cfRule>
    <cfRule type="cellIs" dxfId="33" priority="23" operator="equal">
      <formula>"&gt;70%"</formula>
    </cfRule>
    <cfRule type="cellIs" dxfId="32" priority="24" operator="greaterThan">
      <formula>0.7</formula>
    </cfRule>
    <cfRule type="cellIs" dxfId="31" priority="25" operator="equal">
      <formula>"[50%, 70%]"</formula>
    </cfRule>
    <cfRule type="cellIs" dxfId="30" priority="27" operator="equal">
      <formula>"&lt;50%"</formula>
    </cfRule>
    <cfRule type="cellIs" dxfId="29" priority="28" operator="equal">
      <formula>"&gt;70%"</formula>
    </cfRule>
    <cfRule type="containsText" dxfId="28" priority="26" operator="containsText" text="50%,70%">
      <formula>NOT(ISERROR(SEARCH("50%,70%",R14)))</formula>
    </cfRule>
    <cfRule type="cellIs" dxfId="27" priority="18" operator="equal">
      <formula>"[50%, 70%]"</formula>
    </cfRule>
    <cfRule type="cellIs" dxfId="26" priority="19" operator="equal">
      <formula>"&lt;50%"</formula>
    </cfRule>
    <cfRule type="cellIs" dxfId="25" priority="20" operator="equal">
      <formula>"&gt;70%"</formula>
    </cfRule>
  </conditionalFormatting>
  <conditionalFormatting sqref="AK4">
    <cfRule type="cellIs" dxfId="24" priority="16" operator="greaterThan">
      <formula>0.7</formula>
    </cfRule>
  </conditionalFormatting>
  <conditionalFormatting sqref="AK4:AN11">
    <cfRule type="cellIs" dxfId="23" priority="15" operator="between">
      <formula>0.5</formula>
      <formula>0.7</formula>
    </cfRule>
    <cfRule type="cellIs" dxfId="22" priority="14" operator="between">
      <formula>50</formula>
      <formula>70</formula>
    </cfRule>
  </conditionalFormatting>
  <conditionalFormatting sqref="AK4:AR11">
    <cfRule type="cellIs" dxfId="21" priority="7" operator="between">
      <formula>0.5</formula>
      <formula>0.7</formula>
    </cfRule>
  </conditionalFormatting>
  <conditionalFormatting sqref="AK4:BD11">
    <cfRule type="cellIs" dxfId="20" priority="34" operator="greaterThan">
      <formula>0.7</formula>
    </cfRule>
    <cfRule type="cellIs" dxfId="19" priority="33" operator="lessThan">
      <formula>0.5</formula>
    </cfRule>
    <cfRule type="cellIs" dxfId="18" priority="31" operator="lessThan">
      <formula>0.5</formula>
    </cfRule>
    <cfRule type="cellIs" dxfId="17" priority="30" operator="greaterThan">
      <formula>0.7</formula>
    </cfRule>
    <cfRule type="cellIs" dxfId="16" priority="29" operator="between">
      <formula>0.5</formula>
      <formula>0.7</formula>
    </cfRule>
    <cfRule type="cellIs" dxfId="15" priority="38" operator="greaterThan">
      <formula>0.75</formula>
    </cfRule>
    <cfRule type="cellIs" dxfId="14" priority="39" operator="greaterThan">
      <formula>70</formula>
    </cfRule>
  </conditionalFormatting>
  <conditionalFormatting sqref="AO4">
    <cfRule type="cellIs" dxfId="13" priority="8" operator="greaterThan">
      <formula>0.7</formula>
    </cfRule>
  </conditionalFormatting>
  <conditionalFormatting sqref="AO4:AR11">
    <cfRule type="cellIs" dxfId="12" priority="6" operator="between">
      <formula>50</formula>
      <formula>70</formula>
    </cfRule>
    <cfRule type="cellIs" dxfId="11" priority="5" operator="between">
      <formula>0.5</formula>
      <formula>0.7</formula>
    </cfRule>
  </conditionalFormatting>
  <conditionalFormatting sqref="AS4">
    <cfRule type="cellIs" dxfId="10" priority="48" operator="greaterThan">
      <formula>0.7</formula>
    </cfRule>
  </conditionalFormatting>
  <conditionalFormatting sqref="AS4:AV11">
    <cfRule type="cellIs" dxfId="9" priority="46" operator="between">
      <formula>50</formula>
      <formula>70</formula>
    </cfRule>
    <cfRule type="cellIs" dxfId="8" priority="47" operator="between">
      <formula>0.5</formula>
      <formula>0.7</formula>
    </cfRule>
    <cfRule type="cellIs" dxfId="7" priority="36" operator="between">
      <formula>0.5</formula>
      <formula>0.7</formula>
    </cfRule>
  </conditionalFormatting>
  <conditionalFormatting sqref="AW4">
    <cfRule type="cellIs" dxfId="6" priority="1" operator="greaterThan">
      <formula>0.7</formula>
    </cfRule>
  </conditionalFormatting>
  <conditionalFormatting sqref="AW4:AZ11">
    <cfRule type="cellIs" dxfId="5" priority="3" operator="between">
      <formula>50</formula>
      <formula>70</formula>
    </cfRule>
    <cfRule type="cellIs" dxfId="4" priority="2" operator="between">
      <formula>0.5</formula>
      <formula>0.7</formula>
    </cfRule>
  </conditionalFormatting>
  <conditionalFormatting sqref="AW4:BD11">
    <cfRule type="cellIs" dxfId="3" priority="4" operator="between">
      <formula>0.5</formula>
      <formula>0.7</formula>
    </cfRule>
  </conditionalFormatting>
  <conditionalFormatting sqref="BA4">
    <cfRule type="cellIs" dxfId="2" priority="9" operator="greaterThan">
      <formula>0.7</formula>
    </cfRule>
  </conditionalFormatting>
  <conditionalFormatting sqref="BA4:BD11">
    <cfRule type="cellIs" dxfId="1" priority="12" operator="between">
      <formula>0.5</formula>
      <formula>0.7</formula>
    </cfRule>
    <cfRule type="cellIs" dxfId="0" priority="11" operator="between">
      <formula>50</formula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zoomScale="115" zoomScaleNormal="115" workbookViewId="0">
      <selection activeCell="D23" sqref="D23"/>
    </sheetView>
  </sheetViews>
  <sheetFormatPr defaultColWidth="8.75" defaultRowHeight="14.25" x14ac:dyDescent="0.2"/>
  <cols>
    <col min="1" max="1" width="12.875" style="1" customWidth="1"/>
    <col min="2" max="2" width="13.25" style="1" customWidth="1"/>
    <col min="3" max="3" width="12.375" style="1" customWidth="1"/>
    <col min="4" max="4" width="19.125" style="1" customWidth="1"/>
    <col min="5" max="5" width="14" style="1" customWidth="1"/>
    <col min="6" max="6" width="8.125" style="10" customWidth="1"/>
    <col min="7" max="7" width="32.875" style="1" customWidth="1"/>
    <col min="8" max="8" width="12.75" style="1" customWidth="1"/>
    <col min="9" max="10" width="13.5" style="11" customWidth="1"/>
    <col min="11" max="11" width="12.375" style="11" customWidth="1"/>
    <col min="12" max="12" width="13.5" style="11" customWidth="1"/>
    <col min="13" max="13" width="11" style="40" bestFit="1" customWidth="1"/>
    <col min="14" max="14" width="12" style="43" customWidth="1"/>
    <col min="15" max="30" width="12" style="1" customWidth="1"/>
    <col min="31" max="58" width="5.875" style="1" customWidth="1"/>
    <col min="59" max="16384" width="8.75" style="1"/>
  </cols>
  <sheetData>
    <row r="1" spans="1:14" ht="34.5" customHeight="1" x14ac:dyDescent="0.2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0" t="s">
        <v>118</v>
      </c>
      <c r="G1" s="3" t="s">
        <v>5</v>
      </c>
      <c r="H1" s="3" t="s">
        <v>24</v>
      </c>
      <c r="I1" s="333" t="s">
        <v>131</v>
      </c>
      <c r="J1" s="333"/>
      <c r="K1" s="331" t="s">
        <v>120</v>
      </c>
      <c r="L1" s="331"/>
      <c r="M1" s="331"/>
      <c r="N1" s="332"/>
    </row>
    <row r="2" spans="1:14" ht="81.599999999999994" customHeight="1" x14ac:dyDescent="0.2">
      <c r="A2" s="3" t="s">
        <v>0</v>
      </c>
      <c r="B2" s="3" t="s">
        <v>1</v>
      </c>
      <c r="C2" s="3" t="s">
        <v>2</v>
      </c>
      <c r="D2" s="3" t="s">
        <v>149</v>
      </c>
      <c r="E2" s="3" t="s">
        <v>9</v>
      </c>
      <c r="F2" s="31" t="s">
        <v>119</v>
      </c>
      <c r="G2" s="3" t="s">
        <v>10</v>
      </c>
      <c r="H2" s="3" t="s">
        <v>29</v>
      </c>
      <c r="I2" s="194" t="s">
        <v>122</v>
      </c>
      <c r="J2" s="194" t="s">
        <v>121</v>
      </c>
      <c r="K2" s="26" t="s">
        <v>128</v>
      </c>
      <c r="L2" s="26" t="s">
        <v>129</v>
      </c>
      <c r="M2" s="28" t="s">
        <v>130</v>
      </c>
      <c r="N2" s="29" t="s">
        <v>127</v>
      </c>
    </row>
    <row r="3" spans="1:14" ht="14.25" customHeight="1" x14ac:dyDescent="0.2">
      <c r="A3" s="334" t="s">
        <v>15</v>
      </c>
      <c r="B3" s="15" t="s">
        <v>44</v>
      </c>
      <c r="C3" s="15" t="s">
        <v>45</v>
      </c>
      <c r="D3" s="15" t="s">
        <v>46</v>
      </c>
      <c r="E3" s="189">
        <v>45</v>
      </c>
      <c r="F3" s="175">
        <f>SUM(E3:E6)</f>
        <v>350</v>
      </c>
      <c r="G3" s="15" t="s">
        <v>11</v>
      </c>
      <c r="H3" s="16" t="s">
        <v>31</v>
      </c>
      <c r="I3" s="193">
        <v>0.77700000000000002</v>
      </c>
      <c r="J3" s="52"/>
      <c r="K3" s="27">
        <f>E3*I3</f>
        <v>34.965000000000003</v>
      </c>
      <c r="L3" s="27">
        <f>SUM(K3:K6)</f>
        <v>304.14</v>
      </c>
      <c r="M3" s="37">
        <f ca="1">F3/E52</f>
        <v>2.2037526759853921E-2</v>
      </c>
      <c r="N3" s="41">
        <f>L3/F3</f>
        <v>0.86897142857142851</v>
      </c>
    </row>
    <row r="4" spans="1:14" ht="14.25" customHeight="1" x14ac:dyDescent="0.2">
      <c r="A4" s="334"/>
      <c r="B4" s="15" t="s">
        <v>44</v>
      </c>
      <c r="C4" s="15" t="s">
        <v>45</v>
      </c>
      <c r="D4" s="15" t="s">
        <v>47</v>
      </c>
      <c r="E4" s="189">
        <v>300</v>
      </c>
      <c r="F4" s="175"/>
      <c r="G4" s="15" t="s">
        <v>12</v>
      </c>
      <c r="H4" s="16" t="s">
        <v>31</v>
      </c>
      <c r="I4" s="193">
        <v>0.88300000000000001</v>
      </c>
      <c r="J4" s="52"/>
      <c r="K4" s="27">
        <f t="shared" ref="K4:K49" si="0">E4*I4</f>
        <v>264.89999999999998</v>
      </c>
      <c r="L4" s="27"/>
      <c r="M4" s="37"/>
      <c r="N4" s="41"/>
    </row>
    <row r="5" spans="1:14" ht="14.25" customHeight="1" x14ac:dyDescent="0.2">
      <c r="A5" s="334"/>
      <c r="B5" s="15" t="s">
        <v>44</v>
      </c>
      <c r="C5" s="15" t="s">
        <v>45</v>
      </c>
      <c r="D5" s="15" t="s">
        <v>48</v>
      </c>
      <c r="E5" s="189">
        <v>0</v>
      </c>
      <c r="F5" s="175"/>
      <c r="G5" s="15" t="s">
        <v>49</v>
      </c>
      <c r="H5" s="16" t="s">
        <v>31</v>
      </c>
      <c r="I5" s="193">
        <v>0.67600000000000005</v>
      </c>
      <c r="J5" s="52"/>
      <c r="K5" s="27">
        <f t="shared" si="0"/>
        <v>0</v>
      </c>
      <c r="L5" s="27"/>
      <c r="M5" s="37"/>
      <c r="N5" s="41"/>
    </row>
    <row r="6" spans="1:14" ht="14.25" customHeight="1" x14ac:dyDescent="0.2">
      <c r="A6" s="334"/>
      <c r="B6" s="15" t="s">
        <v>44</v>
      </c>
      <c r="C6" s="15" t="s">
        <v>45</v>
      </c>
      <c r="D6" s="15" t="s">
        <v>50</v>
      </c>
      <c r="E6" s="189">
        <v>5</v>
      </c>
      <c r="F6" s="175"/>
      <c r="G6" s="15" t="s">
        <v>51</v>
      </c>
      <c r="H6" s="16" t="s">
        <v>31</v>
      </c>
      <c r="I6" s="193">
        <v>0.85499999999999998</v>
      </c>
      <c r="J6" s="52"/>
      <c r="K6" s="27">
        <f t="shared" si="0"/>
        <v>4.2750000000000004</v>
      </c>
      <c r="L6" s="27"/>
      <c r="M6" s="37"/>
      <c r="N6" s="41"/>
    </row>
    <row r="7" spans="1:14" ht="14.25" customHeight="1" x14ac:dyDescent="0.2">
      <c r="A7" s="334" t="s">
        <v>21</v>
      </c>
      <c r="B7" s="17" t="s">
        <v>22</v>
      </c>
      <c r="C7" s="17" t="s">
        <v>103</v>
      </c>
      <c r="D7" s="17" t="s">
        <v>104</v>
      </c>
      <c r="E7" s="190">
        <v>100</v>
      </c>
      <c r="F7" s="131">
        <f>SUM(E7:E10)</f>
        <v>700</v>
      </c>
      <c r="G7" s="17" t="s">
        <v>108</v>
      </c>
      <c r="H7" s="18" t="s">
        <v>30</v>
      </c>
      <c r="I7" s="65">
        <v>0.29699999999999999</v>
      </c>
      <c r="J7" s="51"/>
      <c r="K7" s="27">
        <f t="shared" si="0"/>
        <v>29.7</v>
      </c>
      <c r="L7" s="27">
        <f>SUM(K7:K10)</f>
        <v>118.5</v>
      </c>
      <c r="M7" s="37">
        <f ca="1">F7/E52</f>
        <v>4.4075053519707842E-2</v>
      </c>
      <c r="N7" s="41">
        <f>L7/F7</f>
        <v>0.16928571428571429</v>
      </c>
    </row>
    <row r="8" spans="1:14" ht="14.25" customHeight="1" x14ac:dyDescent="0.2">
      <c r="A8" s="334"/>
      <c r="B8" s="17" t="s">
        <v>22</v>
      </c>
      <c r="C8" s="17" t="s">
        <v>103</v>
      </c>
      <c r="D8" s="17" t="s">
        <v>107</v>
      </c>
      <c r="E8" s="190">
        <v>0</v>
      </c>
      <c r="F8" s="131"/>
      <c r="G8" s="17" t="s">
        <v>109</v>
      </c>
      <c r="H8" s="18" t="s">
        <v>30</v>
      </c>
      <c r="I8" s="65">
        <v>0</v>
      </c>
      <c r="J8" s="51"/>
      <c r="K8" s="27">
        <f t="shared" si="0"/>
        <v>0</v>
      </c>
      <c r="L8" s="27"/>
      <c r="M8" s="37"/>
      <c r="N8" s="41"/>
    </row>
    <row r="9" spans="1:14" ht="14.25" customHeight="1" x14ac:dyDescent="0.2">
      <c r="A9" s="334"/>
      <c r="B9" s="17" t="s">
        <v>22</v>
      </c>
      <c r="C9" s="17" t="s">
        <v>103</v>
      </c>
      <c r="D9" s="17" t="s">
        <v>105</v>
      </c>
      <c r="E9" s="190">
        <v>600</v>
      </c>
      <c r="F9" s="131"/>
      <c r="G9" s="17" t="s">
        <v>110</v>
      </c>
      <c r="H9" s="18" t="s">
        <v>30</v>
      </c>
      <c r="I9" s="65">
        <v>0.14799999999999999</v>
      </c>
      <c r="J9" s="51"/>
      <c r="K9" s="27">
        <f t="shared" si="0"/>
        <v>88.8</v>
      </c>
      <c r="L9" s="27"/>
      <c r="M9" s="37"/>
      <c r="N9" s="41"/>
    </row>
    <row r="10" spans="1:14" ht="14.25" customHeight="1" x14ac:dyDescent="0.2">
      <c r="A10" s="334"/>
      <c r="B10" s="17" t="s">
        <v>22</v>
      </c>
      <c r="C10" s="17" t="s">
        <v>103</v>
      </c>
      <c r="D10" s="17" t="s">
        <v>106</v>
      </c>
      <c r="E10" s="190">
        <v>0</v>
      </c>
      <c r="F10" s="131"/>
      <c r="G10" s="17" t="s">
        <v>111</v>
      </c>
      <c r="H10" s="18" t="s">
        <v>30</v>
      </c>
      <c r="I10" s="65">
        <v>0</v>
      </c>
      <c r="J10" s="51"/>
      <c r="K10" s="27">
        <f t="shared" si="0"/>
        <v>0</v>
      </c>
      <c r="L10" s="27"/>
      <c r="M10" s="37"/>
      <c r="N10" s="41"/>
    </row>
    <row r="11" spans="1:14" ht="14.25" customHeight="1" x14ac:dyDescent="0.2">
      <c r="A11" s="334"/>
      <c r="B11" s="6" t="s">
        <v>21</v>
      </c>
      <c r="C11" s="6" t="s">
        <v>85</v>
      </c>
      <c r="D11" s="6" t="s">
        <v>86</v>
      </c>
      <c r="E11" s="191">
        <v>300</v>
      </c>
      <c r="F11" s="176">
        <f>SUM(E11:E20)</f>
        <v>10900</v>
      </c>
      <c r="G11" s="6" t="s">
        <v>87</v>
      </c>
      <c r="H11" s="14" t="s">
        <v>30</v>
      </c>
      <c r="I11" s="65">
        <v>0.159</v>
      </c>
      <c r="J11" s="51"/>
      <c r="K11" s="27">
        <f t="shared" si="0"/>
        <v>47.7</v>
      </c>
      <c r="L11" s="27">
        <f>SUM(K11:K20)</f>
        <v>7359.2</v>
      </c>
      <c r="M11" s="37">
        <f ca="1">F11/E52</f>
        <v>0.68631154766402214</v>
      </c>
      <c r="N11" s="41">
        <f>L11/F11</f>
        <v>0.67515596330275229</v>
      </c>
    </row>
    <row r="12" spans="1:14" ht="14.25" customHeight="1" x14ac:dyDescent="0.2">
      <c r="A12" s="334"/>
      <c r="B12" s="6" t="s">
        <v>21</v>
      </c>
      <c r="C12" s="6" t="s">
        <v>85</v>
      </c>
      <c r="D12" s="19" t="s">
        <v>88</v>
      </c>
      <c r="E12" s="191">
        <v>7500</v>
      </c>
      <c r="F12" s="176"/>
      <c r="G12" s="6" t="s">
        <v>89</v>
      </c>
      <c r="H12" s="14" t="s">
        <v>30</v>
      </c>
      <c r="I12" s="65">
        <v>0.73799999999999999</v>
      </c>
      <c r="J12" s="51"/>
      <c r="K12" s="27">
        <f t="shared" si="0"/>
        <v>5535</v>
      </c>
      <c r="L12" s="27"/>
      <c r="M12" s="37"/>
      <c r="N12" s="41"/>
    </row>
    <row r="13" spans="1:14" ht="14.25" customHeight="1" x14ac:dyDescent="0.2">
      <c r="A13" s="334"/>
      <c r="B13" s="6" t="s">
        <v>21</v>
      </c>
      <c r="C13" s="6" t="s">
        <v>85</v>
      </c>
      <c r="D13" s="19" t="s">
        <v>43</v>
      </c>
      <c r="E13" s="191">
        <v>1500</v>
      </c>
      <c r="F13" s="176"/>
      <c r="G13" s="6" t="s">
        <v>90</v>
      </c>
      <c r="H13" s="14" t="s">
        <v>30</v>
      </c>
      <c r="I13" s="65">
        <v>0.77</v>
      </c>
      <c r="J13" s="51"/>
      <c r="K13" s="27">
        <f t="shared" si="0"/>
        <v>1155</v>
      </c>
      <c r="L13" s="27"/>
      <c r="M13" s="37"/>
      <c r="N13" s="41"/>
    </row>
    <row r="14" spans="1:14" ht="14.25" customHeight="1" x14ac:dyDescent="0.2">
      <c r="A14" s="334"/>
      <c r="B14" s="6" t="s">
        <v>21</v>
      </c>
      <c r="C14" s="6" t="s">
        <v>85</v>
      </c>
      <c r="D14" s="19" t="s">
        <v>91</v>
      </c>
      <c r="E14" s="191">
        <v>600</v>
      </c>
      <c r="F14" s="176"/>
      <c r="G14" s="6" t="s">
        <v>92</v>
      </c>
      <c r="H14" s="14" t="s">
        <v>30</v>
      </c>
      <c r="I14" s="65">
        <v>0.59</v>
      </c>
      <c r="J14" s="51"/>
      <c r="K14" s="27">
        <f t="shared" si="0"/>
        <v>354</v>
      </c>
      <c r="L14" s="27"/>
      <c r="M14" s="37"/>
      <c r="N14" s="41"/>
    </row>
    <row r="15" spans="1:14" ht="14.25" customHeight="1" x14ac:dyDescent="0.2">
      <c r="A15" s="334"/>
      <c r="B15" s="6" t="s">
        <v>21</v>
      </c>
      <c r="C15" s="6" t="s">
        <v>85</v>
      </c>
      <c r="D15" s="19" t="s">
        <v>93</v>
      </c>
      <c r="E15" s="191">
        <v>0</v>
      </c>
      <c r="F15" s="176"/>
      <c r="G15" s="6" t="s">
        <v>94</v>
      </c>
      <c r="H15" s="14" t="s">
        <v>30</v>
      </c>
      <c r="I15" s="65">
        <v>0</v>
      </c>
      <c r="J15" s="51"/>
      <c r="K15" s="27">
        <f t="shared" si="0"/>
        <v>0</v>
      </c>
      <c r="L15" s="27"/>
      <c r="M15" s="37"/>
      <c r="N15" s="41"/>
    </row>
    <row r="16" spans="1:14" ht="14.25" customHeight="1" x14ac:dyDescent="0.2">
      <c r="A16" s="334"/>
      <c r="B16" s="6" t="s">
        <v>21</v>
      </c>
      <c r="C16" s="6" t="s">
        <v>85</v>
      </c>
      <c r="D16" s="19" t="s">
        <v>102</v>
      </c>
      <c r="E16" s="191">
        <v>300</v>
      </c>
      <c r="F16" s="176"/>
      <c r="G16" s="19" t="s">
        <v>95</v>
      </c>
      <c r="H16" s="14" t="s">
        <v>30</v>
      </c>
      <c r="I16" s="65">
        <v>0.33700000000000002</v>
      </c>
      <c r="J16" s="51"/>
      <c r="K16" s="27">
        <f t="shared" si="0"/>
        <v>101.10000000000001</v>
      </c>
      <c r="L16" s="27"/>
      <c r="M16" s="37"/>
      <c r="N16" s="41"/>
    </row>
    <row r="17" spans="1:14" ht="14.25" customHeight="1" x14ac:dyDescent="0.2">
      <c r="A17" s="334"/>
      <c r="B17" s="6" t="s">
        <v>21</v>
      </c>
      <c r="C17" s="6" t="s">
        <v>85</v>
      </c>
      <c r="D17" s="19" t="s">
        <v>96</v>
      </c>
      <c r="E17" s="191">
        <v>0</v>
      </c>
      <c r="F17" s="176"/>
      <c r="G17" s="6" t="s">
        <v>97</v>
      </c>
      <c r="H17" s="14" t="s">
        <v>30</v>
      </c>
      <c r="I17" s="65">
        <v>0</v>
      </c>
      <c r="J17" s="51"/>
      <c r="K17" s="27">
        <f t="shared" si="0"/>
        <v>0</v>
      </c>
      <c r="L17" s="27"/>
      <c r="M17" s="37"/>
      <c r="N17" s="41"/>
    </row>
    <row r="18" spans="1:14" ht="14.25" customHeight="1" x14ac:dyDescent="0.2">
      <c r="A18" s="334"/>
      <c r="B18" s="6" t="s">
        <v>21</v>
      </c>
      <c r="C18" s="6" t="s">
        <v>85</v>
      </c>
      <c r="D18" s="19" t="s">
        <v>98</v>
      </c>
      <c r="E18" s="190">
        <v>300</v>
      </c>
      <c r="F18" s="176"/>
      <c r="G18" s="6" t="s">
        <v>99</v>
      </c>
      <c r="H18" s="14" t="s">
        <v>30</v>
      </c>
      <c r="I18" s="65">
        <v>0.4</v>
      </c>
      <c r="J18" s="51"/>
      <c r="K18" s="27">
        <f t="shared" si="0"/>
        <v>120</v>
      </c>
      <c r="L18" s="27"/>
      <c r="M18" s="37"/>
      <c r="N18" s="41"/>
    </row>
    <row r="19" spans="1:14" ht="14.25" customHeight="1" x14ac:dyDescent="0.2">
      <c r="A19" s="334"/>
      <c r="B19" s="6" t="s">
        <v>21</v>
      </c>
      <c r="C19" s="6" t="s">
        <v>85</v>
      </c>
      <c r="D19" s="19" t="s">
        <v>100</v>
      </c>
      <c r="E19" s="190">
        <v>400</v>
      </c>
      <c r="F19" s="176"/>
      <c r="G19" s="6" t="s">
        <v>101</v>
      </c>
      <c r="H19" s="14" t="s">
        <v>30</v>
      </c>
      <c r="I19" s="65">
        <v>0.11600000000000001</v>
      </c>
      <c r="J19" s="51"/>
      <c r="K19" s="27">
        <f t="shared" si="0"/>
        <v>46.400000000000006</v>
      </c>
      <c r="L19" s="27"/>
      <c r="M19" s="37"/>
      <c r="N19" s="41"/>
    </row>
    <row r="20" spans="1:14" ht="14.25" customHeight="1" x14ac:dyDescent="0.2">
      <c r="A20" s="9"/>
      <c r="B20" s="6" t="s">
        <v>21</v>
      </c>
      <c r="C20" s="6" t="s">
        <v>85</v>
      </c>
      <c r="D20" s="19" t="s">
        <v>237</v>
      </c>
      <c r="E20" s="190">
        <v>0</v>
      </c>
      <c r="F20" s="176"/>
      <c r="G20" s="6" t="s">
        <v>238</v>
      </c>
      <c r="H20" s="14" t="s">
        <v>30</v>
      </c>
      <c r="I20" s="65">
        <v>0</v>
      </c>
      <c r="J20" s="51"/>
      <c r="K20" s="27">
        <f t="shared" si="0"/>
        <v>0</v>
      </c>
      <c r="L20" s="27"/>
      <c r="M20" s="37"/>
      <c r="N20" s="41"/>
    </row>
    <row r="21" spans="1:14" ht="14.25" customHeight="1" x14ac:dyDescent="0.2">
      <c r="A21" s="334" t="s">
        <v>17</v>
      </c>
      <c r="B21" s="17" t="s">
        <v>23</v>
      </c>
      <c r="C21" s="17" t="s">
        <v>80</v>
      </c>
      <c r="D21" s="17" t="s">
        <v>73</v>
      </c>
      <c r="E21" s="190">
        <v>64</v>
      </c>
      <c r="F21" s="131">
        <f>SUM(E21:E22)</f>
        <v>564</v>
      </c>
      <c r="G21" s="17" t="s">
        <v>74</v>
      </c>
      <c r="H21" s="18" t="s">
        <v>30</v>
      </c>
      <c r="I21" s="65">
        <v>0.34200000000000003</v>
      </c>
      <c r="J21" s="51"/>
      <c r="K21" s="27">
        <f t="shared" si="0"/>
        <v>21.888000000000002</v>
      </c>
      <c r="L21" s="27">
        <f>SUM(K21:K22)</f>
        <v>156.38800000000001</v>
      </c>
      <c r="M21" s="37">
        <f ca="1">F21/E52</f>
        <v>3.5511900264450322E-2</v>
      </c>
      <c r="N21" s="41">
        <f>L21/F21</f>
        <v>0.27728368794326241</v>
      </c>
    </row>
    <row r="22" spans="1:14" ht="14.25" customHeight="1" x14ac:dyDescent="0.2">
      <c r="A22" s="334"/>
      <c r="B22" s="17" t="s">
        <v>23</v>
      </c>
      <c r="C22" s="17" t="s">
        <v>80</v>
      </c>
      <c r="D22" s="17" t="s">
        <v>39</v>
      </c>
      <c r="E22" s="191">
        <v>500</v>
      </c>
      <c r="F22" s="131"/>
      <c r="G22" s="17" t="s">
        <v>75</v>
      </c>
      <c r="H22" s="18" t="s">
        <v>30</v>
      </c>
      <c r="I22" s="65">
        <v>0.26900000000000002</v>
      </c>
      <c r="J22" s="51"/>
      <c r="K22" s="27">
        <f t="shared" si="0"/>
        <v>134.5</v>
      </c>
      <c r="L22" s="27"/>
      <c r="M22" s="37"/>
      <c r="N22" s="41"/>
    </row>
    <row r="23" spans="1:14" ht="14.25" customHeight="1" x14ac:dyDescent="0.2">
      <c r="A23" s="334"/>
      <c r="B23" s="6" t="s">
        <v>6</v>
      </c>
      <c r="C23" s="6" t="s">
        <v>25</v>
      </c>
      <c r="D23" s="6" t="s">
        <v>7</v>
      </c>
      <c r="E23" s="190">
        <v>100</v>
      </c>
      <c r="F23" s="176">
        <f>SUM(E23:E26)</f>
        <v>400</v>
      </c>
      <c r="G23" s="6" t="s">
        <v>11</v>
      </c>
      <c r="H23" s="14" t="s">
        <v>31</v>
      </c>
      <c r="I23" s="65">
        <v>0.317</v>
      </c>
      <c r="J23" s="51"/>
      <c r="K23" s="27">
        <f t="shared" si="0"/>
        <v>31.7</v>
      </c>
      <c r="L23" s="27">
        <f>SUM(K23:K26)</f>
        <v>139.48000000000002</v>
      </c>
      <c r="M23" s="37">
        <f ca="1">F23/E52</f>
        <v>2.5185744868404483E-2</v>
      </c>
      <c r="N23" s="41">
        <f>L23/F23</f>
        <v>0.34870000000000007</v>
      </c>
    </row>
    <row r="24" spans="1:14" ht="14.25" customHeight="1" x14ac:dyDescent="0.2">
      <c r="A24" s="334"/>
      <c r="B24" s="6" t="s">
        <v>6</v>
      </c>
      <c r="C24" s="6" t="s">
        <v>25</v>
      </c>
      <c r="D24" s="6" t="s">
        <v>8</v>
      </c>
      <c r="E24" s="191">
        <v>100</v>
      </c>
      <c r="F24" s="176"/>
      <c r="G24" s="6" t="s">
        <v>12</v>
      </c>
      <c r="H24" s="14" t="s">
        <v>31</v>
      </c>
      <c r="I24" s="65">
        <v>0.49299999999999999</v>
      </c>
      <c r="J24" s="51"/>
      <c r="K24" s="27">
        <f t="shared" si="0"/>
        <v>49.3</v>
      </c>
      <c r="L24" s="27"/>
      <c r="M24" s="37"/>
      <c r="N24" s="41"/>
    </row>
    <row r="25" spans="1:14" ht="14.25" customHeight="1" x14ac:dyDescent="0.2">
      <c r="A25" s="334"/>
      <c r="B25" s="6" t="s">
        <v>6</v>
      </c>
      <c r="C25" s="6" t="s">
        <v>26</v>
      </c>
      <c r="D25" s="6" t="s">
        <v>27</v>
      </c>
      <c r="E25" s="190">
        <v>80</v>
      </c>
      <c r="F25" s="176"/>
      <c r="G25" s="6" t="s">
        <v>11</v>
      </c>
      <c r="H25" s="14" t="s">
        <v>31</v>
      </c>
      <c r="I25" s="65">
        <v>0.248</v>
      </c>
      <c r="J25" s="51"/>
      <c r="K25" s="27">
        <f t="shared" si="0"/>
        <v>19.84</v>
      </c>
      <c r="L25" s="27"/>
      <c r="M25" s="37"/>
      <c r="N25" s="41"/>
    </row>
    <row r="26" spans="1:14" ht="14.25" customHeight="1" x14ac:dyDescent="0.2">
      <c r="A26" s="334"/>
      <c r="B26" s="6" t="s">
        <v>6</v>
      </c>
      <c r="C26" s="6" t="s">
        <v>26</v>
      </c>
      <c r="D26" s="6" t="s">
        <v>28</v>
      </c>
      <c r="E26" s="190">
        <v>120</v>
      </c>
      <c r="F26" s="176"/>
      <c r="G26" s="6" t="s">
        <v>12</v>
      </c>
      <c r="H26" s="14" t="s">
        <v>31</v>
      </c>
      <c r="I26" s="65">
        <v>0.32200000000000001</v>
      </c>
      <c r="J26" s="51"/>
      <c r="K26" s="27">
        <f t="shared" si="0"/>
        <v>38.64</v>
      </c>
      <c r="L26" s="27"/>
      <c r="M26" s="37"/>
      <c r="N26" s="41"/>
    </row>
    <row r="27" spans="1:14" ht="14.25" customHeight="1" x14ac:dyDescent="0.2">
      <c r="A27" s="334"/>
      <c r="B27" s="17" t="s">
        <v>18</v>
      </c>
      <c r="C27" s="17" t="s">
        <v>68</v>
      </c>
      <c r="D27" s="17" t="s">
        <v>69</v>
      </c>
      <c r="E27" s="190">
        <v>100</v>
      </c>
      <c r="F27" s="131">
        <f>SUM(E27:E32)</f>
        <v>400</v>
      </c>
      <c r="G27" s="17" t="s">
        <v>11</v>
      </c>
      <c r="H27" s="18" t="s">
        <v>30</v>
      </c>
      <c r="I27" s="65">
        <v>0.10100000000000001</v>
      </c>
      <c r="J27" s="51"/>
      <c r="K27" s="27">
        <f t="shared" si="0"/>
        <v>10.100000000000001</v>
      </c>
      <c r="L27" s="27">
        <f>SUM(K27:K32)</f>
        <v>38.5</v>
      </c>
      <c r="M27" s="37">
        <f ca="1">F27/E52</f>
        <v>2.5185744868404483E-2</v>
      </c>
      <c r="N27" s="41">
        <f>L27/F27</f>
        <v>9.6250000000000002E-2</v>
      </c>
    </row>
    <row r="28" spans="1:14" ht="14.25" customHeight="1" x14ac:dyDescent="0.2">
      <c r="A28" s="334"/>
      <c r="B28" s="17" t="s">
        <v>18</v>
      </c>
      <c r="C28" s="17" t="s">
        <v>68</v>
      </c>
      <c r="D28" s="17" t="s">
        <v>70</v>
      </c>
      <c r="E28" s="190">
        <v>0</v>
      </c>
      <c r="F28" s="131"/>
      <c r="G28" s="17" t="s">
        <v>12</v>
      </c>
      <c r="H28" s="18" t="s">
        <v>30</v>
      </c>
      <c r="I28" s="65">
        <v>0</v>
      </c>
      <c r="J28" s="51"/>
      <c r="K28" s="27">
        <f t="shared" si="0"/>
        <v>0</v>
      </c>
      <c r="L28" s="27"/>
      <c r="M28" s="37"/>
      <c r="N28" s="41"/>
    </row>
    <row r="29" spans="1:14" ht="14.25" customHeight="1" x14ac:dyDescent="0.2">
      <c r="A29" s="334"/>
      <c r="B29" s="17" t="s">
        <v>18</v>
      </c>
      <c r="C29" s="17" t="s">
        <v>68</v>
      </c>
      <c r="D29" s="17" t="s">
        <v>71</v>
      </c>
      <c r="E29" s="190">
        <v>0</v>
      </c>
      <c r="F29" s="131"/>
      <c r="G29" s="17" t="s">
        <v>72</v>
      </c>
      <c r="H29" s="18" t="s">
        <v>30</v>
      </c>
      <c r="I29" s="65">
        <v>0</v>
      </c>
      <c r="J29" s="51"/>
      <c r="K29" s="27">
        <f t="shared" si="0"/>
        <v>0</v>
      </c>
      <c r="L29" s="27"/>
      <c r="M29" s="37"/>
      <c r="N29" s="41"/>
    </row>
    <row r="30" spans="1:14" ht="14.25" customHeight="1" x14ac:dyDescent="0.2">
      <c r="A30" s="334"/>
      <c r="B30" s="17" t="s">
        <v>18</v>
      </c>
      <c r="C30" s="17" t="s">
        <v>64</v>
      </c>
      <c r="D30" s="17" t="s">
        <v>65</v>
      </c>
      <c r="E30" s="190">
        <v>100</v>
      </c>
      <c r="F30" s="131"/>
      <c r="G30" s="17" t="s">
        <v>11</v>
      </c>
      <c r="H30" s="18" t="s">
        <v>30</v>
      </c>
      <c r="I30" s="65">
        <v>5.6000000000000001E-2</v>
      </c>
      <c r="J30" s="51"/>
      <c r="K30" s="27">
        <f t="shared" si="0"/>
        <v>5.6000000000000005</v>
      </c>
      <c r="L30" s="27"/>
      <c r="M30" s="37"/>
      <c r="N30" s="41"/>
    </row>
    <row r="31" spans="1:14" ht="14.25" customHeight="1" x14ac:dyDescent="0.2">
      <c r="A31" s="334"/>
      <c r="B31" s="17" t="s">
        <v>18</v>
      </c>
      <c r="C31" s="17" t="s">
        <v>64</v>
      </c>
      <c r="D31" s="17" t="s">
        <v>66</v>
      </c>
      <c r="E31" s="190">
        <v>200</v>
      </c>
      <c r="F31" s="131"/>
      <c r="G31" s="17" t="s">
        <v>12</v>
      </c>
      <c r="H31" s="18" t="s">
        <v>30</v>
      </c>
      <c r="I31" s="65">
        <v>0.114</v>
      </c>
      <c r="J31" s="51"/>
      <c r="K31" s="27">
        <f t="shared" si="0"/>
        <v>22.8</v>
      </c>
      <c r="L31" s="27"/>
      <c r="M31" s="37"/>
      <c r="N31" s="41"/>
    </row>
    <row r="32" spans="1:14" ht="14.25" customHeight="1" x14ac:dyDescent="0.2">
      <c r="A32" s="334"/>
      <c r="B32" s="17" t="s">
        <v>18</v>
      </c>
      <c r="C32" s="17" t="s">
        <v>64</v>
      </c>
      <c r="D32" s="17" t="s">
        <v>67</v>
      </c>
      <c r="E32" s="190">
        <v>0</v>
      </c>
      <c r="F32" s="131"/>
      <c r="G32" s="17" t="s">
        <v>63</v>
      </c>
      <c r="H32" s="18" t="s">
        <v>30</v>
      </c>
      <c r="I32" s="65">
        <v>0</v>
      </c>
      <c r="J32" s="51"/>
      <c r="K32" s="27">
        <f t="shared" si="0"/>
        <v>0</v>
      </c>
      <c r="L32" s="27"/>
      <c r="M32" s="41">
        <f>L36/F36</f>
        <v>0.46508728179551123</v>
      </c>
      <c r="N32" s="41"/>
    </row>
    <row r="33" spans="1:14" ht="14.25" customHeight="1" x14ac:dyDescent="0.2">
      <c r="A33" s="334"/>
      <c r="B33" s="6" t="s">
        <v>19</v>
      </c>
      <c r="C33" s="6" t="s">
        <v>32</v>
      </c>
      <c r="D33" s="6" t="s">
        <v>33</v>
      </c>
      <c r="E33" s="190">
        <v>64</v>
      </c>
      <c r="F33" s="176">
        <f>SUM(E33:E35)</f>
        <v>564</v>
      </c>
      <c r="G33" s="6" t="s">
        <v>34</v>
      </c>
      <c r="H33" s="20" t="s">
        <v>30</v>
      </c>
      <c r="I33" s="65">
        <v>0.127</v>
      </c>
      <c r="J33" s="51"/>
      <c r="K33" s="27">
        <f t="shared" si="0"/>
        <v>8.1280000000000001</v>
      </c>
      <c r="L33" s="27">
        <f>SUM(K33:K35)</f>
        <v>352.62799999999999</v>
      </c>
      <c r="M33" s="37">
        <f ca="1">F33/E52</f>
        <v>3.5511900264450322E-2</v>
      </c>
      <c r="N33" s="41">
        <f>L33/F33</f>
        <v>0.62522695035460996</v>
      </c>
    </row>
    <row r="34" spans="1:14" ht="14.25" customHeight="1" x14ac:dyDescent="0.2">
      <c r="A34" s="334"/>
      <c r="B34" s="6" t="s">
        <v>19</v>
      </c>
      <c r="C34" s="6" t="s">
        <v>32</v>
      </c>
      <c r="D34" s="6" t="s">
        <v>35</v>
      </c>
      <c r="E34" s="191">
        <v>500</v>
      </c>
      <c r="F34" s="176"/>
      <c r="G34" s="6" t="s">
        <v>36</v>
      </c>
      <c r="H34" s="20" t="s">
        <v>30</v>
      </c>
      <c r="I34" s="65">
        <v>0.68899999999999995</v>
      </c>
      <c r="J34" s="51"/>
      <c r="K34" s="27">
        <f t="shared" si="0"/>
        <v>344.5</v>
      </c>
      <c r="L34" s="27"/>
      <c r="M34" s="37"/>
      <c r="N34" s="41"/>
    </row>
    <row r="35" spans="1:14" ht="14.25" customHeight="1" x14ac:dyDescent="0.2">
      <c r="A35" s="334"/>
      <c r="B35" s="6" t="s">
        <v>19</v>
      </c>
      <c r="C35" s="6" t="s">
        <v>32</v>
      </c>
      <c r="D35" s="6" t="s">
        <v>37</v>
      </c>
      <c r="E35" s="190">
        <v>0</v>
      </c>
      <c r="F35" s="176"/>
      <c r="G35" s="6" t="s">
        <v>38</v>
      </c>
      <c r="H35" s="20" t="s">
        <v>30</v>
      </c>
      <c r="I35" s="65">
        <v>0</v>
      </c>
      <c r="J35" s="51"/>
      <c r="K35" s="27">
        <f t="shared" si="0"/>
        <v>0</v>
      </c>
      <c r="L35" s="27"/>
      <c r="M35" s="37"/>
      <c r="N35" s="41"/>
    </row>
    <row r="36" spans="1:14" ht="14.25" customHeight="1" x14ac:dyDescent="0.2">
      <c r="A36" s="334"/>
      <c r="B36" s="17" t="s">
        <v>58</v>
      </c>
      <c r="C36" s="17" t="s">
        <v>59</v>
      </c>
      <c r="D36" s="17" t="s">
        <v>60</v>
      </c>
      <c r="E36" s="190">
        <v>100</v>
      </c>
      <c r="F36" s="131">
        <f>SUM(E36:E38)</f>
        <v>401</v>
      </c>
      <c r="G36" s="17" t="s">
        <v>11</v>
      </c>
      <c r="H36" s="18" t="s">
        <v>30</v>
      </c>
      <c r="I36" s="65">
        <v>0.29299999999999998</v>
      </c>
      <c r="J36" s="51"/>
      <c r="K36" s="27">
        <f t="shared" si="0"/>
        <v>29.299999999999997</v>
      </c>
      <c r="L36" s="27">
        <f>SUM(K36:K38)</f>
        <v>186.5</v>
      </c>
      <c r="M36" s="37">
        <f ca="1">F36/E52</f>
        <v>2.5248709230575494E-2</v>
      </c>
      <c r="N36" s="41">
        <f>L36/F36</f>
        <v>0.46508728179551123</v>
      </c>
    </row>
    <row r="37" spans="1:14" ht="14.25" customHeight="1" x14ac:dyDescent="0.2">
      <c r="A37" s="334"/>
      <c r="B37" s="17" t="s">
        <v>58</v>
      </c>
      <c r="C37" s="17" t="s">
        <v>59</v>
      </c>
      <c r="D37" s="17" t="s">
        <v>61</v>
      </c>
      <c r="E37" s="190">
        <v>300</v>
      </c>
      <c r="F37" s="131"/>
      <c r="G37" s="17" t="s">
        <v>12</v>
      </c>
      <c r="H37" s="18" t="s">
        <v>30</v>
      </c>
      <c r="I37" s="65">
        <v>0.52400000000000002</v>
      </c>
      <c r="J37" s="51"/>
      <c r="K37" s="27">
        <f t="shared" si="0"/>
        <v>157.20000000000002</v>
      </c>
      <c r="L37" s="27"/>
      <c r="M37" s="37"/>
      <c r="N37" s="41"/>
    </row>
    <row r="38" spans="1:14" ht="14.25" customHeight="1" x14ac:dyDescent="0.2">
      <c r="A38" s="334"/>
      <c r="B38" s="17" t="s">
        <v>58</v>
      </c>
      <c r="C38" s="17" t="s">
        <v>59</v>
      </c>
      <c r="D38" s="17" t="s">
        <v>62</v>
      </c>
      <c r="E38" s="190">
        <v>1</v>
      </c>
      <c r="F38" s="131"/>
      <c r="G38" s="17" t="s">
        <v>63</v>
      </c>
      <c r="H38" s="18" t="s">
        <v>30</v>
      </c>
      <c r="I38" s="65">
        <v>0</v>
      </c>
      <c r="J38" s="51"/>
      <c r="K38" s="27">
        <f t="shared" si="0"/>
        <v>0</v>
      </c>
      <c r="L38" s="27"/>
      <c r="M38" s="37"/>
      <c r="N38" s="41"/>
    </row>
    <row r="39" spans="1:14" ht="14.25" customHeight="1" x14ac:dyDescent="0.2">
      <c r="A39" s="334"/>
      <c r="B39" s="6" t="s">
        <v>20</v>
      </c>
      <c r="C39" s="6" t="s">
        <v>52</v>
      </c>
      <c r="D39" s="6" t="s">
        <v>54</v>
      </c>
      <c r="E39" s="190">
        <v>50</v>
      </c>
      <c r="F39" s="176">
        <f>SUM(E39:E42)</f>
        <v>500</v>
      </c>
      <c r="G39" s="6" t="s">
        <v>56</v>
      </c>
      <c r="H39" s="14" t="s">
        <v>30</v>
      </c>
      <c r="I39" s="65">
        <v>0.27500000000000002</v>
      </c>
      <c r="J39" s="51"/>
      <c r="K39" s="27">
        <f t="shared" si="0"/>
        <v>13.750000000000002</v>
      </c>
      <c r="L39" s="27">
        <f>SUM(K39:K42)</f>
        <v>70.05</v>
      </c>
      <c r="M39" s="37">
        <f ca="1">F39/E52</f>
        <v>3.1482181085505601E-2</v>
      </c>
      <c r="N39" s="41">
        <f>L39/F39</f>
        <v>0.1401</v>
      </c>
    </row>
    <row r="40" spans="1:14" ht="14.25" customHeight="1" x14ac:dyDescent="0.2">
      <c r="A40" s="334"/>
      <c r="B40" s="6" t="s">
        <v>20</v>
      </c>
      <c r="C40" s="6" t="s">
        <v>52</v>
      </c>
      <c r="D40" s="6" t="s">
        <v>53</v>
      </c>
      <c r="E40" s="190">
        <v>200</v>
      </c>
      <c r="F40" s="176"/>
      <c r="G40" s="6" t="s">
        <v>57</v>
      </c>
      <c r="H40" s="14" t="s">
        <v>30</v>
      </c>
      <c r="I40" s="65">
        <v>0.125</v>
      </c>
      <c r="J40" s="51"/>
      <c r="K40" s="27">
        <f t="shared" si="0"/>
        <v>25</v>
      </c>
      <c r="L40" s="27"/>
      <c r="M40" s="37"/>
      <c r="N40" s="41"/>
    </row>
    <row r="41" spans="1:14" ht="14.25" customHeight="1" x14ac:dyDescent="0.2">
      <c r="A41" s="334"/>
      <c r="B41" s="6" t="s">
        <v>20</v>
      </c>
      <c r="C41" s="6" t="s">
        <v>52</v>
      </c>
      <c r="D41" s="6" t="s">
        <v>40</v>
      </c>
      <c r="E41" s="190">
        <v>50</v>
      </c>
      <c r="F41" s="176"/>
      <c r="G41" s="6" t="s">
        <v>56</v>
      </c>
      <c r="H41" s="14" t="s">
        <v>30</v>
      </c>
      <c r="I41" s="65">
        <v>0.34200000000000003</v>
      </c>
      <c r="J41" s="51"/>
      <c r="K41" s="27">
        <f t="shared" si="0"/>
        <v>17.100000000000001</v>
      </c>
      <c r="L41" s="27"/>
      <c r="M41" s="37"/>
      <c r="N41" s="41"/>
    </row>
    <row r="42" spans="1:14" ht="14.25" customHeight="1" x14ac:dyDescent="0.2">
      <c r="A42" s="334"/>
      <c r="B42" s="6" t="s">
        <v>20</v>
      </c>
      <c r="C42" s="6" t="s">
        <v>52</v>
      </c>
      <c r="D42" s="6" t="s">
        <v>55</v>
      </c>
      <c r="E42" s="190">
        <v>200</v>
      </c>
      <c r="F42" s="176"/>
      <c r="G42" s="6" t="s">
        <v>57</v>
      </c>
      <c r="H42" s="14" t="s">
        <v>30</v>
      </c>
      <c r="I42" s="65">
        <v>7.0999999999999994E-2</v>
      </c>
      <c r="J42" s="51"/>
      <c r="K42" s="27">
        <f t="shared" si="0"/>
        <v>14.2</v>
      </c>
      <c r="L42" s="27"/>
      <c r="M42" s="37"/>
      <c r="N42" s="41"/>
    </row>
    <row r="43" spans="1:14" ht="14.25" customHeight="1" x14ac:dyDescent="0.2">
      <c r="A43" s="334" t="s">
        <v>13</v>
      </c>
      <c r="B43" s="17"/>
      <c r="C43" s="17"/>
      <c r="D43" s="21"/>
      <c r="E43" s="190"/>
      <c r="F43" s="131"/>
      <c r="G43" s="17"/>
      <c r="H43" s="18"/>
      <c r="I43" s="65"/>
      <c r="J43" s="51"/>
      <c r="K43" s="27"/>
      <c r="L43" s="27"/>
      <c r="M43" s="37"/>
      <c r="N43" s="41"/>
    </row>
    <row r="44" spans="1:14" ht="14.25" customHeight="1" x14ac:dyDescent="0.2">
      <c r="A44" s="334"/>
      <c r="B44" s="22" t="s">
        <v>14</v>
      </c>
      <c r="C44" s="22" t="s">
        <v>126</v>
      </c>
      <c r="D44" s="22" t="s">
        <v>112</v>
      </c>
      <c r="E44" s="192">
        <v>100</v>
      </c>
      <c r="F44" s="177">
        <f>SUM(E44:E44)</f>
        <v>100</v>
      </c>
      <c r="G44" s="22" t="s">
        <v>113</v>
      </c>
      <c r="H44" s="23" t="s">
        <v>31</v>
      </c>
      <c r="I44" s="65">
        <v>0.19700000000000001</v>
      </c>
      <c r="J44" s="51"/>
      <c r="K44" s="27">
        <f t="shared" si="0"/>
        <v>19.7</v>
      </c>
      <c r="L44" s="27">
        <f>SUM(K44:K44)</f>
        <v>19.7</v>
      </c>
      <c r="M44" s="37">
        <f ca="1">F44/E52</f>
        <v>6.2964362171011208E-3</v>
      </c>
      <c r="N44" s="41">
        <f>L44/F44</f>
        <v>0.19699999999999998</v>
      </c>
    </row>
    <row r="45" spans="1:14" ht="14.25" customHeight="1" x14ac:dyDescent="0.2">
      <c r="A45" s="334"/>
      <c r="B45" s="2" t="s">
        <v>114</v>
      </c>
      <c r="C45" s="2" t="s">
        <v>115</v>
      </c>
      <c r="D45" s="2" t="s">
        <v>116</v>
      </c>
      <c r="E45" s="190">
        <v>100</v>
      </c>
      <c r="F45" s="24">
        <f>SUM(E45:E45)</f>
        <v>100</v>
      </c>
      <c r="G45" s="2" t="s">
        <v>117</v>
      </c>
      <c r="H45" s="5" t="s">
        <v>31</v>
      </c>
      <c r="I45" s="65">
        <v>6.0999999999999999E-2</v>
      </c>
      <c r="J45" s="51"/>
      <c r="K45" s="27">
        <f t="shared" si="0"/>
        <v>6.1</v>
      </c>
      <c r="L45" s="27">
        <f>SUM(K45)</f>
        <v>6.1</v>
      </c>
      <c r="M45" s="37">
        <f ca="1">F45/E52</f>
        <v>6.2964362171011208E-3</v>
      </c>
      <c r="N45" s="41">
        <f>L45/F45</f>
        <v>6.0999999999999999E-2</v>
      </c>
    </row>
    <row r="46" spans="1:14" ht="14.25" customHeight="1" collapsed="1" x14ac:dyDescent="0.2">
      <c r="A46" s="334" t="s">
        <v>16</v>
      </c>
      <c r="B46" s="6" t="s">
        <v>76</v>
      </c>
      <c r="C46" s="6" t="s">
        <v>77</v>
      </c>
      <c r="D46" s="6" t="s">
        <v>79</v>
      </c>
      <c r="E46" s="191">
        <v>100</v>
      </c>
      <c r="F46" s="176">
        <f>SUM(E46:E48)</f>
        <v>556</v>
      </c>
      <c r="G46" s="6" t="s">
        <v>78</v>
      </c>
      <c r="H46" s="14" t="s">
        <v>31</v>
      </c>
      <c r="I46" s="65">
        <v>1.0999999999999999E-2</v>
      </c>
      <c r="J46" s="51"/>
      <c r="K46" s="27">
        <f t="shared" si="0"/>
        <v>1.0999999999999999</v>
      </c>
      <c r="L46" s="27">
        <f>SUM(K46:K48)</f>
        <v>94.171999999999997</v>
      </c>
      <c r="M46" s="37">
        <f ca="1">F46/E52</f>
        <v>3.500818536708223E-2</v>
      </c>
      <c r="N46" s="41">
        <f>L46/F46</f>
        <v>0.16937410071942446</v>
      </c>
    </row>
    <row r="47" spans="1:14" ht="14.25" customHeight="1" x14ac:dyDescent="0.2">
      <c r="A47" s="334"/>
      <c r="B47" s="2" t="s">
        <v>84</v>
      </c>
      <c r="C47" s="2" t="s">
        <v>81</v>
      </c>
      <c r="D47" s="2" t="s">
        <v>41</v>
      </c>
      <c r="E47" s="190">
        <v>200</v>
      </c>
      <c r="F47" s="24"/>
      <c r="G47" s="2" t="s">
        <v>82</v>
      </c>
      <c r="H47" s="5" t="s">
        <v>31</v>
      </c>
      <c r="I47" s="65">
        <v>0.28999999999999998</v>
      </c>
      <c r="J47" s="51"/>
      <c r="K47" s="27">
        <f t="shared" si="0"/>
        <v>57.999999999999993</v>
      </c>
      <c r="L47" s="27"/>
      <c r="M47" s="37"/>
      <c r="N47" s="41"/>
    </row>
    <row r="48" spans="1:14" ht="14.25" customHeight="1" x14ac:dyDescent="0.2">
      <c r="A48" s="334"/>
      <c r="B48" s="2" t="s">
        <v>84</v>
      </c>
      <c r="C48" s="2" t="s">
        <v>81</v>
      </c>
      <c r="D48" s="2" t="s">
        <v>42</v>
      </c>
      <c r="E48" s="190">
        <v>256</v>
      </c>
      <c r="F48" s="24"/>
      <c r="G48" s="2" t="s">
        <v>83</v>
      </c>
      <c r="H48" s="5" t="s">
        <v>31</v>
      </c>
      <c r="I48" s="65">
        <v>0.13700000000000001</v>
      </c>
      <c r="J48" s="51"/>
      <c r="K48" s="27">
        <f t="shared" si="0"/>
        <v>35.072000000000003</v>
      </c>
      <c r="L48" s="27"/>
      <c r="M48" s="37"/>
      <c r="N48" s="41"/>
    </row>
    <row r="49" spans="1:14" ht="70.5" customHeight="1" x14ac:dyDescent="0.2">
      <c r="A49" s="181" t="s">
        <v>143</v>
      </c>
      <c r="B49" s="182" t="s">
        <v>145</v>
      </c>
      <c r="C49" s="182" t="s">
        <v>144</v>
      </c>
      <c r="D49" s="182" t="s">
        <v>148</v>
      </c>
      <c r="E49" s="64">
        <v>128</v>
      </c>
      <c r="F49" s="184">
        <v>128</v>
      </c>
      <c r="G49" s="183" t="s">
        <v>147</v>
      </c>
      <c r="H49" s="185" t="s">
        <v>146</v>
      </c>
      <c r="I49" s="70">
        <v>0.23400000000000001</v>
      </c>
      <c r="J49" s="51"/>
      <c r="K49" s="186">
        <f t="shared" si="0"/>
        <v>29.952000000000002</v>
      </c>
      <c r="L49" s="26"/>
      <c r="M49" s="187"/>
      <c r="N49" s="188"/>
    </row>
    <row r="50" spans="1:14" ht="14.25" customHeight="1" x14ac:dyDescent="0.2">
      <c r="A50" s="9"/>
      <c r="B50" s="2"/>
      <c r="C50" s="2"/>
      <c r="D50" s="2"/>
      <c r="E50" s="24"/>
      <c r="F50" s="25"/>
      <c r="G50" s="2"/>
      <c r="H50" s="5"/>
      <c r="J50" s="13"/>
      <c r="K50" s="13"/>
      <c r="L50" s="13"/>
      <c r="M50" s="38"/>
      <c r="N50" s="42"/>
    </row>
    <row r="51" spans="1:14" ht="14.25" customHeight="1" x14ac:dyDescent="0.2">
      <c r="A51" s="9"/>
      <c r="B51" s="2"/>
      <c r="C51" s="2"/>
      <c r="D51" s="2" t="s">
        <v>123</v>
      </c>
      <c r="E51" s="24">
        <f>SUM(E3:E48)</f>
        <v>15535</v>
      </c>
      <c r="F51" s="24"/>
      <c r="G51" s="2"/>
      <c r="H51" s="5"/>
      <c r="I51" s="13"/>
      <c r="J51" s="12"/>
      <c r="K51" s="12"/>
      <c r="L51" s="12"/>
      <c r="M51" s="38"/>
      <c r="N51" s="42"/>
    </row>
    <row r="52" spans="1:14" ht="14.25" customHeight="1" x14ac:dyDescent="0.2">
      <c r="A52" s="2"/>
      <c r="B52" s="2"/>
      <c r="C52" s="2"/>
      <c r="D52" s="2" t="s">
        <v>124</v>
      </c>
      <c r="E52" s="63" cm="1">
        <f t="array" aca="1" ref="E52" ca="1">INDIRECT("集群统计！B4")</f>
        <v>15882</v>
      </c>
      <c r="F52" s="9"/>
      <c r="G52" s="2"/>
      <c r="H52" s="2"/>
      <c r="I52" s="12"/>
      <c r="J52" s="12"/>
      <c r="K52" s="12"/>
      <c r="L52" s="12"/>
      <c r="M52" s="39"/>
      <c r="N52" s="42"/>
    </row>
    <row r="53" spans="1:14" ht="33.950000000000003" customHeight="1" x14ac:dyDescent="0.2">
      <c r="A53" s="2"/>
      <c r="B53" s="2"/>
      <c r="C53" s="2"/>
      <c r="D53" s="2" t="s">
        <v>125</v>
      </c>
      <c r="E53" s="129">
        <f ca="1">E51/E52</f>
        <v>0.97815136632665911</v>
      </c>
      <c r="F53" s="9"/>
      <c r="G53" s="32" t="s">
        <v>239</v>
      </c>
      <c r="H53" s="2"/>
      <c r="I53" s="12"/>
      <c r="J53" s="12"/>
      <c r="K53" s="12"/>
      <c r="L53" s="12"/>
      <c r="M53" s="39"/>
      <c r="N53" s="42"/>
    </row>
    <row r="54" spans="1:14" x14ac:dyDescent="0.2">
      <c r="D54" s="1" t="s">
        <v>137</v>
      </c>
      <c r="E54" s="33">
        <f>SUM(E3,E7,E18,E21,E23,E25,E27,E30,E33,E36,E39,E41,E44:E48)</f>
        <v>1909</v>
      </c>
    </row>
    <row r="55" spans="1:14" x14ac:dyDescent="0.2">
      <c r="D55" s="1" t="s">
        <v>138</v>
      </c>
      <c r="E55" s="33">
        <f>E51-E54</f>
        <v>13626</v>
      </c>
    </row>
  </sheetData>
  <mergeCells count="7">
    <mergeCell ref="K1:N1"/>
    <mergeCell ref="I1:J1"/>
    <mergeCell ref="A43:A45"/>
    <mergeCell ref="A3:A6"/>
    <mergeCell ref="A46:A48"/>
    <mergeCell ref="A7:A19"/>
    <mergeCell ref="A21:A42"/>
  </mergeCells>
  <phoneticPr fontId="7" type="noConversion"/>
  <pageMargins left="0.7" right="0.7" top="0.75" bottom="0.75" header="0.3" footer="0.3"/>
  <pageSetup paperSize="9" orientation="portrait" r:id="rId1"/>
  <ignoredErrors>
    <ignoredError sqref="F7 F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0"/>
  <sheetViews>
    <sheetView tabSelected="1" topLeftCell="D1" zoomScale="160" zoomScaleNormal="160" workbookViewId="0">
      <selection activeCell="N3" sqref="N3"/>
    </sheetView>
  </sheetViews>
  <sheetFormatPr defaultRowHeight="14.25" x14ac:dyDescent="0.2"/>
  <cols>
    <col min="1" max="2" width="8.625" style="335" customWidth="1"/>
    <col min="3" max="13" width="9" style="335"/>
    <col min="14" max="14" width="20" customWidth="1"/>
    <col min="15" max="15" width="11.25" customWidth="1"/>
    <col min="16" max="16" width="11.625" style="48" bestFit="1" customWidth="1"/>
    <col min="17" max="18" width="11.625" style="48" customWidth="1"/>
    <col min="19" max="20" width="13.625" style="48" customWidth="1"/>
    <col min="21" max="21" width="11.625" style="48" customWidth="1"/>
  </cols>
  <sheetData>
    <row r="1" spans="14:21" x14ac:dyDescent="0.2">
      <c r="N1" s="53"/>
      <c r="O1" s="14"/>
      <c r="P1" s="180" t="s">
        <v>516</v>
      </c>
      <c r="Q1" s="180"/>
      <c r="R1" s="180"/>
      <c r="S1" s="180"/>
      <c r="T1" s="180"/>
      <c r="U1" s="180"/>
    </row>
    <row r="2" spans="14:21" x14ac:dyDescent="0.2">
      <c r="N2" s="54" t="s">
        <v>135</v>
      </c>
      <c r="O2" s="36" t="s">
        <v>546</v>
      </c>
      <c r="P2" s="45" t="s">
        <v>139</v>
      </c>
      <c r="Q2" s="45" t="s">
        <v>280</v>
      </c>
      <c r="R2" s="45" t="s">
        <v>281</v>
      </c>
      <c r="S2" s="45" t="s">
        <v>282</v>
      </c>
      <c r="T2" s="45" t="s">
        <v>283</v>
      </c>
      <c r="U2" s="45" t="s">
        <v>541</v>
      </c>
    </row>
    <row r="3" spans="14:21" ht="14.25" customHeight="1" x14ac:dyDescent="0.2">
      <c r="N3" s="54" t="s">
        <v>85</v>
      </c>
      <c r="O3" s="62"/>
      <c r="P3" s="65" cm="1">
        <f t="array" aca="1" ref="P3" ca="1">INDIRECT("前端资源分配！M11")</f>
        <v>0.68631154766402214</v>
      </c>
      <c r="Q3" s="45">
        <v>0.71682765632943568</v>
      </c>
      <c r="R3" s="45">
        <v>0.72553257178141406</v>
      </c>
      <c r="S3" s="45">
        <v>0.62136586478166689</v>
      </c>
      <c r="T3" s="45">
        <v>0.68631154766402214</v>
      </c>
      <c r="U3" s="45"/>
    </row>
    <row r="4" spans="14:21" x14ac:dyDescent="0.2">
      <c r="N4" s="75" t="s">
        <v>166</v>
      </c>
      <c r="O4" s="62"/>
      <c r="P4" s="65" cm="1">
        <f t="array" aca="1" ref="P4" ca="1">INDIRECT("前端资源分配！M7")</f>
        <v>4.4075053519707842E-2</v>
      </c>
      <c r="Q4" s="45">
        <v>3.5587188612099648E-2</v>
      </c>
      <c r="R4" s="45">
        <v>3.6019347535247506E-2</v>
      </c>
      <c r="S4" s="45">
        <v>3.9904229848363927E-2</v>
      </c>
      <c r="T4" s="45">
        <v>4.4075053519707842E-2</v>
      </c>
      <c r="U4" s="45"/>
    </row>
    <row r="5" spans="14:21" x14ac:dyDescent="0.2">
      <c r="N5" s="54" t="s">
        <v>165</v>
      </c>
      <c r="O5" s="62"/>
      <c r="P5" s="65" cm="1">
        <f t="array" aca="1" ref="P5" ca="1">INDIRECT("前端资源分配！M3")</f>
        <v>2.2037526759853921E-2</v>
      </c>
      <c r="Q5" s="45">
        <v>5.0838840874428059E-3</v>
      </c>
      <c r="R5" s="45">
        <v>1.0291242152927859E-2</v>
      </c>
      <c r="S5" s="45">
        <v>1.9952114924181964E-2</v>
      </c>
      <c r="T5" s="45">
        <v>2.2037526759853921E-2</v>
      </c>
      <c r="U5" s="45"/>
    </row>
    <row r="6" spans="14:21" x14ac:dyDescent="0.2">
      <c r="N6" s="54" t="s">
        <v>132</v>
      </c>
      <c r="O6" s="62"/>
      <c r="P6" s="65" cm="1">
        <f t="array" aca="1" ref="P6" ca="1">INDIRECT("前端资源分配！M23")</f>
        <v>2.5185744868404483E-2</v>
      </c>
      <c r="Q6" s="45">
        <v>2.2877478393492627E-2</v>
      </c>
      <c r="R6" s="45">
        <v>5.660183184110322E-2</v>
      </c>
      <c r="S6" s="45">
        <v>6.2706646904571881E-2</v>
      </c>
      <c r="T6" s="45">
        <v>2.5185744868404483E-2</v>
      </c>
      <c r="U6" s="45"/>
    </row>
    <row r="7" spans="14:21" x14ac:dyDescent="0.2">
      <c r="N7" s="54" t="s">
        <v>80</v>
      </c>
      <c r="O7" s="62"/>
      <c r="P7" s="65" cm="1">
        <f t="array" aca="1" ref="P7" ca="1">INDIRECT("前端资源分配！M21")</f>
        <v>3.5511900264450322E-2</v>
      </c>
      <c r="Q7" s="45">
        <v>2.8673106253177427E-2</v>
      </c>
      <c r="R7" s="45">
        <v>2.9021302871256562E-2</v>
      </c>
      <c r="S7" s="45">
        <v>3.2151408049253219E-2</v>
      </c>
      <c r="T7" s="45">
        <v>3.5511900264450322E-2</v>
      </c>
      <c r="U7" s="45"/>
    </row>
    <row r="8" spans="14:21" x14ac:dyDescent="0.2">
      <c r="N8" s="54" t="s">
        <v>136</v>
      </c>
      <c r="O8" s="62"/>
      <c r="P8" s="65" cm="1">
        <f t="array" aca="1" ref="P8" ca="1">INDIRECT("前端资源分配！M33")</f>
        <v>3.5511900264450322E-2</v>
      </c>
      <c r="Q8" s="45">
        <v>3.2536858159633959E-3</v>
      </c>
      <c r="R8" s="45">
        <v>8.4388185654008432E-3</v>
      </c>
      <c r="S8" s="45">
        <v>3.6483867289932733E-3</v>
      </c>
      <c r="T8" s="45">
        <v>3.5511900264450322E-2</v>
      </c>
      <c r="U8" s="45"/>
    </row>
    <row r="9" spans="14:21" x14ac:dyDescent="0.2">
      <c r="N9" s="54" t="s">
        <v>133</v>
      </c>
      <c r="O9" s="62"/>
      <c r="P9" s="65" cm="1">
        <f t="array" aca="1" ref="P9" ca="1">INDIRECT("前端资源分配！M27")</f>
        <v>2.5185744868404483E-2</v>
      </c>
      <c r="Q9" s="45">
        <v>2.0335536349771224E-2</v>
      </c>
      <c r="R9" s="45">
        <v>2.0582484305855717E-2</v>
      </c>
      <c r="S9" s="45">
        <v>2.2802417056207957E-2</v>
      </c>
      <c r="T9" s="45">
        <v>2.5185744868404483E-2</v>
      </c>
      <c r="U9" s="45"/>
    </row>
    <row r="10" spans="14:21" x14ac:dyDescent="0.2">
      <c r="N10" s="54" t="s">
        <v>59</v>
      </c>
      <c r="O10" s="62"/>
      <c r="P10" s="65" cm="1">
        <f t="array" aca="1" ref="P10" ca="1">INDIRECT("前端资源分配！M36")</f>
        <v>2.5248709230575494E-2</v>
      </c>
      <c r="Q10" s="45">
        <v>1.2963904422979155E-2</v>
      </c>
      <c r="R10" s="45">
        <v>2.0633940516620358E-2</v>
      </c>
      <c r="S10" s="45">
        <v>2.2859423098848478E-2</v>
      </c>
      <c r="T10" s="45">
        <v>2.5248709230575494E-2</v>
      </c>
      <c r="U10" s="45"/>
    </row>
    <row r="11" spans="14:21" x14ac:dyDescent="0.2">
      <c r="N11" s="54" t="s">
        <v>52</v>
      </c>
      <c r="O11" s="62"/>
      <c r="P11" s="65" cm="1">
        <f t="array" aca="1" ref="P11" ca="1">INDIRECT("前端资源分配！M39")</f>
        <v>3.1482181085505601E-2</v>
      </c>
      <c r="Q11" s="45">
        <v>2.541942043721403E-2</v>
      </c>
      <c r="R11" s="45">
        <v>2.5728105382319646E-2</v>
      </c>
      <c r="S11" s="45">
        <v>2.8503021320259947E-2</v>
      </c>
      <c r="T11" s="45">
        <v>3.1482181085505601E-2</v>
      </c>
      <c r="U11" s="45"/>
    </row>
    <row r="12" spans="14:21" x14ac:dyDescent="0.2">
      <c r="N12" s="54" t="s">
        <v>134</v>
      </c>
      <c r="O12" s="62"/>
      <c r="P12" s="65" cm="1">
        <f t="array" aca="1" ref="P12" ca="1">INDIRECT("前端资源分配！M46")</f>
        <v>3.500818536708223E-2</v>
      </c>
      <c r="Q12" s="45">
        <v>2.8266395526182004E-2</v>
      </c>
      <c r="R12" s="45">
        <v>2.8609653185139448E-2</v>
      </c>
      <c r="S12" s="45">
        <v>3.1695359708129062E-2</v>
      </c>
      <c r="T12" s="45">
        <v>3.500818536708223E-2</v>
      </c>
      <c r="U12" s="45"/>
    </row>
    <row r="13" spans="14:21" x14ac:dyDescent="0.2">
      <c r="N13" s="56" t="s">
        <v>126</v>
      </c>
      <c r="O13" s="62"/>
      <c r="P13" s="65" cm="1">
        <f t="array" aca="1" ref="P13" ca="1">INDIRECT("前端资源分配！M44")</f>
        <v>6.2964362171011208E-3</v>
      </c>
      <c r="Q13" s="45">
        <v>5.0838840874428059E-3</v>
      </c>
      <c r="R13" s="45">
        <v>5.1456210764639293E-3</v>
      </c>
      <c r="S13" s="45">
        <v>5.7006042640519892E-3</v>
      </c>
      <c r="T13" s="45">
        <v>6.2964362171011208E-3</v>
      </c>
      <c r="U13" s="45"/>
    </row>
    <row r="14" spans="14:21" x14ac:dyDescent="0.2">
      <c r="N14" s="54" t="s">
        <v>115</v>
      </c>
      <c r="O14" s="62"/>
      <c r="P14" s="65" cm="1">
        <f t="array" aca="1" ref="P14" ca="1">INDIRECT("前端资源分配！M45")</f>
        <v>6.2964362171011208E-3</v>
      </c>
      <c r="Q14" s="45">
        <v>5.0838840874428059E-3</v>
      </c>
      <c r="R14" s="45">
        <v>5.1456210764639293E-3</v>
      </c>
      <c r="S14" s="45">
        <v>5.7006042640519892E-3</v>
      </c>
      <c r="T14" s="45">
        <v>6.2964362171011208E-3</v>
      </c>
      <c r="U14" s="45"/>
    </row>
    <row r="15" spans="14:21" x14ac:dyDescent="0.2">
      <c r="N15" s="57"/>
      <c r="O15" s="34"/>
      <c r="P15" s="46"/>
      <c r="Q15" s="76"/>
      <c r="R15" s="76"/>
      <c r="S15" s="46"/>
      <c r="T15" s="46"/>
      <c r="U15" s="46"/>
    </row>
    <row r="16" spans="14:21" ht="14.25" customHeight="1" x14ac:dyDescent="0.2">
      <c r="N16" s="54" t="s">
        <v>85</v>
      </c>
      <c r="O16" s="36" t="s">
        <v>122</v>
      </c>
      <c r="P16" s="65" cm="1">
        <f t="array" aca="1" ref="P16" ca="1">INDIRECT("前端资源分配！N11")</f>
        <v>0.67515596330275229</v>
      </c>
      <c r="Q16" s="45">
        <v>0.84652482269503548</v>
      </c>
      <c r="R16" s="45">
        <v>0.8947588652482269</v>
      </c>
      <c r="S16" s="45">
        <v>0.79490825688073374</v>
      </c>
      <c r="T16" s="45">
        <v>0.67515596330275229</v>
      </c>
      <c r="U16" s="45"/>
    </row>
    <row r="17" spans="14:21" x14ac:dyDescent="0.2">
      <c r="N17" s="54" t="s">
        <v>167</v>
      </c>
      <c r="O17" s="36"/>
      <c r="P17" s="65" cm="1">
        <f t="array" aca="1" ref="P17" ca="1">INDIRECT("前端资源分配！N7")</f>
        <v>0.16928571428571429</v>
      </c>
      <c r="Q17" s="45">
        <v>0.31057142857142855</v>
      </c>
      <c r="R17" s="45">
        <v>0.37528571428571428</v>
      </c>
      <c r="S17" s="45">
        <v>0.21385714285714283</v>
      </c>
      <c r="T17" s="45">
        <v>0.16928571428571429</v>
      </c>
      <c r="U17" s="45"/>
    </row>
    <row r="18" spans="14:21" x14ac:dyDescent="0.2">
      <c r="N18" s="54" t="s">
        <v>165</v>
      </c>
      <c r="O18" s="36"/>
      <c r="P18" s="65" cm="1">
        <f t="array" aca="1" ref="P18" ca="1">INDIRECT("前端资源分配！N3")</f>
        <v>0.86897142857142851</v>
      </c>
      <c r="Q18" s="45">
        <v>0.78100000000000014</v>
      </c>
      <c r="R18" s="45">
        <v>0.59275</v>
      </c>
      <c r="S18" s="45">
        <v>0.73911428571428572</v>
      </c>
      <c r="T18" s="45">
        <v>0.86897142857142851</v>
      </c>
      <c r="U18" s="45"/>
    </row>
    <row r="19" spans="14:21" x14ac:dyDescent="0.2">
      <c r="N19" s="54" t="s">
        <v>140</v>
      </c>
      <c r="O19" s="36"/>
      <c r="P19" s="65" cm="1">
        <f t="array" aca="1" ref="P19" ca="1">INDIRECT("前端资源分配！N23")</f>
        <v>0.34870000000000007</v>
      </c>
      <c r="Q19" s="45">
        <v>0.23573333333333332</v>
      </c>
      <c r="R19" s="45">
        <v>0.32229090909090907</v>
      </c>
      <c r="S19" s="45">
        <v>0.74198181818181819</v>
      </c>
      <c r="T19" s="45">
        <v>0.34870000000000007</v>
      </c>
      <c r="U19" s="45"/>
    </row>
    <row r="20" spans="14:21" x14ac:dyDescent="0.2">
      <c r="N20" s="54" t="s">
        <v>80</v>
      </c>
      <c r="O20" s="36"/>
      <c r="P20" s="65" cm="1">
        <f t="array" aca="1" ref="P20" ca="1">INDIRECT("前端资源分配！N21")</f>
        <v>0.27728368794326241</v>
      </c>
      <c r="Q20" s="45">
        <v>0.40595744680851065</v>
      </c>
      <c r="R20" s="45">
        <v>0.34329078014184394</v>
      </c>
      <c r="S20" s="45">
        <v>0.32614893617021279</v>
      </c>
      <c r="T20" s="45">
        <v>0.27728368794326241</v>
      </c>
      <c r="U20" s="45"/>
    </row>
    <row r="21" spans="14:21" x14ac:dyDescent="0.2">
      <c r="N21" s="54" t="s">
        <v>136</v>
      </c>
      <c r="O21" s="36"/>
      <c r="P21" s="65" cm="1">
        <f t="array" aca="1" ref="P21" ca="1">INDIRECT("前端资源分配！N33")</f>
        <v>0.62522695035460996</v>
      </c>
      <c r="Q21" s="45">
        <v>0.13600000000000001</v>
      </c>
      <c r="R21" s="45">
        <v>0.33629268292682929</v>
      </c>
      <c r="S21" s="45">
        <v>9.0999999999999998E-2</v>
      </c>
      <c r="T21" s="45">
        <v>0.62522695035460996</v>
      </c>
      <c r="U21" s="45"/>
    </row>
    <row r="22" spans="14:21" x14ac:dyDescent="0.2">
      <c r="N22" s="54" t="s">
        <v>133</v>
      </c>
      <c r="O22" s="36"/>
      <c r="P22" s="65" cm="1">
        <f t="array" aca="1" ref="P22" ca="1">INDIRECT("前端资源分配！N27")</f>
        <v>9.6250000000000002E-2</v>
      </c>
      <c r="Q22" s="45">
        <v>0.14175000000000001</v>
      </c>
      <c r="R22" s="45">
        <v>0.17399999999999999</v>
      </c>
      <c r="S22" s="45">
        <v>0.1245</v>
      </c>
      <c r="T22" s="45">
        <v>9.6250000000000002E-2</v>
      </c>
      <c r="U22" s="45"/>
    </row>
    <row r="23" spans="14:21" x14ac:dyDescent="0.2">
      <c r="N23" s="54" t="s">
        <v>59</v>
      </c>
      <c r="O23" s="36"/>
      <c r="P23" s="65" cm="1">
        <f t="array" aca="1" ref="P23" ca="1">INDIRECT("前端资源分配！N36")</f>
        <v>0.46508728179551123</v>
      </c>
      <c r="Q23" s="45">
        <v>0.3462745098039216</v>
      </c>
      <c r="R23" s="45">
        <v>0.31496259351620942</v>
      </c>
      <c r="S23" s="45">
        <v>0.50847880299251869</v>
      </c>
      <c r="T23" s="45">
        <v>0.46508728179551123</v>
      </c>
      <c r="U23" s="45"/>
    </row>
    <row r="24" spans="14:21" x14ac:dyDescent="0.2">
      <c r="N24" s="54" t="s">
        <v>52</v>
      </c>
      <c r="O24" s="36"/>
      <c r="P24" s="65" cm="1">
        <f t="array" aca="1" ref="P24" ca="1">INDIRECT("前端资源分配！N39")</f>
        <v>0.1401</v>
      </c>
      <c r="Q24" s="45">
        <v>0.1653</v>
      </c>
      <c r="R24" s="45">
        <v>0.1489</v>
      </c>
      <c r="S24" s="45">
        <v>0.19260000000000002</v>
      </c>
      <c r="T24" s="45">
        <v>0.1401</v>
      </c>
      <c r="U24" s="45"/>
    </row>
    <row r="25" spans="14:21" x14ac:dyDescent="0.2">
      <c r="N25" s="54" t="s">
        <v>134</v>
      </c>
      <c r="O25" s="36"/>
      <c r="P25" s="65" cm="1">
        <f t="array" aca="1" ref="P25" ca="1">INDIRECT("前端资源分配！N46")</f>
        <v>0.16937410071942446</v>
      </c>
      <c r="Q25" s="45">
        <v>0.32392805755395687</v>
      </c>
      <c r="R25" s="45">
        <v>0.27154676258992805</v>
      </c>
      <c r="S25" s="45">
        <v>0.2683381294964029</v>
      </c>
      <c r="T25" s="45">
        <v>0.16937410071942446</v>
      </c>
      <c r="U25" s="45"/>
    </row>
    <row r="26" spans="14:21" x14ac:dyDescent="0.2">
      <c r="N26" s="56" t="s">
        <v>126</v>
      </c>
      <c r="O26" s="36"/>
      <c r="P26" s="65" cm="1">
        <f t="array" aca="1" ref="P26" ca="1">INDIRECT("前端资源分配！N44")</f>
        <v>0.19699999999999998</v>
      </c>
      <c r="Q26" s="45">
        <v>0.254</v>
      </c>
      <c r="R26" s="45">
        <v>0.254</v>
      </c>
      <c r="S26" s="45">
        <v>0.22900000000000001</v>
      </c>
      <c r="T26" s="45">
        <v>0.19699999999999998</v>
      </c>
      <c r="U26" s="45"/>
    </row>
    <row r="27" spans="14:21" x14ac:dyDescent="0.2">
      <c r="N27" s="54" t="s">
        <v>115</v>
      </c>
      <c r="O27" s="36"/>
      <c r="P27" s="65" cm="1">
        <f t="array" aca="1" ref="P27" ca="1">INDIRECT("前端资源分配！N45")</f>
        <v>6.0999999999999999E-2</v>
      </c>
      <c r="Q27" s="45">
        <v>4.5999999999999999E-2</v>
      </c>
      <c r="R27" s="45">
        <v>5.8999999999999997E-2</v>
      </c>
      <c r="S27" s="45">
        <v>8.7999999999999995E-2</v>
      </c>
      <c r="T27" s="45">
        <v>6.0999999999999999E-2</v>
      </c>
      <c r="U27" s="45"/>
    </row>
    <row r="28" spans="14:21" x14ac:dyDescent="0.2">
      <c r="N28" s="58"/>
      <c r="O28" s="35"/>
      <c r="P28" s="47"/>
      <c r="Q28" s="47"/>
      <c r="R28" s="47"/>
      <c r="S28" s="47"/>
      <c r="T28" s="47"/>
      <c r="U28" s="47"/>
    </row>
    <row r="29" spans="14:21" ht="14.25" customHeight="1" x14ac:dyDescent="0.2">
      <c r="N29" s="59" t="s">
        <v>85</v>
      </c>
      <c r="O29" s="49" t="s">
        <v>121</v>
      </c>
      <c r="P29" s="50">
        <v>0.41</v>
      </c>
      <c r="Q29" s="50"/>
      <c r="R29" s="50"/>
      <c r="S29" s="50"/>
      <c r="T29" s="50"/>
      <c r="U29" s="50"/>
    </row>
    <row r="30" spans="14:21" x14ac:dyDescent="0.2">
      <c r="N30" s="60" t="s">
        <v>45</v>
      </c>
      <c r="O30" s="49"/>
      <c r="P30" s="50">
        <v>0.38</v>
      </c>
      <c r="Q30" s="50"/>
      <c r="R30" s="50"/>
      <c r="S30" s="50"/>
      <c r="T30" s="50"/>
      <c r="U30" s="50"/>
    </row>
    <row r="31" spans="14:21" x14ac:dyDescent="0.2">
      <c r="N31" s="59" t="s">
        <v>103</v>
      </c>
      <c r="O31" s="49"/>
      <c r="P31" s="50">
        <v>0.15</v>
      </c>
      <c r="Q31" s="50"/>
      <c r="R31" s="50"/>
      <c r="S31" s="50"/>
      <c r="T31" s="50"/>
      <c r="U31" s="50"/>
    </row>
    <row r="32" spans="14:21" x14ac:dyDescent="0.2">
      <c r="N32" s="59" t="s">
        <v>132</v>
      </c>
      <c r="O32" s="49"/>
      <c r="P32" s="50">
        <v>0.11</v>
      </c>
      <c r="Q32" s="50"/>
      <c r="R32" s="50"/>
      <c r="S32" s="50"/>
      <c r="T32" s="50"/>
      <c r="U32" s="50"/>
    </row>
    <row r="33" spans="1:21" x14ac:dyDescent="0.2">
      <c r="N33" s="59" t="s">
        <v>80</v>
      </c>
      <c r="O33" s="49"/>
      <c r="P33" s="50">
        <v>0.1</v>
      </c>
      <c r="Q33" s="50"/>
      <c r="R33" s="50"/>
      <c r="S33" s="50"/>
      <c r="T33" s="50"/>
      <c r="U33" s="50"/>
    </row>
    <row r="34" spans="1:21" x14ac:dyDescent="0.2">
      <c r="N34" s="59" t="s">
        <v>136</v>
      </c>
      <c r="O34" s="49"/>
      <c r="P34" s="50">
        <v>0.06</v>
      </c>
      <c r="Q34" s="50"/>
      <c r="R34" s="50"/>
      <c r="S34" s="50"/>
      <c r="T34" s="50"/>
      <c r="U34" s="50"/>
    </row>
    <row r="35" spans="1:21" x14ac:dyDescent="0.2">
      <c r="N35" s="59" t="s">
        <v>133</v>
      </c>
      <c r="O35" s="49"/>
      <c r="P35" s="50">
        <v>0.05</v>
      </c>
      <c r="Q35" s="50"/>
      <c r="R35" s="50"/>
      <c r="S35" s="50"/>
      <c r="T35" s="50"/>
      <c r="U35" s="50"/>
    </row>
    <row r="36" spans="1:21" x14ac:dyDescent="0.2">
      <c r="N36" s="59" t="s">
        <v>59</v>
      </c>
      <c r="O36" s="49"/>
      <c r="P36" s="50">
        <v>0.05</v>
      </c>
      <c r="Q36" s="50"/>
      <c r="R36" s="50"/>
      <c r="S36" s="50"/>
      <c r="T36" s="50"/>
      <c r="U36" s="50"/>
    </row>
    <row r="37" spans="1:21" x14ac:dyDescent="0.2">
      <c r="N37" s="59" t="s">
        <v>52</v>
      </c>
      <c r="O37" s="49"/>
      <c r="P37" s="50">
        <v>0.05</v>
      </c>
      <c r="Q37" s="50"/>
      <c r="R37" s="50"/>
      <c r="S37" s="50"/>
      <c r="T37" s="50"/>
      <c r="U37" s="50"/>
    </row>
    <row r="38" spans="1:21" x14ac:dyDescent="0.2">
      <c r="N38" s="59" t="s">
        <v>134</v>
      </c>
      <c r="O38" s="49"/>
      <c r="P38" s="50">
        <v>0.03</v>
      </c>
      <c r="Q38" s="50"/>
      <c r="R38" s="50"/>
      <c r="S38" s="50"/>
      <c r="T38" s="50"/>
      <c r="U38" s="50"/>
    </row>
    <row r="39" spans="1:21" x14ac:dyDescent="0.2">
      <c r="N39" s="61" t="s">
        <v>126</v>
      </c>
      <c r="O39" s="49"/>
      <c r="P39" s="50">
        <v>0.01</v>
      </c>
      <c r="Q39" s="50"/>
      <c r="R39" s="50"/>
      <c r="S39" s="50"/>
      <c r="T39" s="50"/>
      <c r="U39" s="50"/>
    </row>
    <row r="40" spans="1:21" x14ac:dyDescent="0.2">
      <c r="N40" s="59" t="s">
        <v>115</v>
      </c>
      <c r="O40" s="49"/>
      <c r="P40" s="50">
        <v>0.01</v>
      </c>
      <c r="Q40" s="50"/>
      <c r="R40" s="50"/>
      <c r="S40" s="50"/>
      <c r="T40" s="50"/>
      <c r="U40" s="50"/>
    </row>
    <row r="42" spans="1:21" x14ac:dyDescent="0.2">
      <c r="N42" s="53"/>
      <c r="O42" s="14"/>
      <c r="P42" s="44"/>
      <c r="Q42" s="44"/>
      <c r="R42" s="44"/>
      <c r="S42" s="44"/>
      <c r="T42" s="44"/>
      <c r="U42" s="44"/>
    </row>
    <row r="43" spans="1:21" s="1" customFormat="1" ht="14.25" customHeight="1" x14ac:dyDescent="0.2">
      <c r="A43" s="335"/>
      <c r="B43" s="335"/>
      <c r="C43" s="335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54" t="s">
        <v>135</v>
      </c>
      <c r="O43" s="36" t="s">
        <v>141</v>
      </c>
      <c r="P43" s="45" t="s">
        <v>142</v>
      </c>
      <c r="Q43" s="45" t="s">
        <v>280</v>
      </c>
      <c r="R43" s="45" t="s">
        <v>281</v>
      </c>
      <c r="S43" s="45" t="s">
        <v>282</v>
      </c>
      <c r="T43" s="45" t="s">
        <v>283</v>
      </c>
      <c r="U43" s="45" t="s">
        <v>541</v>
      </c>
    </row>
    <row r="44" spans="1:21" s="1" customFormat="1" ht="14.25" customHeight="1" x14ac:dyDescent="0.2">
      <c r="A44" s="335"/>
      <c r="B44" s="335"/>
      <c r="C44" s="335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54" t="s">
        <v>85</v>
      </c>
      <c r="O44" s="62"/>
      <c r="P44" s="178" cm="1">
        <f t="array" aca="1" ref="P44" ca="1">INDIRECT("前端资源分配!L11")</f>
        <v>7359.2</v>
      </c>
      <c r="Q44" s="63">
        <v>11936</v>
      </c>
      <c r="R44" s="63">
        <v>12616.099999999999</v>
      </c>
      <c r="S44" s="63">
        <v>8664.4999999999982</v>
      </c>
      <c r="T44" s="63">
        <v>7359.2</v>
      </c>
      <c r="U44" s="63"/>
    </row>
    <row r="45" spans="1:21" s="1" customFormat="1" ht="14.25" customHeight="1" x14ac:dyDescent="0.2">
      <c r="A45" s="335"/>
      <c r="B45" s="335"/>
      <c r="C45" s="335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75" t="s">
        <v>167</v>
      </c>
      <c r="O45" s="62"/>
      <c r="P45" s="178" cm="1">
        <f t="array" aca="1" ref="P45" ca="1">INDIRECT("前端资源分配!L7")</f>
        <v>118.5</v>
      </c>
      <c r="Q45" s="63">
        <v>217.4</v>
      </c>
      <c r="R45" s="63">
        <v>262.7</v>
      </c>
      <c r="S45" s="63">
        <v>149.69999999999999</v>
      </c>
      <c r="T45" s="63">
        <v>118.5</v>
      </c>
      <c r="U45" s="63"/>
    </row>
    <row r="46" spans="1:21" s="1" customFormat="1" ht="14.25" customHeight="1" x14ac:dyDescent="0.2">
      <c r="A46" s="335"/>
      <c r="B46" s="335"/>
      <c r="C46" s="335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54" t="s">
        <v>165</v>
      </c>
      <c r="O46" s="62"/>
      <c r="P46" s="178" cm="1">
        <f t="array" aca="1" ref="P46" ca="1">INDIRECT("前端资源分配！L3")</f>
        <v>304.14</v>
      </c>
      <c r="Q46" s="63">
        <v>78.100000000000009</v>
      </c>
      <c r="R46" s="63">
        <v>118.55</v>
      </c>
      <c r="S46" s="63">
        <v>258.69</v>
      </c>
      <c r="T46" s="63">
        <v>304.14</v>
      </c>
      <c r="U46" s="63"/>
    </row>
    <row r="47" spans="1:21" s="1" customFormat="1" ht="14.25" customHeight="1" x14ac:dyDescent="0.2">
      <c r="A47" s="335"/>
      <c r="B47" s="335"/>
      <c r="C47" s="335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54" t="s">
        <v>132</v>
      </c>
      <c r="O47" s="62"/>
      <c r="P47" s="178" cm="1">
        <f t="array" aca="1" ref="P47" ca="1">INDIRECT("前端资源分配！L23")</f>
        <v>139.48000000000002</v>
      </c>
      <c r="Q47" s="63">
        <v>106.08</v>
      </c>
      <c r="R47" s="63">
        <v>354.52</v>
      </c>
      <c r="S47" s="63">
        <v>816.18</v>
      </c>
      <c r="T47" s="63">
        <v>139.48000000000002</v>
      </c>
      <c r="U47" s="63"/>
    </row>
    <row r="48" spans="1:21" s="1" customFormat="1" ht="14.25" customHeight="1" x14ac:dyDescent="0.2">
      <c r="A48" s="335"/>
      <c r="B48" s="335"/>
      <c r="C48" s="335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54" t="s">
        <v>80</v>
      </c>
      <c r="O48" s="62"/>
      <c r="P48" s="178" cm="1">
        <f t="array" aca="1" ref="P48" ca="1">INDIRECT("前端资源分配！L21")</f>
        <v>156.38800000000001</v>
      </c>
      <c r="Q48" s="63">
        <v>228.96</v>
      </c>
      <c r="R48" s="63">
        <v>193.61599999999999</v>
      </c>
      <c r="S48" s="63">
        <v>183.94800000000001</v>
      </c>
      <c r="T48" s="63">
        <v>156.38800000000001</v>
      </c>
      <c r="U48" s="63"/>
    </row>
    <row r="49" spans="1:21" s="1" customFormat="1" ht="14.25" customHeight="1" x14ac:dyDescent="0.2">
      <c r="A49" s="335"/>
      <c r="B49" s="335"/>
      <c r="C49" s="335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54" t="s">
        <v>136</v>
      </c>
      <c r="O49" s="62"/>
      <c r="P49" s="178" cm="1">
        <f t="array" aca="1" ref="P49" ca="1">INDIRECT("前端资源分配！L33")</f>
        <v>352.62799999999999</v>
      </c>
      <c r="Q49" s="63">
        <v>8.7040000000000006</v>
      </c>
      <c r="R49" s="63">
        <v>55.152000000000001</v>
      </c>
      <c r="S49" s="63">
        <v>5.8239999999999998</v>
      </c>
      <c r="T49" s="63">
        <v>352.62799999999999</v>
      </c>
      <c r="U49" s="63"/>
    </row>
    <row r="50" spans="1:21" s="1" customFormat="1" ht="14.25" customHeight="1" x14ac:dyDescent="0.2">
      <c r="A50" s="335"/>
      <c r="B50" s="335"/>
      <c r="C50" s="335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54" t="s">
        <v>133</v>
      </c>
      <c r="O50" s="62"/>
      <c r="P50" s="178" cm="1">
        <f t="array" aca="1" ref="P50" ca="1">INDIRECT("前端资源分配！L27")</f>
        <v>38.5</v>
      </c>
      <c r="Q50" s="63">
        <v>56.7</v>
      </c>
      <c r="R50" s="63">
        <v>69.599999999999994</v>
      </c>
      <c r="S50" s="63">
        <v>49.8</v>
      </c>
      <c r="T50" s="63">
        <v>38.5</v>
      </c>
      <c r="U50" s="63"/>
    </row>
    <row r="51" spans="1:21" s="1" customFormat="1" ht="14.25" customHeight="1" x14ac:dyDescent="0.2">
      <c r="A51" s="335"/>
      <c r="B51" s="335"/>
      <c r="C51" s="335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54" t="s">
        <v>59</v>
      </c>
      <c r="O51" s="62"/>
      <c r="P51" s="178" cm="1">
        <f t="array" aca="1" ref="P51" ca="1">INDIRECT("前端资源分配！L36")</f>
        <v>186.5</v>
      </c>
      <c r="Q51" s="63">
        <v>88.300000000000011</v>
      </c>
      <c r="R51" s="63">
        <v>126.29999999999998</v>
      </c>
      <c r="S51" s="63">
        <v>203.89999999999998</v>
      </c>
      <c r="T51" s="63">
        <v>186.5</v>
      </c>
      <c r="U51" s="63"/>
    </row>
    <row r="52" spans="1:21" s="1" customFormat="1" ht="14.25" customHeight="1" x14ac:dyDescent="0.2">
      <c r="A52" s="335"/>
      <c r="B52" s="335"/>
      <c r="C52" s="335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54" t="s">
        <v>52</v>
      </c>
      <c r="O52" s="62"/>
      <c r="P52" s="178" cm="1">
        <f t="array" aca="1" ref="P52" ca="1">INDIRECT("前端资源分配！L39")</f>
        <v>70.05</v>
      </c>
      <c r="Q52" s="63">
        <v>82.65</v>
      </c>
      <c r="R52" s="63">
        <v>74.45</v>
      </c>
      <c r="S52" s="63">
        <v>96.300000000000011</v>
      </c>
      <c r="T52" s="63">
        <v>70.05</v>
      </c>
      <c r="U52" s="63"/>
    </row>
    <row r="53" spans="1:21" s="1" customFormat="1" ht="14.25" customHeight="1" x14ac:dyDescent="0.2">
      <c r="A53" s="335"/>
      <c r="B53" s="335"/>
      <c r="C53" s="335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54" t="s">
        <v>134</v>
      </c>
      <c r="O53" s="62"/>
      <c r="P53" s="178" cm="1">
        <f t="array" aca="1" ref="P53" ca="1">INDIRECT("前端资源分配！L46")</f>
        <v>94.171999999999997</v>
      </c>
      <c r="Q53" s="63">
        <v>180.10400000000001</v>
      </c>
      <c r="R53" s="63">
        <v>150.97999999999999</v>
      </c>
      <c r="S53" s="63">
        <v>149.196</v>
      </c>
      <c r="T53" s="63">
        <v>94.171999999999997</v>
      </c>
      <c r="U53" s="63"/>
    </row>
    <row r="54" spans="1:21" s="1" customFormat="1" ht="14.25" customHeight="1" collapsed="1" x14ac:dyDescent="0.2">
      <c r="A54" s="335"/>
      <c r="B54" s="335"/>
      <c r="C54" s="335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56" t="s">
        <v>126</v>
      </c>
      <c r="O54" s="62"/>
      <c r="P54" s="178" cm="1">
        <f t="array" aca="1" ref="P54" ca="1">INDIRECT("前端资源分配！L44")</f>
        <v>19.7</v>
      </c>
      <c r="Q54" s="63">
        <v>25.4</v>
      </c>
      <c r="R54" s="63">
        <v>25.4</v>
      </c>
      <c r="S54" s="63">
        <v>22.900000000000002</v>
      </c>
      <c r="T54" s="63">
        <v>19.7</v>
      </c>
      <c r="U54" s="63"/>
    </row>
    <row r="55" spans="1:21" s="1" customFormat="1" ht="14.25" customHeight="1" x14ac:dyDescent="0.2">
      <c r="A55" s="335"/>
      <c r="B55" s="335"/>
      <c r="C55" s="335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54" t="s">
        <v>115</v>
      </c>
      <c r="O55" s="62"/>
      <c r="P55" s="178" cm="1">
        <f t="array" aca="1" ref="P55" ca="1">INDIRECT("前端资源分配！L45")</f>
        <v>6.1</v>
      </c>
      <c r="Q55" s="63">
        <v>4.5999999999999996</v>
      </c>
      <c r="R55" s="63">
        <v>5.8999999999999995</v>
      </c>
      <c r="S55" s="63">
        <v>8.7999999999999989</v>
      </c>
      <c r="T55" s="63">
        <v>6.1</v>
      </c>
      <c r="U55" s="63"/>
    </row>
    <row r="56" spans="1:21" x14ac:dyDescent="0.2">
      <c r="N56" s="66" t="s">
        <v>161</v>
      </c>
      <c r="O56" s="67"/>
      <c r="P56" s="179">
        <f t="shared" ref="P56" ca="1" si="0">SUM(P44:P55)</f>
        <v>8845.3580000000002</v>
      </c>
      <c r="Q56" s="68">
        <v>13012.997999999998</v>
      </c>
      <c r="R56" s="68">
        <v>14053.267999999998</v>
      </c>
      <c r="S56" s="68">
        <v>10609.737999999998</v>
      </c>
      <c r="T56" s="68">
        <v>8845.3580000000002</v>
      </c>
      <c r="U56" s="68"/>
    </row>
    <row r="57" spans="1:21" x14ac:dyDescent="0.2">
      <c r="N57" s="18"/>
      <c r="O57" s="18"/>
      <c r="P57" s="63"/>
      <c r="Q57" s="116"/>
      <c r="R57" s="116"/>
      <c r="S57" s="116"/>
      <c r="T57" s="116"/>
      <c r="U57" s="116"/>
    </row>
    <row r="58" spans="1:21" x14ac:dyDescent="0.2">
      <c r="N58" s="67" t="s">
        <v>240</v>
      </c>
      <c r="O58" s="67"/>
      <c r="P58" s="178" cm="1">
        <f t="array" aca="1" ref="P58" ca="1">INDIRECT("前端资源分配！E51")</f>
        <v>15535</v>
      </c>
      <c r="Q58" s="68">
        <v>17889</v>
      </c>
      <c r="R58" s="68">
        <v>18885</v>
      </c>
      <c r="S58" s="68">
        <v>15735</v>
      </c>
      <c r="T58" s="68">
        <v>15535</v>
      </c>
      <c r="U58" s="68">
        <v>0</v>
      </c>
    </row>
    <row r="59" spans="1:21" x14ac:dyDescent="0.2">
      <c r="N59" s="67" t="s">
        <v>287</v>
      </c>
      <c r="O59" s="67"/>
      <c r="P59" s="73" cm="1">
        <f t="array" aca="1" ref="P59" ca="1">INDIRECT("前端资源分配！E52")</f>
        <v>15882</v>
      </c>
      <c r="Q59" s="73" cm="1">
        <f t="array" aca="1" ref="Q59" ca="1">INDIRECT("集群统计！L4")</f>
        <v>19670</v>
      </c>
      <c r="R59" s="73" cm="1">
        <f t="array" aca="1" ref="R59" ca="1">INDIRECT("集群统计！Q4")</f>
        <v>19434</v>
      </c>
      <c r="S59" s="73" cm="1">
        <f t="array" aca="1" ref="S59" ca="1">INDIRECT("集群统计！V4")</f>
        <v>17542</v>
      </c>
      <c r="T59" s="73" cm="1">
        <f t="array" aca="1" ref="T59" ca="1">INDIRECT("集群统计！AA4")</f>
        <v>15882</v>
      </c>
      <c r="U59" s="73" cm="1">
        <f t="array" aca="1" ref="U59" ca="1">INDIRECT("集群统计！AF4")</f>
        <v>0</v>
      </c>
    </row>
    <row r="60" spans="1:21" x14ac:dyDescent="0.2">
      <c r="N60" s="67" t="s">
        <v>257</v>
      </c>
      <c r="O60" s="67"/>
      <c r="P60" s="128">
        <f ca="1">P58/P59</f>
        <v>0.97815136632665911</v>
      </c>
      <c r="Q60" s="128">
        <f t="shared" ref="Q60:U60" ca="1" si="1">Q58/Q59</f>
        <v>0.90945602440264361</v>
      </c>
      <c r="R60" s="128">
        <f t="shared" ca="1" si="1"/>
        <v>0.97175054029021302</v>
      </c>
      <c r="S60" s="128">
        <f t="shared" ca="1" si="1"/>
        <v>0.89699008094858057</v>
      </c>
      <c r="T60" s="128">
        <f t="shared" ca="1" si="1"/>
        <v>0.97815136632665911</v>
      </c>
      <c r="U60" s="128" t="e">
        <f t="shared" ca="1" si="1"/>
        <v>#DIV/0!</v>
      </c>
    </row>
  </sheetData>
  <sortState xmlns:xlrd2="http://schemas.microsoft.com/office/spreadsheetml/2017/richdata2" ref="N17:U27">
    <sortCondition descending="1" ref="P16:P27"/>
  </sortState>
  <mergeCells count="1">
    <mergeCell ref="A1:M1048576"/>
  </mergeCells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activeCell="J12" sqref="J12"/>
    </sheetView>
  </sheetViews>
  <sheetFormatPr defaultColWidth="8.75" defaultRowHeight="14.25" x14ac:dyDescent="0.2"/>
  <cols>
    <col min="1" max="1" width="12.375" style="83" customWidth="1"/>
    <col min="2" max="2" width="13.25" style="83" customWidth="1"/>
    <col min="3" max="3" width="12.125" style="83" customWidth="1"/>
    <col min="4" max="4" width="18.875" style="83" customWidth="1"/>
    <col min="5" max="5" width="12.125" style="83" customWidth="1"/>
    <col min="6" max="6" width="6.75" style="83" customWidth="1"/>
    <col min="7" max="7" width="6.125" style="83" customWidth="1"/>
    <col min="8" max="8" width="13" style="83" customWidth="1"/>
    <col min="9" max="9" width="9.5" style="83" customWidth="1"/>
    <col min="10" max="10" width="10.375" style="83" customWidth="1"/>
    <col min="11" max="12" width="8.5" style="83" customWidth="1"/>
    <col min="13" max="13" width="9.125" style="83" customWidth="1"/>
    <col min="14" max="14" width="8.5" style="83" customWidth="1"/>
    <col min="15" max="16384" width="8.75" style="83"/>
  </cols>
  <sheetData>
    <row r="1" spans="1:14" x14ac:dyDescent="0.2">
      <c r="A1" s="82" t="s">
        <v>184</v>
      </c>
      <c r="B1" s="82"/>
    </row>
    <row r="2" spans="1:14" ht="40.5" customHeight="1" x14ac:dyDescent="0.2">
      <c r="A2" s="4" t="s">
        <v>0</v>
      </c>
      <c r="B2" s="8" t="s">
        <v>1</v>
      </c>
      <c r="C2" s="8" t="s">
        <v>2</v>
      </c>
      <c r="D2" s="8" t="s">
        <v>3</v>
      </c>
      <c r="E2" s="8" t="s">
        <v>185</v>
      </c>
      <c r="F2" s="8" t="s">
        <v>118</v>
      </c>
      <c r="G2" s="8" t="s">
        <v>5</v>
      </c>
      <c r="H2" s="3" t="s">
        <v>24</v>
      </c>
      <c r="I2" s="333" t="s">
        <v>131</v>
      </c>
      <c r="J2" s="333"/>
      <c r="K2" s="331" t="s">
        <v>120</v>
      </c>
      <c r="L2" s="331"/>
      <c r="M2" s="331"/>
      <c r="N2" s="332"/>
    </row>
    <row r="3" spans="1:14" ht="81.95" customHeight="1" x14ac:dyDescent="0.2">
      <c r="A3" s="3" t="s">
        <v>0</v>
      </c>
      <c r="B3" s="3" t="s">
        <v>1</v>
      </c>
      <c r="C3" s="3" t="s">
        <v>2</v>
      </c>
      <c r="D3" s="3" t="s">
        <v>149</v>
      </c>
      <c r="E3" s="3" t="s">
        <v>186</v>
      </c>
      <c r="F3" s="3" t="s">
        <v>187</v>
      </c>
      <c r="G3" s="3" t="s">
        <v>10</v>
      </c>
      <c r="H3" s="3" t="s">
        <v>29</v>
      </c>
      <c r="I3" s="194" t="s">
        <v>121</v>
      </c>
      <c r="J3" s="51" t="s">
        <v>122</v>
      </c>
      <c r="K3" s="26" t="s">
        <v>188</v>
      </c>
      <c r="L3" s="26" t="s">
        <v>129</v>
      </c>
      <c r="M3" s="28" t="s">
        <v>189</v>
      </c>
      <c r="N3" s="29" t="s">
        <v>190</v>
      </c>
    </row>
    <row r="4" spans="1:14" ht="15" customHeight="1" x14ac:dyDescent="0.2">
      <c r="A4" s="336" t="s">
        <v>191</v>
      </c>
      <c r="B4" s="84" t="s">
        <v>192</v>
      </c>
      <c r="C4" s="84" t="s">
        <v>193</v>
      </c>
      <c r="D4" s="85" t="s">
        <v>194</v>
      </c>
      <c r="E4" s="195">
        <v>8</v>
      </c>
      <c r="F4" s="86">
        <f>SUM(E4:E6)</f>
        <v>16</v>
      </c>
      <c r="G4" s="87"/>
      <c r="H4" s="87" t="s">
        <v>195</v>
      </c>
      <c r="I4" s="196">
        <v>0.115</v>
      </c>
      <c r="J4" s="89">
        <v>0</v>
      </c>
      <c r="K4" s="90">
        <f>E4*I4</f>
        <v>0.92</v>
      </c>
      <c r="L4" s="90">
        <f>SUM(K4:K6)</f>
        <v>2.3839999999999999</v>
      </c>
      <c r="M4" s="91">
        <f ca="1">LOOKUP(20000,$F$3:F4)/$E$12</f>
        <v>0.19536019536019536</v>
      </c>
      <c r="N4" s="41">
        <f>LOOKUP(20000,$L$3:L4)/LOOKUP(20000,$F$3:F4)</f>
        <v>0.14899999999999999</v>
      </c>
    </row>
    <row r="5" spans="1:14" ht="15.95" customHeight="1" x14ac:dyDescent="0.2">
      <c r="A5" s="337"/>
      <c r="B5" s="84" t="s">
        <v>192</v>
      </c>
      <c r="C5" s="84" t="s">
        <v>193</v>
      </c>
      <c r="D5" s="85" t="s">
        <v>196</v>
      </c>
      <c r="E5" s="195">
        <v>4</v>
      </c>
      <c r="F5" s="87"/>
      <c r="G5" s="87"/>
      <c r="H5" s="87" t="s">
        <v>195</v>
      </c>
      <c r="I5" s="196">
        <v>7.6999999999999999E-2</v>
      </c>
      <c r="J5" s="89">
        <v>0</v>
      </c>
      <c r="K5" s="90">
        <f t="shared" ref="K5:K10" si="0">E5*I5</f>
        <v>0.308</v>
      </c>
      <c r="L5" s="90"/>
      <c r="M5" s="91"/>
      <c r="N5" s="41"/>
    </row>
    <row r="6" spans="1:14" ht="15.6" customHeight="1" x14ac:dyDescent="0.2">
      <c r="A6" s="338"/>
      <c r="B6" s="84" t="s">
        <v>192</v>
      </c>
      <c r="C6" s="84" t="s">
        <v>193</v>
      </c>
      <c r="D6" s="85" t="s">
        <v>197</v>
      </c>
      <c r="E6" s="195">
        <v>4</v>
      </c>
      <c r="F6" s="87"/>
      <c r="G6" s="87"/>
      <c r="H6" s="87" t="s">
        <v>195</v>
      </c>
      <c r="I6" s="196">
        <v>0.28899999999999998</v>
      </c>
      <c r="J6" s="89">
        <v>0</v>
      </c>
      <c r="K6" s="90">
        <f t="shared" si="0"/>
        <v>1.1559999999999999</v>
      </c>
      <c r="L6" s="90"/>
      <c r="M6" s="91"/>
      <c r="N6" s="41"/>
    </row>
    <row r="7" spans="1:14" x14ac:dyDescent="0.2">
      <c r="A7" s="9" t="s">
        <v>198</v>
      </c>
      <c r="B7" s="92" t="s">
        <v>198</v>
      </c>
      <c r="C7" s="2" t="s">
        <v>199</v>
      </c>
      <c r="D7" s="2" t="s">
        <v>200</v>
      </c>
      <c r="E7" s="195">
        <v>50</v>
      </c>
      <c r="F7" s="93">
        <f>SUM(E7)</f>
        <v>50</v>
      </c>
      <c r="G7" s="94"/>
      <c r="H7" s="94" t="s">
        <v>195</v>
      </c>
      <c r="I7" s="196">
        <v>0.38</v>
      </c>
      <c r="J7" s="89">
        <v>0</v>
      </c>
      <c r="K7" s="90">
        <f t="shared" si="0"/>
        <v>19</v>
      </c>
      <c r="L7" s="90">
        <f>SUM(K7)</f>
        <v>19</v>
      </c>
      <c r="M7" s="91">
        <f ca="1">LOOKUP(20000,$F$3:F7)/$E$12</f>
        <v>0.61050061050061044</v>
      </c>
      <c r="N7" s="41">
        <f>LOOKUP(20000,$L$3:L7)/LOOKUP(20000,$F$3:F7)</f>
        <v>0.38</v>
      </c>
    </row>
    <row r="8" spans="1:14" x14ac:dyDescent="0.2">
      <c r="A8" s="339" t="s">
        <v>13</v>
      </c>
      <c r="B8" s="95" t="s">
        <v>145</v>
      </c>
      <c r="C8" s="85" t="s">
        <v>201</v>
      </c>
      <c r="D8" s="85" t="s">
        <v>202</v>
      </c>
      <c r="E8" s="195">
        <v>6</v>
      </c>
      <c r="F8" s="86">
        <f>SUM(E8)</f>
        <v>6</v>
      </c>
      <c r="G8" s="87"/>
      <c r="H8" s="87" t="s">
        <v>195</v>
      </c>
      <c r="I8" s="196">
        <v>0.35499999999999998</v>
      </c>
      <c r="J8" s="89">
        <v>0</v>
      </c>
      <c r="K8" s="90">
        <f t="shared" si="0"/>
        <v>2.13</v>
      </c>
      <c r="L8" s="90">
        <f t="shared" ref="L8:L10" si="1">SUM(K8)</f>
        <v>2.13</v>
      </c>
      <c r="M8" s="91">
        <f ca="1">LOOKUP(20000,$F$3:F8)/$E$12</f>
        <v>7.326007326007325E-2</v>
      </c>
      <c r="N8" s="41">
        <f>LOOKUP(20000,$L$3:L8)/LOOKUP(20000,$F$3:F8)</f>
        <v>0.35499999999999998</v>
      </c>
    </row>
    <row r="9" spans="1:14" x14ac:dyDescent="0.2">
      <c r="A9" s="339"/>
      <c r="B9" s="96" t="s">
        <v>203</v>
      </c>
      <c r="C9" s="17" t="s">
        <v>204</v>
      </c>
      <c r="D9" s="17" t="s">
        <v>205</v>
      </c>
      <c r="E9" s="195">
        <v>3</v>
      </c>
      <c r="F9" s="93">
        <f>SUM(E9)</f>
        <v>3</v>
      </c>
      <c r="G9" s="94"/>
      <c r="H9" s="94" t="s">
        <v>195</v>
      </c>
      <c r="I9" s="196">
        <v>3.7999999999999999E-2</v>
      </c>
      <c r="J9" s="89">
        <v>0</v>
      </c>
      <c r="K9" s="90">
        <f t="shared" si="0"/>
        <v>0.11399999999999999</v>
      </c>
      <c r="L9" s="90">
        <f t="shared" si="1"/>
        <v>0.11399999999999999</v>
      </c>
      <c r="M9" s="91">
        <f ca="1">LOOKUP(20000,$F$3:F9)/$E$12</f>
        <v>3.6630036630036625E-2</v>
      </c>
      <c r="N9" s="41">
        <f>LOOKUP(20000,$L$3:L9)/LOOKUP(20000,$F$3:F9)</f>
        <v>3.7999999999999999E-2</v>
      </c>
    </row>
    <row r="10" spans="1:14" x14ac:dyDescent="0.2">
      <c r="A10" s="340"/>
      <c r="B10" s="97" t="s">
        <v>206</v>
      </c>
      <c r="C10" s="85" t="s">
        <v>207</v>
      </c>
      <c r="D10" s="85" t="s">
        <v>208</v>
      </c>
      <c r="E10" s="195">
        <v>4</v>
      </c>
      <c r="F10" s="86">
        <f>SUM(E10)</f>
        <v>4</v>
      </c>
      <c r="G10" s="87"/>
      <c r="H10" s="87" t="s">
        <v>195</v>
      </c>
      <c r="I10" s="196">
        <v>0.252</v>
      </c>
      <c r="J10" s="89">
        <v>0</v>
      </c>
      <c r="K10" s="90">
        <f t="shared" si="0"/>
        <v>1.008</v>
      </c>
      <c r="L10" s="90">
        <f t="shared" si="1"/>
        <v>1.008</v>
      </c>
      <c r="M10" s="91">
        <f ca="1">LOOKUP(20000,$F$3:F10)/$E$12</f>
        <v>4.884004884004884E-2</v>
      </c>
      <c r="N10" s="41">
        <f>LOOKUP(20000,$L$3:L10)/LOOKUP(20000,$F$3:F10)</f>
        <v>0.252</v>
      </c>
    </row>
    <row r="11" spans="1:14" ht="28.5" x14ac:dyDescent="0.2">
      <c r="A11" s="98"/>
      <c r="B11" s="98"/>
      <c r="C11" s="98"/>
      <c r="D11" s="92" t="s">
        <v>209</v>
      </c>
      <c r="E11" s="2">
        <f>SUM(E4:E10)</f>
        <v>79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8.5" x14ac:dyDescent="0.2">
      <c r="A12" s="98"/>
      <c r="B12" s="98"/>
      <c r="C12" s="98"/>
      <c r="D12" s="92" t="s">
        <v>210</v>
      </c>
      <c r="E12" s="63" cm="1">
        <f t="array" aca="1" ref="E12" ca="1">INDIRECT("集群统计！C5")</f>
        <v>81.900000000000006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98"/>
      <c r="B13" s="98"/>
      <c r="C13" s="98"/>
      <c r="D13" s="92" t="s">
        <v>211</v>
      </c>
      <c r="E13" s="42">
        <f ca="1">E11/E12</f>
        <v>0.96459096459096449</v>
      </c>
      <c r="F13" s="43"/>
      <c r="G13" s="43"/>
      <c r="H13" s="43"/>
      <c r="I13" s="43"/>
      <c r="J13" s="43"/>
      <c r="K13" s="43"/>
      <c r="L13" s="43"/>
      <c r="M13" s="43"/>
      <c r="N13" s="43"/>
    </row>
    <row r="15" spans="1:14" x14ac:dyDescent="0.2">
      <c r="A15" s="82" t="s">
        <v>212</v>
      </c>
      <c r="B15" s="82"/>
    </row>
    <row r="16" spans="1:14" x14ac:dyDescent="0.2">
      <c r="A16" s="341" t="s">
        <v>13</v>
      </c>
      <c r="B16" s="96" t="s">
        <v>213</v>
      </c>
      <c r="C16" s="17" t="s">
        <v>214</v>
      </c>
      <c r="D16" s="17" t="s">
        <v>215</v>
      </c>
      <c r="E16" s="195">
        <v>5</v>
      </c>
      <c r="F16" s="93">
        <f>SUM(E16:E17)</f>
        <v>10</v>
      </c>
      <c r="G16" s="94"/>
      <c r="H16" s="94" t="s">
        <v>216</v>
      </c>
      <c r="I16" s="88">
        <v>0.11</v>
      </c>
      <c r="J16" s="89">
        <v>0</v>
      </c>
      <c r="K16" s="99">
        <f>E16*I16</f>
        <v>0.55000000000000004</v>
      </c>
      <c r="L16" s="99">
        <f>SUM(K16:K17)</f>
        <v>0.70500000000000007</v>
      </c>
      <c r="M16" s="91">
        <f ca="1">LOOKUP(20000,$F$3:F16)/$E$23</f>
        <v>1.9379844961240309</v>
      </c>
      <c r="N16" s="41">
        <f>LOOKUP(20000,$L$3:L16)/LOOKUP(20000,$F$3:F16)</f>
        <v>7.0500000000000007E-2</v>
      </c>
    </row>
    <row r="17" spans="1:14" x14ac:dyDescent="0.2">
      <c r="A17" s="339"/>
      <c r="B17" s="96" t="s">
        <v>213</v>
      </c>
      <c r="C17" s="17" t="s">
        <v>214</v>
      </c>
      <c r="D17" s="17" t="s">
        <v>217</v>
      </c>
      <c r="E17" s="195">
        <v>5</v>
      </c>
      <c r="F17" s="94"/>
      <c r="G17" s="94"/>
      <c r="H17" s="94" t="s">
        <v>216</v>
      </c>
      <c r="I17" s="88">
        <v>3.1E-2</v>
      </c>
      <c r="J17" s="89">
        <v>0</v>
      </c>
      <c r="K17" s="99">
        <f>E17*I17</f>
        <v>0.155</v>
      </c>
      <c r="L17" s="100"/>
      <c r="M17" s="101"/>
      <c r="N17" s="101"/>
    </row>
    <row r="18" spans="1:14" x14ac:dyDescent="0.2">
      <c r="A18" s="339"/>
      <c r="B18" s="95" t="s">
        <v>213</v>
      </c>
      <c r="C18" s="85" t="s">
        <v>214</v>
      </c>
      <c r="D18" s="85" t="s">
        <v>218</v>
      </c>
      <c r="E18" s="85" cm="1">
        <f t="array" aca="1" ref="E18" ca="1">INDIRECT("集群统计！C10")</f>
        <v>45.5</v>
      </c>
      <c r="F18" s="87"/>
      <c r="G18" s="87"/>
      <c r="H18" s="87"/>
      <c r="I18" s="129" cm="1">
        <f t="array" aca="1" ref="I18" ca="1">INDIRECT("集群统计！J10")</f>
        <v>0.11</v>
      </c>
      <c r="J18" s="87"/>
      <c r="K18" s="87"/>
      <c r="L18" s="102">
        <f ca="1">E18*I18</f>
        <v>5.0049999999999999</v>
      </c>
      <c r="M18" s="87"/>
      <c r="N18" s="87"/>
    </row>
    <row r="19" spans="1:14" x14ac:dyDescent="0.2">
      <c r="A19" s="339"/>
      <c r="B19" s="95" t="s">
        <v>213</v>
      </c>
      <c r="C19" s="85" t="s">
        <v>214</v>
      </c>
      <c r="D19" s="85" t="s">
        <v>219</v>
      </c>
      <c r="E19" s="85" cm="1">
        <f t="array" aca="1" ref="E19" ca="1">INDIRECT("集群统计！C9")</f>
        <v>44.8</v>
      </c>
      <c r="F19" s="87"/>
      <c r="G19" s="87"/>
      <c r="H19" s="87"/>
      <c r="I19" s="129" cm="1">
        <f t="array" aca="1" ref="I19" ca="1">INDIRECT("集群统计！J9")</f>
        <v>0.183</v>
      </c>
      <c r="J19" s="87"/>
      <c r="K19" s="87"/>
      <c r="L19" s="102">
        <f t="shared" ref="L19:L21" ca="1" si="2">E19*I19</f>
        <v>8.1983999999999995</v>
      </c>
      <c r="M19" s="87"/>
      <c r="N19" s="87"/>
    </row>
    <row r="20" spans="1:14" x14ac:dyDescent="0.2">
      <c r="A20" s="339"/>
      <c r="B20" s="95" t="s">
        <v>213</v>
      </c>
      <c r="C20" s="85" t="s">
        <v>214</v>
      </c>
      <c r="D20" s="85" t="s">
        <v>220</v>
      </c>
      <c r="E20" s="85" cm="1">
        <f t="array" aca="1" ref="E20" ca="1">INDIRECT("集群统计！C8")</f>
        <v>36.9</v>
      </c>
      <c r="F20" s="87"/>
      <c r="G20" s="87"/>
      <c r="H20" s="87"/>
      <c r="I20" s="129" cm="1">
        <f t="array" aca="1" ref="I20" ca="1">INDIRECT("集群统计！J8")</f>
        <v>0.38300000000000001</v>
      </c>
      <c r="J20" s="87"/>
      <c r="K20" s="87"/>
      <c r="L20" s="102">
        <f t="shared" ca="1" si="2"/>
        <v>14.1327</v>
      </c>
      <c r="M20" s="87"/>
      <c r="N20" s="87"/>
    </row>
    <row r="21" spans="1:14" ht="28.5" x14ac:dyDescent="0.2">
      <c r="A21" s="340"/>
      <c r="B21" s="95" t="s">
        <v>213</v>
      </c>
      <c r="C21" s="85" t="s">
        <v>214</v>
      </c>
      <c r="D21" s="85" t="s">
        <v>221</v>
      </c>
      <c r="E21" s="85" cm="1">
        <f t="array" aca="1" ref="E21" ca="1">INDIRECT("集群统计！C11")</f>
        <v>15.7</v>
      </c>
      <c r="F21" s="87"/>
      <c r="G21" s="87"/>
      <c r="H21" s="87"/>
      <c r="I21" s="129" cm="1">
        <f t="array" aca="1" ref="I21" ca="1">INDIRECT("集群统计！J11")</f>
        <v>0.14000000000000001</v>
      </c>
      <c r="J21" s="87"/>
      <c r="K21" s="87"/>
      <c r="L21" s="102">
        <f t="shared" ca="1" si="2"/>
        <v>2.198</v>
      </c>
      <c r="M21" s="87"/>
      <c r="N21" s="87"/>
    </row>
    <row r="22" spans="1:14" ht="28.5" x14ac:dyDescent="0.2">
      <c r="A22" s="103"/>
      <c r="B22" s="103"/>
      <c r="C22" s="103"/>
      <c r="D22" s="92" t="s">
        <v>209</v>
      </c>
      <c r="E22" s="2">
        <f>SUM(E16:E17)</f>
        <v>10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.5" x14ac:dyDescent="0.2">
      <c r="D23" s="92" t="s">
        <v>210</v>
      </c>
      <c r="E23" s="17" cm="1">
        <f t="array" aca="1" ref="E23" ca="1">INDIRECT("集群统计！C6")</f>
        <v>5.16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D24" s="92" t="s">
        <v>211</v>
      </c>
      <c r="E24" s="42">
        <f ca="1">E22/E23</f>
        <v>1.9379844961240309</v>
      </c>
      <c r="F24" s="43"/>
      <c r="G24" s="43"/>
      <c r="H24" s="43"/>
      <c r="I24" s="43"/>
      <c r="J24" s="43"/>
      <c r="K24" s="43"/>
      <c r="L24" s="43"/>
      <c r="M24" s="43"/>
      <c r="N24" s="43"/>
    </row>
    <row r="26" spans="1:14" x14ac:dyDescent="0.2">
      <c r="A26" s="82" t="s">
        <v>222</v>
      </c>
      <c r="B26" s="82"/>
    </row>
    <row r="27" spans="1:14" x14ac:dyDescent="0.2">
      <c r="A27" s="104" t="s">
        <v>13</v>
      </c>
      <c r="B27" s="85" t="s">
        <v>145</v>
      </c>
      <c r="C27" s="85" t="s">
        <v>201</v>
      </c>
      <c r="D27" s="85" t="s">
        <v>223</v>
      </c>
      <c r="E27" s="195">
        <v>11</v>
      </c>
      <c r="F27" s="86">
        <f>SUM(E27)</f>
        <v>11</v>
      </c>
      <c r="G27" s="87"/>
      <c r="H27" s="87" t="s">
        <v>224</v>
      </c>
      <c r="I27" s="129">
        <v>0.20899999999999999</v>
      </c>
      <c r="J27" s="89">
        <v>0</v>
      </c>
      <c r="K27" s="90">
        <f t="shared" ref="K27" si="3">E27*I27</f>
        <v>2.2989999999999999</v>
      </c>
      <c r="L27" s="90">
        <f t="shared" ref="L27" si="4">SUM(K27)</f>
        <v>2.2989999999999999</v>
      </c>
      <c r="M27" s="91">
        <f ca="1">LOOKUP(20000,$F$3:F27)/$E$29</f>
        <v>1.0679611650485437</v>
      </c>
      <c r="N27" s="41">
        <f>LOOKUP(20000,$L$3:L27)/LOOKUP(20000,$F$3:F27)</f>
        <v>0.20899999999999999</v>
      </c>
    </row>
    <row r="28" spans="1:14" ht="28.5" x14ac:dyDescent="0.2">
      <c r="D28" s="92" t="s">
        <v>209</v>
      </c>
      <c r="E28" s="2">
        <f>SUM(E27)</f>
        <v>11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8.5" x14ac:dyDescent="0.2">
      <c r="D29" s="92" t="s">
        <v>225</v>
      </c>
      <c r="E29" s="17" cm="1">
        <f t="array" aca="1" ref="E29" ca="1">INDIRECT("集群统计！C7")</f>
        <v>10.3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D30" s="92" t="s">
        <v>211</v>
      </c>
      <c r="E30" s="42">
        <f ca="1">E28/E29</f>
        <v>1.0679611650485437</v>
      </c>
      <c r="F30" s="43"/>
      <c r="G30" s="43"/>
      <c r="H30" s="43"/>
      <c r="I30" s="43"/>
      <c r="J30" s="43"/>
      <c r="K30" s="43"/>
      <c r="L30" s="43"/>
      <c r="M30" s="43"/>
      <c r="N30" s="43"/>
    </row>
  </sheetData>
  <mergeCells count="5">
    <mergeCell ref="I2:J2"/>
    <mergeCell ref="K2:N2"/>
    <mergeCell ref="A4:A6"/>
    <mergeCell ref="A8:A10"/>
    <mergeCell ref="A16:A2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7"/>
  <sheetViews>
    <sheetView zoomScale="115" zoomScaleNormal="115" workbookViewId="0">
      <selection activeCell="N7" sqref="N7"/>
    </sheetView>
  </sheetViews>
  <sheetFormatPr defaultRowHeight="14.25" x14ac:dyDescent="0.2"/>
  <cols>
    <col min="1" max="2" width="8.625" customWidth="1"/>
    <col min="14" max="14" width="13" customWidth="1"/>
    <col min="15" max="15" width="12.5" customWidth="1"/>
    <col min="16" max="19" width="11.125" style="48" customWidth="1"/>
    <col min="20" max="20" width="15.625" style="48" customWidth="1"/>
    <col min="21" max="21" width="11.125" style="48" customWidth="1"/>
  </cols>
  <sheetData>
    <row r="1" spans="14:21" x14ac:dyDescent="0.2">
      <c r="N1" s="53"/>
      <c r="O1" s="14"/>
      <c r="P1" s="180" t="s">
        <v>516</v>
      </c>
      <c r="Q1" s="44"/>
      <c r="R1" s="44"/>
      <c r="S1" s="44"/>
      <c r="T1" s="44"/>
      <c r="U1" s="44"/>
    </row>
    <row r="2" spans="14:21" x14ac:dyDescent="0.2">
      <c r="N2" s="54" t="s">
        <v>135</v>
      </c>
      <c r="O2" s="36" t="s">
        <v>547</v>
      </c>
      <c r="P2" s="45" t="s">
        <v>139</v>
      </c>
      <c r="Q2" s="45" t="s">
        <v>280</v>
      </c>
      <c r="R2" s="45" t="s">
        <v>281</v>
      </c>
      <c r="S2" s="45" t="s">
        <v>282</v>
      </c>
      <c r="T2" s="45" t="s">
        <v>283</v>
      </c>
      <c r="U2" s="45" t="s">
        <v>541</v>
      </c>
    </row>
    <row r="3" spans="14:21" ht="14.25" customHeight="1" x14ac:dyDescent="0.2">
      <c r="N3" s="105" t="s">
        <v>193</v>
      </c>
      <c r="O3" s="62"/>
      <c r="P3" s="65" cm="1">
        <f t="array" aca="1" ref="P3" ca="1">INDIRECT("中端和后端资源分配！M4")</f>
        <v>0.19536019536019536</v>
      </c>
      <c r="Q3" s="45">
        <v>0.22598870056497175</v>
      </c>
      <c r="R3" s="45">
        <v>0.21080368906455862</v>
      </c>
      <c r="S3" s="45">
        <v>0.21276595744680851</v>
      </c>
      <c r="T3" s="45">
        <v>0.19536019536019536</v>
      </c>
      <c r="U3" s="45"/>
    </row>
    <row r="4" spans="14:21" x14ac:dyDescent="0.2">
      <c r="N4" s="17" t="s">
        <v>199</v>
      </c>
      <c r="O4" s="62"/>
      <c r="P4" s="65" cm="1">
        <f t="array" aca="1" ref="P4" ca="1">INDIRECT("中端和后端资源分配！M7")</f>
        <v>0.61050061050061044</v>
      </c>
      <c r="Q4" s="45">
        <v>0.2824858757062147</v>
      </c>
      <c r="R4" s="45">
        <v>0.65876152832674562</v>
      </c>
      <c r="S4" s="45">
        <v>0.66489361702127658</v>
      </c>
      <c r="T4" s="45">
        <v>0.61050061050061044</v>
      </c>
      <c r="U4" s="45"/>
    </row>
    <row r="5" spans="14:21" x14ac:dyDescent="0.2">
      <c r="N5" s="17" t="s">
        <v>201</v>
      </c>
      <c r="O5" s="62"/>
      <c r="P5" s="65" cm="1">
        <f t="array" aca="1" ref="P5" ca="1">INDIRECT("中端和后端资源分配！M8")</f>
        <v>7.326007326007325E-2</v>
      </c>
      <c r="Q5" s="45">
        <v>8.4745762711864417E-2</v>
      </c>
      <c r="R5" s="45">
        <v>7.9051383399209474E-2</v>
      </c>
      <c r="S5" s="45">
        <v>7.9787234042553182E-2</v>
      </c>
      <c r="T5" s="45">
        <v>7.326007326007325E-2</v>
      </c>
      <c r="U5" s="45"/>
    </row>
    <row r="6" spans="14:21" x14ac:dyDescent="0.2">
      <c r="N6" s="17" t="s">
        <v>204</v>
      </c>
      <c r="O6" s="62"/>
      <c r="P6" s="65" cm="1">
        <f t="array" aca="1" ref="P6" ca="1">INDIRECT("中端和后端资源分配！M9")</f>
        <v>3.6630036630036625E-2</v>
      </c>
      <c r="Q6" s="45">
        <v>4.2372881355932208E-2</v>
      </c>
      <c r="R6" s="45">
        <v>3.9525691699604737E-2</v>
      </c>
      <c r="S6" s="45">
        <v>3.9893617021276591E-2</v>
      </c>
      <c r="T6" s="45">
        <v>3.6630036630036625E-2</v>
      </c>
      <c r="U6" s="45"/>
    </row>
    <row r="7" spans="14:21" x14ac:dyDescent="0.2">
      <c r="N7" s="17" t="s">
        <v>207</v>
      </c>
      <c r="O7" s="62"/>
      <c r="P7" s="65" cm="1">
        <f t="array" aca="1" ref="P7" ca="1">INDIRECT("中端和后端资源分配！M10")</f>
        <v>4.884004884004884E-2</v>
      </c>
      <c r="Q7" s="45">
        <v>5.6497175141242938E-2</v>
      </c>
      <c r="R7" s="45">
        <v>5.2700922266139656E-2</v>
      </c>
      <c r="S7" s="45">
        <v>5.3191489361702128E-2</v>
      </c>
      <c r="T7" s="45">
        <v>4.884004884004884E-2</v>
      </c>
      <c r="U7" s="45"/>
    </row>
    <row r="8" spans="14:21" x14ac:dyDescent="0.2">
      <c r="N8" s="54"/>
      <c r="O8" s="62"/>
      <c r="P8" s="45"/>
      <c r="Q8" s="45"/>
      <c r="R8" s="45"/>
      <c r="S8" s="45"/>
      <c r="T8" s="45"/>
      <c r="U8" s="45"/>
    </row>
    <row r="9" spans="14:21" x14ac:dyDescent="0.2">
      <c r="N9" s="54"/>
      <c r="O9" s="62"/>
      <c r="P9" s="45"/>
      <c r="Q9" s="45"/>
      <c r="R9" s="45"/>
      <c r="S9" s="45"/>
      <c r="T9" s="45"/>
      <c r="U9" s="45"/>
    </row>
    <row r="10" spans="14:21" x14ac:dyDescent="0.2">
      <c r="N10" s="54"/>
      <c r="O10" s="62"/>
      <c r="P10" s="45"/>
      <c r="Q10" s="45"/>
      <c r="R10" s="45"/>
      <c r="S10" s="45"/>
      <c r="T10" s="45"/>
      <c r="U10" s="45"/>
    </row>
    <row r="11" spans="14:21" x14ac:dyDescent="0.2">
      <c r="N11" s="54"/>
      <c r="O11" s="62"/>
      <c r="P11" s="45"/>
      <c r="Q11" s="45"/>
      <c r="R11" s="45"/>
      <c r="S11" s="45"/>
      <c r="T11" s="45"/>
      <c r="U11" s="45"/>
    </row>
    <row r="12" spans="14:21" x14ac:dyDescent="0.2">
      <c r="N12" s="54"/>
      <c r="O12" s="62"/>
      <c r="P12" s="45"/>
      <c r="Q12" s="45"/>
      <c r="R12" s="45"/>
      <c r="S12" s="45"/>
      <c r="T12" s="45"/>
      <c r="U12" s="45"/>
    </row>
    <row r="13" spans="14:21" x14ac:dyDescent="0.2">
      <c r="N13" s="106"/>
      <c r="O13" s="62"/>
      <c r="P13" s="45"/>
      <c r="Q13" s="45"/>
      <c r="R13" s="45"/>
      <c r="S13" s="45"/>
      <c r="T13" s="45"/>
      <c r="U13" s="45"/>
    </row>
    <row r="14" spans="14:21" x14ac:dyDescent="0.2">
      <c r="N14" s="54"/>
      <c r="O14" s="62"/>
      <c r="P14" s="45"/>
      <c r="Q14" s="45"/>
      <c r="R14" s="45"/>
      <c r="S14" s="45"/>
      <c r="T14" s="45"/>
      <c r="U14" s="45"/>
    </row>
    <row r="15" spans="14:21" x14ac:dyDescent="0.2">
      <c r="N15" s="57"/>
      <c r="O15" s="34"/>
      <c r="P15" s="46"/>
      <c r="Q15" s="46"/>
      <c r="R15" s="46"/>
      <c r="S15" s="46"/>
      <c r="T15" s="46"/>
      <c r="U15" s="46"/>
    </row>
    <row r="16" spans="14:21" ht="14.25" customHeight="1" x14ac:dyDescent="0.2">
      <c r="N16" s="105" t="s">
        <v>193</v>
      </c>
      <c r="O16" s="36" t="s">
        <v>121</v>
      </c>
      <c r="P16" s="65" cm="1">
        <f t="array" aca="1" ref="P16" ca="1">INDIRECT("中端和后端资源分配！N4")</f>
        <v>0.14899999999999999</v>
      </c>
      <c r="Q16" s="45">
        <v>0.28675</v>
      </c>
      <c r="R16" s="45">
        <v>0.27725</v>
      </c>
      <c r="S16" s="45">
        <v>0.21775</v>
      </c>
      <c r="T16" s="45">
        <v>0.14899999999999999</v>
      </c>
      <c r="U16" s="45"/>
    </row>
    <row r="17" spans="14:21" x14ac:dyDescent="0.2">
      <c r="N17" s="17" t="s">
        <v>199</v>
      </c>
      <c r="O17" s="36"/>
      <c r="P17" s="65" cm="1">
        <f t="array" aca="1" ref="P17" ca="1">INDIRECT("中端和后端资源分配！N7")</f>
        <v>0.38</v>
      </c>
      <c r="Q17" s="45">
        <v>0.17899999999999999</v>
      </c>
      <c r="R17" s="45">
        <v>8.2000000000000017E-2</v>
      </c>
      <c r="S17" s="45">
        <v>0.19900000000000001</v>
      </c>
      <c r="T17" s="45">
        <v>0.38</v>
      </c>
      <c r="U17" s="45"/>
    </row>
    <row r="18" spans="14:21" x14ac:dyDescent="0.2">
      <c r="N18" s="17" t="s">
        <v>201</v>
      </c>
      <c r="O18" s="36"/>
      <c r="P18" s="65" cm="1">
        <f t="array" aca="1" ref="P18" ca="1">INDIRECT("中端和后端资源分配！N8")</f>
        <v>0.35499999999999998</v>
      </c>
      <c r="Q18" s="45">
        <v>4.6000000000000006E-2</v>
      </c>
      <c r="R18" s="45">
        <v>0.17699999999999996</v>
      </c>
      <c r="S18" s="45">
        <v>0.40500000000000003</v>
      </c>
      <c r="T18" s="45">
        <v>0.35499999999999998</v>
      </c>
      <c r="U18" s="45"/>
    </row>
    <row r="19" spans="14:21" x14ac:dyDescent="0.2">
      <c r="N19" s="17" t="s">
        <v>204</v>
      </c>
      <c r="O19" s="36"/>
      <c r="P19" s="65" cm="1">
        <f t="array" aca="1" ref="P19" ca="1">INDIRECT("中端和后端资源分配！N9")</f>
        <v>3.7999999999999999E-2</v>
      </c>
      <c r="Q19" s="45">
        <v>3.4000000000000002E-2</v>
      </c>
      <c r="R19" s="45">
        <v>1.7000000000000001E-2</v>
      </c>
      <c r="S19" s="45">
        <v>0.06</v>
      </c>
      <c r="T19" s="45">
        <v>3.7999999999999999E-2</v>
      </c>
      <c r="U19" s="45"/>
    </row>
    <row r="20" spans="14:21" x14ac:dyDescent="0.2">
      <c r="N20" s="17" t="s">
        <v>207</v>
      </c>
      <c r="O20" s="36"/>
      <c r="P20" s="65" cm="1">
        <f t="array" aca="1" ref="P20" ca="1">INDIRECT("中端和后端资源分配！N10")</f>
        <v>0.252</v>
      </c>
      <c r="Q20" s="45">
        <v>3.5999999999999997E-2</v>
      </c>
      <c r="R20" s="45">
        <v>7.0000000000000007E-2</v>
      </c>
      <c r="S20" s="45">
        <v>9.6000000000000002E-2</v>
      </c>
      <c r="T20" s="45">
        <v>0.252</v>
      </c>
      <c r="U20" s="45"/>
    </row>
    <row r="21" spans="14:21" x14ac:dyDescent="0.2">
      <c r="N21" s="54"/>
      <c r="O21" s="36"/>
      <c r="P21" s="45"/>
      <c r="Q21" s="45"/>
      <c r="R21" s="45"/>
      <c r="S21" s="45"/>
      <c r="T21" s="45"/>
      <c r="U21" s="45"/>
    </row>
    <row r="22" spans="14:21" x14ac:dyDescent="0.2">
      <c r="N22" s="54"/>
      <c r="O22" s="36"/>
      <c r="P22" s="45"/>
      <c r="Q22" s="45"/>
      <c r="R22" s="45"/>
      <c r="S22" s="45"/>
      <c r="T22" s="45"/>
      <c r="U22" s="45"/>
    </row>
    <row r="23" spans="14:21" x14ac:dyDescent="0.2">
      <c r="N23" s="54"/>
      <c r="O23" s="36"/>
      <c r="P23" s="45"/>
      <c r="Q23" s="45"/>
      <c r="R23" s="45"/>
      <c r="S23" s="45"/>
      <c r="T23" s="45"/>
      <c r="U23" s="45"/>
    </row>
    <row r="24" spans="14:21" x14ac:dyDescent="0.2">
      <c r="N24" s="54"/>
      <c r="O24" s="36"/>
      <c r="P24" s="45"/>
      <c r="Q24" s="45"/>
      <c r="R24" s="45"/>
      <c r="S24" s="45"/>
      <c r="T24" s="45"/>
      <c r="U24" s="45"/>
    </row>
    <row r="25" spans="14:21" x14ac:dyDescent="0.2">
      <c r="N25" s="54"/>
      <c r="O25" s="36"/>
      <c r="P25" s="45"/>
      <c r="Q25" s="45"/>
      <c r="R25" s="45"/>
      <c r="S25" s="45"/>
      <c r="T25" s="45"/>
      <c r="U25" s="45"/>
    </row>
    <row r="26" spans="14:21" x14ac:dyDescent="0.2">
      <c r="N26" s="106"/>
      <c r="O26" s="36"/>
      <c r="P26" s="45"/>
      <c r="Q26" s="45"/>
      <c r="R26" s="45"/>
      <c r="S26" s="45"/>
      <c r="T26" s="45"/>
      <c r="U26" s="45"/>
    </row>
    <row r="27" spans="14:21" x14ac:dyDescent="0.2">
      <c r="N27" s="54"/>
      <c r="O27" s="36"/>
      <c r="P27" s="45"/>
      <c r="Q27" s="45"/>
      <c r="R27" s="45"/>
      <c r="S27" s="45"/>
      <c r="T27" s="45"/>
      <c r="U27" s="45"/>
    </row>
    <row r="28" spans="14:21" x14ac:dyDescent="0.2">
      <c r="N28" s="58"/>
      <c r="O28" s="35"/>
      <c r="P28" s="47"/>
      <c r="Q28" s="47"/>
      <c r="R28" s="47"/>
      <c r="S28" s="47"/>
      <c r="T28" s="47"/>
      <c r="U28" s="47"/>
    </row>
    <row r="29" spans="14:21" ht="14.25" customHeight="1" x14ac:dyDescent="0.2">
      <c r="N29" s="107" t="s">
        <v>193</v>
      </c>
      <c r="O29" s="49" t="s">
        <v>122</v>
      </c>
      <c r="P29" s="50">
        <v>0</v>
      </c>
      <c r="Q29" s="50"/>
      <c r="R29" s="50"/>
      <c r="S29" s="50"/>
      <c r="T29" s="50"/>
      <c r="U29" s="50"/>
    </row>
    <row r="30" spans="14:21" x14ac:dyDescent="0.2">
      <c r="N30" s="108" t="s">
        <v>199</v>
      </c>
      <c r="O30" s="49"/>
      <c r="P30" s="50">
        <v>0</v>
      </c>
      <c r="Q30" s="50"/>
      <c r="R30" s="50"/>
      <c r="S30" s="50"/>
      <c r="T30" s="50"/>
      <c r="U30" s="50"/>
    </row>
    <row r="31" spans="14:21" x14ac:dyDescent="0.2">
      <c r="N31" s="108" t="s">
        <v>201</v>
      </c>
      <c r="O31" s="49"/>
      <c r="P31" s="50">
        <v>0</v>
      </c>
      <c r="Q31" s="50"/>
      <c r="R31" s="50"/>
      <c r="S31" s="50"/>
      <c r="T31" s="50"/>
      <c r="U31" s="50"/>
    </row>
    <row r="32" spans="14:21" x14ac:dyDescent="0.2">
      <c r="N32" s="108" t="s">
        <v>204</v>
      </c>
      <c r="O32" s="49"/>
      <c r="P32" s="50">
        <v>0</v>
      </c>
      <c r="Q32" s="50"/>
      <c r="R32" s="50"/>
      <c r="S32" s="50"/>
      <c r="T32" s="50"/>
      <c r="U32" s="50"/>
    </row>
    <row r="33" spans="1:21" x14ac:dyDescent="0.2">
      <c r="N33" s="108" t="s">
        <v>207</v>
      </c>
      <c r="O33" s="49"/>
      <c r="P33" s="50">
        <v>0</v>
      </c>
      <c r="Q33" s="50"/>
      <c r="R33" s="50"/>
      <c r="S33" s="50"/>
      <c r="T33" s="50"/>
      <c r="U33" s="50"/>
    </row>
    <row r="34" spans="1:21" x14ac:dyDescent="0.2">
      <c r="N34" s="59"/>
      <c r="O34" s="49"/>
      <c r="P34" s="50"/>
      <c r="Q34" s="50"/>
      <c r="R34" s="50"/>
      <c r="S34" s="50"/>
      <c r="T34" s="50"/>
      <c r="U34" s="50"/>
    </row>
    <row r="35" spans="1:21" x14ac:dyDescent="0.2">
      <c r="N35" s="59"/>
      <c r="O35" s="49"/>
      <c r="P35" s="50"/>
      <c r="Q35" s="50"/>
      <c r="R35" s="50"/>
      <c r="S35" s="50"/>
      <c r="T35" s="50"/>
      <c r="U35" s="50"/>
    </row>
    <row r="36" spans="1:21" x14ac:dyDescent="0.2">
      <c r="N36" s="59"/>
      <c r="O36" s="49"/>
      <c r="P36" s="50"/>
      <c r="Q36" s="50"/>
      <c r="R36" s="50"/>
      <c r="S36" s="50"/>
      <c r="T36" s="50"/>
      <c r="U36" s="50"/>
    </row>
    <row r="37" spans="1:21" x14ac:dyDescent="0.2">
      <c r="N37" s="59"/>
      <c r="O37" s="49"/>
      <c r="P37" s="50"/>
      <c r="Q37" s="50"/>
      <c r="R37" s="50"/>
      <c r="S37" s="50"/>
      <c r="T37" s="50"/>
      <c r="U37" s="50"/>
    </row>
    <row r="38" spans="1:21" x14ac:dyDescent="0.2">
      <c r="N38" s="59"/>
      <c r="O38" s="49"/>
      <c r="P38" s="50"/>
      <c r="Q38" s="50"/>
      <c r="R38" s="50"/>
      <c r="S38" s="50"/>
      <c r="T38" s="50"/>
      <c r="U38" s="50"/>
    </row>
    <row r="39" spans="1:21" x14ac:dyDescent="0.2">
      <c r="N39" s="109"/>
      <c r="O39" s="49"/>
      <c r="P39" s="50"/>
      <c r="Q39" s="50"/>
      <c r="R39" s="50"/>
      <c r="S39" s="50"/>
      <c r="T39" s="50"/>
      <c r="U39" s="50"/>
    </row>
    <row r="40" spans="1:21" x14ac:dyDescent="0.2">
      <c r="N40" s="59"/>
      <c r="O40" s="49"/>
      <c r="P40" s="50"/>
      <c r="Q40" s="50"/>
      <c r="R40" s="50"/>
      <c r="S40" s="50"/>
      <c r="T40" s="50"/>
      <c r="U40" s="50"/>
    </row>
    <row r="42" spans="1:21" x14ac:dyDescent="0.2">
      <c r="N42" s="14"/>
      <c r="O42" s="14"/>
      <c r="P42" s="44"/>
      <c r="Q42" s="44"/>
      <c r="R42" s="44"/>
      <c r="S42" s="44"/>
      <c r="T42" s="44"/>
      <c r="U42" s="44"/>
    </row>
    <row r="43" spans="1:21" s="1" customFormat="1" ht="14.2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" t="s">
        <v>226</v>
      </c>
      <c r="O43" s="36" t="s">
        <v>227</v>
      </c>
      <c r="P43" s="45" t="s">
        <v>139</v>
      </c>
      <c r="Q43" s="45" t="s">
        <v>280</v>
      </c>
      <c r="R43" s="45" t="s">
        <v>281</v>
      </c>
      <c r="S43" s="45" t="s">
        <v>282</v>
      </c>
      <c r="T43" s="45" t="s">
        <v>283</v>
      </c>
      <c r="U43" s="45"/>
    </row>
    <row r="44" spans="1:21" s="1" customFormat="1" ht="14.2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105" t="s">
        <v>193</v>
      </c>
      <c r="O44" s="62"/>
      <c r="P44" s="197" cm="1">
        <f t="array" aca="1" ref="P44" ca="1">INDIRECT("中端和后端资源分配!L4")</f>
        <v>2.3839999999999999</v>
      </c>
      <c r="Q44" s="110">
        <v>4.5880000000000001</v>
      </c>
      <c r="R44" s="110">
        <v>4.4359999999999999</v>
      </c>
      <c r="S44" s="110">
        <v>3.484</v>
      </c>
      <c r="T44" s="110">
        <v>2.3839999999999999</v>
      </c>
      <c r="U44" s="110"/>
    </row>
    <row r="45" spans="1:21" s="1" customFormat="1" ht="14.2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17" t="s">
        <v>199</v>
      </c>
      <c r="O45" s="62"/>
      <c r="P45" s="197" cm="1">
        <f t="array" aca="1" ref="P45" ca="1">INDIRECT("中端和后端资源分配!L7")</f>
        <v>19</v>
      </c>
      <c r="Q45" s="110">
        <v>3.58</v>
      </c>
      <c r="R45" s="110">
        <v>4.1000000000000005</v>
      </c>
      <c r="S45" s="110">
        <v>9.9500000000000011</v>
      </c>
      <c r="T45" s="110">
        <v>19</v>
      </c>
      <c r="U45" s="110"/>
    </row>
    <row r="46" spans="1:21" s="1" customFormat="1" ht="14.2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17" t="s">
        <v>201</v>
      </c>
      <c r="O46" s="62"/>
      <c r="P46" s="197" cm="1">
        <f t="array" aca="1" ref="P46" ca="1">INDIRECT("中端和后端资源分配!L8")</f>
        <v>2.13</v>
      </c>
      <c r="Q46" s="110">
        <v>0.27600000000000002</v>
      </c>
      <c r="R46" s="110">
        <v>1.0619999999999998</v>
      </c>
      <c r="S46" s="110">
        <v>2.4300000000000002</v>
      </c>
      <c r="T46" s="110">
        <v>2.13</v>
      </c>
      <c r="U46" s="110"/>
    </row>
    <row r="47" spans="1:21" s="1" customFormat="1" ht="14.2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17" t="s">
        <v>204</v>
      </c>
      <c r="O47" s="62"/>
      <c r="P47" s="197" cm="1">
        <f t="array" aca="1" ref="P47" ca="1">INDIRECT("中端和后端资源分配!L9")</f>
        <v>0.11399999999999999</v>
      </c>
      <c r="Q47" s="110">
        <v>0.10200000000000001</v>
      </c>
      <c r="R47" s="110">
        <v>5.1000000000000004E-2</v>
      </c>
      <c r="S47" s="110">
        <v>0.18</v>
      </c>
      <c r="T47" s="110">
        <v>0.11399999999999999</v>
      </c>
      <c r="U47" s="110"/>
    </row>
    <row r="48" spans="1:21" s="1" customFormat="1" ht="14.2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17" t="s">
        <v>207</v>
      </c>
      <c r="O48" s="62"/>
      <c r="P48" s="197" cm="1">
        <f t="array" aca="1" ref="P48" ca="1">INDIRECT("中端和后端资源分配!L10")</f>
        <v>1.008</v>
      </c>
      <c r="Q48" s="110">
        <v>0.14399999999999999</v>
      </c>
      <c r="R48" s="110">
        <v>0.28000000000000003</v>
      </c>
      <c r="S48" s="110">
        <v>0.38400000000000001</v>
      </c>
      <c r="T48" s="110">
        <v>1.008</v>
      </c>
      <c r="U48" s="110"/>
    </row>
    <row r="49" spans="1:21" s="1" customFormat="1" ht="14.2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54"/>
      <c r="O49" s="62"/>
      <c r="P49" s="197"/>
      <c r="Q49" s="110"/>
      <c r="R49" s="110"/>
      <c r="S49" s="110"/>
      <c r="T49" s="110"/>
      <c r="U49" s="110"/>
    </row>
    <row r="50" spans="1:21" x14ac:dyDescent="0.2">
      <c r="N50" s="66" t="s">
        <v>228</v>
      </c>
      <c r="O50" s="67" t="s">
        <v>227</v>
      </c>
      <c r="P50" s="198">
        <f ca="1">SUM(P44:P48)</f>
        <v>24.635999999999999</v>
      </c>
      <c r="Q50" s="111">
        <v>8.69</v>
      </c>
      <c r="R50" s="111">
        <v>9.9290000000000003</v>
      </c>
      <c r="S50" s="111">
        <v>16.428000000000001</v>
      </c>
      <c r="T50" s="111">
        <v>24.635999999999999</v>
      </c>
      <c r="U50" s="111"/>
    </row>
    <row r="51" spans="1:21" x14ac:dyDescent="0.2">
      <c r="N51" s="5"/>
      <c r="P51" s="112"/>
      <c r="Q51" s="112"/>
      <c r="R51" s="112"/>
      <c r="S51" s="112"/>
      <c r="T51" s="112"/>
      <c r="U51" s="112"/>
    </row>
    <row r="52" spans="1:21" x14ac:dyDescent="0.2">
      <c r="N52" s="67" t="s">
        <v>241</v>
      </c>
      <c r="O52" s="67"/>
      <c r="P52" s="197" cm="1">
        <f t="array" aca="1" ref="P52" ca="1">INDIRECT("中端和后端资源分配！E11")</f>
        <v>79</v>
      </c>
      <c r="Q52" s="111">
        <v>49</v>
      </c>
      <c r="R52" s="111">
        <v>79</v>
      </c>
      <c r="S52" s="130">
        <v>79</v>
      </c>
      <c r="T52" s="130">
        <v>79</v>
      </c>
      <c r="U52" s="111">
        <v>0</v>
      </c>
    </row>
    <row r="53" spans="1:21" x14ac:dyDescent="0.2">
      <c r="N53" s="67" t="s">
        <v>288</v>
      </c>
      <c r="O53" s="67"/>
      <c r="P53" s="130" cm="1">
        <f t="array" aca="1" ref="P53" ca="1">INDIRECT("中端和后端资源分配！E12")</f>
        <v>81.900000000000006</v>
      </c>
      <c r="Q53" s="130" cm="1">
        <f t="array" aca="1" ref="Q53" ca="1">INDIRECT("集群统计！M5")</f>
        <v>70.8</v>
      </c>
      <c r="R53" s="130" cm="1">
        <f t="array" aca="1" ref="R53" ca="1">INDIRECT("集群统计！R5")</f>
        <v>75.900000000000006</v>
      </c>
      <c r="S53" s="130" cm="1">
        <f t="array" aca="1" ref="S53" ca="1">INDIRECT("集群统计！W5")</f>
        <v>75.2</v>
      </c>
      <c r="T53" s="130" cm="1">
        <f t="array" aca="1" ref="T53" ca="1">INDIRECT("集群统计！AB5")</f>
        <v>81.900000000000006</v>
      </c>
      <c r="U53" s="130" cm="1">
        <f t="array" aca="1" ref="U53" ca="1">INDIRECT("集群统计！AG5")</f>
        <v>0</v>
      </c>
    </row>
    <row r="54" spans="1:21" x14ac:dyDescent="0.2">
      <c r="N54" s="69" t="s">
        <v>289</v>
      </c>
      <c r="O54" s="69"/>
      <c r="P54" s="114">
        <f ca="1">P52/P53</f>
        <v>0.96459096459096449</v>
      </c>
      <c r="Q54" s="114">
        <f t="shared" ref="Q54:U54" ca="1" si="0">Q52/Q53</f>
        <v>0.69209039548022599</v>
      </c>
      <c r="R54" s="114">
        <f t="shared" ca="1" si="0"/>
        <v>1.0408432147562581</v>
      </c>
      <c r="S54" s="114">
        <f t="shared" ca="1" si="0"/>
        <v>1.050531914893617</v>
      </c>
      <c r="T54" s="114">
        <f t="shared" ca="1" si="0"/>
        <v>0.96459096459096449</v>
      </c>
      <c r="U54" s="114" t="e">
        <f t="shared" ca="1" si="0"/>
        <v>#DIV/0!</v>
      </c>
    </row>
    <row r="55" spans="1:21" x14ac:dyDescent="0.2">
      <c r="N55" s="48"/>
      <c r="O55" s="48"/>
    </row>
    <row r="56" spans="1:21" x14ac:dyDescent="0.2">
      <c r="N56" s="48"/>
      <c r="O56" s="48"/>
    </row>
    <row r="57" spans="1:21" x14ac:dyDescent="0.2">
      <c r="N57" s="67" t="s">
        <v>229</v>
      </c>
      <c r="O57" s="67" t="s">
        <v>227</v>
      </c>
      <c r="P57" s="197" cm="1">
        <f t="array" aca="1" ref="P57" ca="1">INDIRECT("中端和后端资源分配!L27")</f>
        <v>2.2989999999999999</v>
      </c>
      <c r="Q57" s="113">
        <v>3.234</v>
      </c>
      <c r="R57" s="110">
        <v>1.804</v>
      </c>
      <c r="S57" s="110">
        <v>2.3649999999999998</v>
      </c>
      <c r="T57" s="110">
        <v>2.2989999999999999</v>
      </c>
      <c r="U57" s="113"/>
    </row>
    <row r="58" spans="1:21" x14ac:dyDescent="0.2">
      <c r="N58" s="66" t="s">
        <v>230</v>
      </c>
      <c r="O58" s="67" t="s">
        <v>227</v>
      </c>
      <c r="P58" s="197" cm="1">
        <f t="array" aca="1" ref="P58" ca="1">INDIRECT("中端和后端资源分配!L16")</f>
        <v>0.70500000000000007</v>
      </c>
      <c r="Q58" s="113">
        <v>0.52500000000000002</v>
      </c>
      <c r="R58" s="110">
        <v>0.32500000000000001</v>
      </c>
      <c r="S58" s="110">
        <v>0.69500000000000006</v>
      </c>
      <c r="T58" s="110">
        <v>0.70500000000000007</v>
      </c>
      <c r="U58" s="113"/>
    </row>
    <row r="59" spans="1:21" x14ac:dyDescent="0.2">
      <c r="N59" s="66" t="s">
        <v>231</v>
      </c>
      <c r="O59" s="67" t="s">
        <v>227</v>
      </c>
      <c r="P59" s="197" cm="1">
        <f t="array" aca="1" ref="P59" ca="1">INDIRECT("中端和后端资源分配!L18")</f>
        <v>5.0049999999999999</v>
      </c>
      <c r="Q59" s="113">
        <v>2.2824</v>
      </c>
      <c r="R59" s="110">
        <v>4.1527000000000003</v>
      </c>
      <c r="S59" s="110">
        <v>4.7320000000000002</v>
      </c>
      <c r="T59" s="110">
        <v>5.0049999999999999</v>
      </c>
      <c r="U59" s="113"/>
    </row>
    <row r="60" spans="1:21" x14ac:dyDescent="0.2">
      <c r="N60" s="66" t="s">
        <v>232</v>
      </c>
      <c r="O60" s="67" t="s">
        <v>227</v>
      </c>
      <c r="P60" s="197" cm="1">
        <f t="array" aca="1" ref="P60" ca="1">INDIRECT("中端和后端资源分配!L19")</f>
        <v>8.1983999999999995</v>
      </c>
      <c r="Q60" s="113">
        <v>5.7456000000000005</v>
      </c>
      <c r="R60" s="110">
        <v>4.0431999999999997</v>
      </c>
      <c r="S60" s="110">
        <v>3.4580000000000002</v>
      </c>
      <c r="T60" s="110">
        <v>8.1983999999999995</v>
      </c>
      <c r="U60" s="113"/>
    </row>
    <row r="61" spans="1:21" x14ac:dyDescent="0.2">
      <c r="N61" s="66" t="s">
        <v>233</v>
      </c>
      <c r="O61" s="67" t="s">
        <v>227</v>
      </c>
      <c r="P61" s="197" cm="1">
        <f t="array" aca="1" ref="P61" ca="1">INDIRECT("中端和后端资源分配!L20")</f>
        <v>14.1327</v>
      </c>
      <c r="Q61" s="113">
        <v>10.98</v>
      </c>
      <c r="R61" s="110">
        <v>12.209999999999999</v>
      </c>
      <c r="S61" s="110">
        <v>21.989700000000003</v>
      </c>
      <c r="T61" s="110">
        <v>14.1327</v>
      </c>
      <c r="U61" s="113"/>
    </row>
    <row r="62" spans="1:21" x14ac:dyDescent="0.2">
      <c r="N62" s="66" t="s">
        <v>234</v>
      </c>
      <c r="O62" s="67" t="s">
        <v>227</v>
      </c>
      <c r="P62" s="197" cm="1">
        <f t="array" aca="1" ref="P62" ca="1">INDIRECT("中端和后端资源分配!L21")</f>
        <v>2.198</v>
      </c>
      <c r="Q62" s="113">
        <v>3.8147999999999995</v>
      </c>
      <c r="R62" s="110">
        <v>4.5253999999999994</v>
      </c>
      <c r="S62" s="110">
        <v>4.1604999999999999</v>
      </c>
      <c r="T62" s="110">
        <v>2.198</v>
      </c>
      <c r="U62" s="113"/>
    </row>
    <row r="68" spans="13:15" x14ac:dyDescent="0.2">
      <c r="O68" s="48"/>
    </row>
    <row r="69" spans="13:15" x14ac:dyDescent="0.2">
      <c r="O69" s="48"/>
    </row>
    <row r="70" spans="13:15" x14ac:dyDescent="0.2">
      <c r="O70" s="48"/>
    </row>
    <row r="71" spans="13:15" x14ac:dyDescent="0.2">
      <c r="M71" s="48"/>
      <c r="N71" s="48"/>
      <c r="O71" s="48"/>
    </row>
    <row r="72" spans="13:15" x14ac:dyDescent="0.2">
      <c r="M72" s="48"/>
      <c r="N72" s="48"/>
      <c r="O72" s="48"/>
    </row>
    <row r="73" spans="13:15" x14ac:dyDescent="0.2">
      <c r="M73" s="48"/>
      <c r="N73" s="48"/>
      <c r="O73" s="48"/>
    </row>
    <row r="74" spans="13:15" x14ac:dyDescent="0.2">
      <c r="M74" s="48"/>
      <c r="N74" s="48"/>
      <c r="O74" s="48"/>
    </row>
    <row r="75" spans="13:15" x14ac:dyDescent="0.2">
      <c r="M75" s="48"/>
      <c r="N75" s="48"/>
      <c r="O75" s="48"/>
    </row>
    <row r="76" spans="13:15" x14ac:dyDescent="0.2">
      <c r="M76" s="48"/>
      <c r="N76" s="48"/>
      <c r="O76" s="48"/>
    </row>
    <row r="77" spans="13:15" x14ac:dyDescent="0.2">
      <c r="M77" s="48"/>
      <c r="N77" s="48"/>
      <c r="O77" s="48"/>
    </row>
  </sheetData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1"/>
  <sheetViews>
    <sheetView zoomScale="85" zoomScaleNormal="85" workbookViewId="0">
      <selection activeCell="D145" sqref="D145"/>
    </sheetView>
  </sheetViews>
  <sheetFormatPr defaultRowHeight="14.25" x14ac:dyDescent="0.2"/>
  <cols>
    <col min="1" max="1" width="13.625" customWidth="1"/>
    <col min="2" max="2" width="14.125" customWidth="1"/>
    <col min="3" max="3" width="17.75" customWidth="1"/>
    <col min="4" max="4" width="21.875" customWidth="1"/>
    <col min="5" max="5" width="9.375" customWidth="1"/>
    <col min="6" max="6" width="12.75" customWidth="1"/>
    <col min="7" max="7" width="21.125" customWidth="1"/>
    <col min="8" max="8" width="17.875" customWidth="1"/>
    <col min="9" max="9" width="10.125" customWidth="1"/>
    <col min="10" max="10" width="13.375" customWidth="1"/>
    <col min="11" max="11" width="10.75" customWidth="1"/>
    <col min="12" max="12" width="7.75" customWidth="1"/>
    <col min="13" max="13" width="11.875" customWidth="1"/>
    <col min="14" max="14" width="6.5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46" t="s">
        <v>253</v>
      </c>
      <c r="E1" s="346"/>
      <c r="F1" s="346"/>
      <c r="G1" s="346"/>
      <c r="H1" s="346"/>
      <c r="I1" s="346"/>
      <c r="J1" s="346" t="s">
        <v>254</v>
      </c>
      <c r="K1" s="346"/>
      <c r="L1" s="346"/>
      <c r="M1" s="3"/>
      <c r="N1" s="246"/>
    </row>
    <row r="2" spans="1:14" ht="28.5" x14ac:dyDescent="0.2">
      <c r="A2" s="3"/>
      <c r="B2" s="3"/>
      <c r="C2" s="3"/>
      <c r="D2" s="7" t="s">
        <v>309</v>
      </c>
      <c r="E2" s="7" t="s">
        <v>310</v>
      </c>
      <c r="F2" s="3" t="s">
        <v>311</v>
      </c>
      <c r="G2" s="7" t="s">
        <v>312</v>
      </c>
      <c r="H2" s="3" t="s">
        <v>313</v>
      </c>
      <c r="I2" s="3" t="s">
        <v>314</v>
      </c>
      <c r="J2" s="7" t="s">
        <v>309</v>
      </c>
      <c r="K2" s="7" t="s">
        <v>315</v>
      </c>
      <c r="L2" s="3" t="s">
        <v>316</v>
      </c>
      <c r="M2" s="3" t="s">
        <v>533</v>
      </c>
      <c r="N2" s="3" t="s">
        <v>534</v>
      </c>
    </row>
    <row r="3" spans="1:14" x14ac:dyDescent="0.2">
      <c r="A3" s="342" t="s">
        <v>21</v>
      </c>
      <c r="B3" s="343" t="s">
        <v>21</v>
      </c>
      <c r="C3" s="345" t="s">
        <v>85</v>
      </c>
      <c r="D3" s="66" t="s">
        <v>317</v>
      </c>
      <c r="E3" s="66">
        <v>19</v>
      </c>
      <c r="F3" s="66">
        <f>SUM(E3:E6)</f>
        <v>41</v>
      </c>
      <c r="G3" s="66">
        <v>15</v>
      </c>
      <c r="H3" s="66">
        <f>E3-G3</f>
        <v>4</v>
      </c>
      <c r="I3" s="66">
        <f>SUM(H3:H6)</f>
        <v>12.290000000000001</v>
      </c>
      <c r="J3" s="66"/>
      <c r="K3" s="66">
        <f>SUM(J3:J6)</f>
        <v>0</v>
      </c>
      <c r="L3" s="66">
        <f>SUM(K3:K6)</f>
        <v>0</v>
      </c>
      <c r="M3" s="351"/>
      <c r="N3" s="351">
        <f>SUM(E3:E6)</f>
        <v>41</v>
      </c>
    </row>
    <row r="4" spans="1:14" x14ac:dyDescent="0.2">
      <c r="A4" s="342"/>
      <c r="B4" s="343"/>
      <c r="C4" s="345"/>
      <c r="D4" s="66" t="s">
        <v>318</v>
      </c>
      <c r="E4" s="66">
        <v>13</v>
      </c>
      <c r="F4" s="66"/>
      <c r="G4" s="66">
        <v>10</v>
      </c>
      <c r="H4" s="66">
        <f t="shared" ref="H4:H66" si="0">E4-G4</f>
        <v>3</v>
      </c>
      <c r="I4" s="66"/>
      <c r="J4" s="66"/>
      <c r="K4" s="66"/>
      <c r="L4" s="66"/>
      <c r="M4" s="352"/>
      <c r="N4" s="352"/>
    </row>
    <row r="5" spans="1:14" x14ac:dyDescent="0.2">
      <c r="A5" s="342"/>
      <c r="B5" s="343"/>
      <c r="C5" s="345"/>
      <c r="D5" s="160" t="s">
        <v>319</v>
      </c>
      <c r="E5" s="66">
        <v>8</v>
      </c>
      <c r="F5" s="66"/>
      <c r="G5" s="66">
        <v>3.7</v>
      </c>
      <c r="H5" s="66">
        <f t="shared" si="0"/>
        <v>4.3</v>
      </c>
      <c r="I5" s="66"/>
      <c r="J5" s="66"/>
      <c r="K5" s="66"/>
      <c r="L5" s="66"/>
      <c r="M5" s="352"/>
      <c r="N5" s="352"/>
    </row>
    <row r="6" spans="1:14" x14ac:dyDescent="0.2">
      <c r="A6" s="342"/>
      <c r="B6" s="343"/>
      <c r="C6" s="345"/>
      <c r="D6" s="160" t="s">
        <v>320</v>
      </c>
      <c r="E6" s="66">
        <v>1</v>
      </c>
      <c r="F6" s="66"/>
      <c r="G6" s="66">
        <v>0.01</v>
      </c>
      <c r="H6" s="66">
        <f t="shared" si="0"/>
        <v>0.99</v>
      </c>
      <c r="I6" s="66"/>
      <c r="J6" s="66"/>
      <c r="K6" s="66"/>
      <c r="L6" s="66"/>
      <c r="M6" s="353"/>
      <c r="N6" s="353"/>
    </row>
    <row r="7" spans="1:14" x14ac:dyDescent="0.2">
      <c r="A7" s="342"/>
      <c r="B7" s="282" t="s">
        <v>22</v>
      </c>
      <c r="C7" s="282" t="s">
        <v>103</v>
      </c>
      <c r="D7" s="17" t="s">
        <v>321</v>
      </c>
      <c r="E7" s="17">
        <v>10</v>
      </c>
      <c r="F7" s="17">
        <f>SUM(E7:E8)</f>
        <v>12</v>
      </c>
      <c r="G7" s="17">
        <v>5</v>
      </c>
      <c r="H7" s="66">
        <f t="shared" si="0"/>
        <v>5</v>
      </c>
      <c r="I7" s="17">
        <f>SUM(H7:H8)</f>
        <v>6.5</v>
      </c>
      <c r="J7" s="17"/>
      <c r="K7" s="17"/>
      <c r="L7" s="17">
        <f>SUM(K7:K8)</f>
        <v>0</v>
      </c>
      <c r="M7" s="351">
        <v>18</v>
      </c>
      <c r="N7" s="351">
        <f>SUM(E7:E8)</f>
        <v>12</v>
      </c>
    </row>
    <row r="8" spans="1:14" x14ac:dyDescent="0.2">
      <c r="A8" s="342"/>
      <c r="B8" s="282"/>
      <c r="C8" s="282"/>
      <c r="D8" s="161" t="s">
        <v>322</v>
      </c>
      <c r="E8" s="17">
        <v>2</v>
      </c>
      <c r="F8" s="17"/>
      <c r="G8" s="17">
        <v>0.5</v>
      </c>
      <c r="H8" s="66">
        <f t="shared" si="0"/>
        <v>1.5</v>
      </c>
      <c r="I8" s="17"/>
      <c r="J8" s="17"/>
      <c r="K8" s="17"/>
      <c r="L8" s="17"/>
      <c r="M8" s="353"/>
      <c r="N8" s="353"/>
    </row>
    <row r="9" spans="1:14" ht="28.5" x14ac:dyDescent="0.2">
      <c r="A9" s="342" t="s">
        <v>158</v>
      </c>
      <c r="B9" s="343" t="s">
        <v>158</v>
      </c>
      <c r="C9" s="344" t="s">
        <v>45</v>
      </c>
      <c r="D9" s="245" t="s">
        <v>323</v>
      </c>
      <c r="E9" s="162">
        <v>6</v>
      </c>
      <c r="F9" s="162">
        <f>SUM(E9:E14)</f>
        <v>29</v>
      </c>
      <c r="G9" s="162">
        <v>4</v>
      </c>
      <c r="H9" s="66">
        <f t="shared" si="0"/>
        <v>2</v>
      </c>
      <c r="I9" s="162">
        <f>SUM(H9:H14)</f>
        <v>13.4</v>
      </c>
      <c r="J9" s="162"/>
      <c r="K9" s="162"/>
      <c r="L9" s="162">
        <f>SUM(K9:K14)</f>
        <v>0</v>
      </c>
      <c r="M9" s="351">
        <v>45</v>
      </c>
      <c r="N9" s="351">
        <f>SUM(E9:E14)</f>
        <v>29</v>
      </c>
    </row>
    <row r="10" spans="1:14" x14ac:dyDescent="0.2">
      <c r="A10" s="342"/>
      <c r="B10" s="343"/>
      <c r="C10" s="344"/>
      <c r="D10" s="245" t="s">
        <v>324</v>
      </c>
      <c r="E10" s="162">
        <v>1</v>
      </c>
      <c r="F10" s="162"/>
      <c r="G10" s="162">
        <v>0.5</v>
      </c>
      <c r="H10" s="66">
        <f t="shared" si="0"/>
        <v>0.5</v>
      </c>
      <c r="I10" s="162"/>
      <c r="J10" s="162"/>
      <c r="K10" s="162"/>
      <c r="L10" s="162"/>
      <c r="M10" s="352"/>
      <c r="N10" s="352"/>
    </row>
    <row r="11" spans="1:14" x14ac:dyDescent="0.2">
      <c r="A11" s="342"/>
      <c r="B11" s="343"/>
      <c r="C11" s="344"/>
      <c r="D11" s="160" t="s">
        <v>325</v>
      </c>
      <c r="E11" s="160">
        <v>3</v>
      </c>
      <c r="F11" s="162"/>
      <c r="G11" s="162">
        <v>1.6</v>
      </c>
      <c r="H11" s="66">
        <f t="shared" si="0"/>
        <v>1.4</v>
      </c>
      <c r="I11" s="162"/>
      <c r="J11" s="162"/>
      <c r="K11" s="162"/>
      <c r="L11" s="162"/>
      <c r="M11" s="352"/>
      <c r="N11" s="352"/>
    </row>
    <row r="12" spans="1:14" x14ac:dyDescent="0.2">
      <c r="A12" s="342"/>
      <c r="B12" s="343"/>
      <c r="C12" s="344"/>
      <c r="D12" s="160" t="s">
        <v>326</v>
      </c>
      <c r="E12" s="160">
        <v>16</v>
      </c>
      <c r="F12" s="162"/>
      <c r="G12" s="162">
        <v>8</v>
      </c>
      <c r="H12" s="66">
        <f t="shared" si="0"/>
        <v>8</v>
      </c>
      <c r="I12" s="162"/>
      <c r="J12" s="162"/>
      <c r="K12" s="162"/>
      <c r="L12" s="162"/>
      <c r="M12" s="352"/>
      <c r="N12" s="352"/>
    </row>
    <row r="13" spans="1:14" x14ac:dyDescent="0.2">
      <c r="A13" s="342"/>
      <c r="B13" s="343"/>
      <c r="C13" s="344"/>
      <c r="D13" s="160" t="s">
        <v>327</v>
      </c>
      <c r="E13" s="160">
        <v>1</v>
      </c>
      <c r="F13" s="162"/>
      <c r="G13" s="162">
        <v>0.8</v>
      </c>
      <c r="H13" s="66">
        <f t="shared" si="0"/>
        <v>0.19999999999999996</v>
      </c>
      <c r="I13" s="162"/>
      <c r="J13" s="162"/>
      <c r="K13" s="162"/>
      <c r="L13" s="162"/>
      <c r="M13" s="352"/>
      <c r="N13" s="352"/>
    </row>
    <row r="14" spans="1:14" x14ac:dyDescent="0.2">
      <c r="A14" s="342"/>
      <c r="B14" s="343"/>
      <c r="C14" s="344"/>
      <c r="D14" s="160" t="s">
        <v>328</v>
      </c>
      <c r="E14" s="160">
        <v>2</v>
      </c>
      <c r="F14" s="162"/>
      <c r="G14" s="162">
        <v>0.7</v>
      </c>
      <c r="H14" s="66">
        <f t="shared" si="0"/>
        <v>1.3</v>
      </c>
      <c r="I14" s="162"/>
      <c r="J14" s="162"/>
      <c r="K14" s="162"/>
      <c r="L14" s="162"/>
      <c r="M14" s="353"/>
      <c r="N14" s="353"/>
    </row>
    <row r="15" spans="1:14" x14ac:dyDescent="0.2">
      <c r="A15" s="342"/>
      <c r="B15" s="342" t="s">
        <v>536</v>
      </c>
      <c r="C15" s="282" t="s">
        <v>535</v>
      </c>
      <c r="D15" s="17" t="s">
        <v>331</v>
      </c>
      <c r="E15" s="17">
        <v>4</v>
      </c>
      <c r="F15" s="17">
        <f>SUM(E15:E21)</f>
        <v>52</v>
      </c>
      <c r="G15" s="17">
        <v>3</v>
      </c>
      <c r="H15" s="66">
        <f t="shared" si="0"/>
        <v>1</v>
      </c>
      <c r="I15" s="17">
        <f>SUM(H15:H21)</f>
        <v>30.09</v>
      </c>
      <c r="J15" s="161" t="s">
        <v>330</v>
      </c>
      <c r="K15" s="17">
        <v>8.1999999999999993</v>
      </c>
      <c r="L15" s="17">
        <f>SUM(K15:K21)</f>
        <v>8.1999999999999993</v>
      </c>
      <c r="M15" s="352"/>
      <c r="N15" s="352"/>
    </row>
    <row r="16" spans="1:14" x14ac:dyDescent="0.2">
      <c r="A16" s="342"/>
      <c r="B16" s="342"/>
      <c r="C16" s="282"/>
      <c r="D16" s="161" t="s">
        <v>332</v>
      </c>
      <c r="E16" s="17">
        <v>2</v>
      </c>
      <c r="F16" s="17"/>
      <c r="G16" s="17">
        <v>0.01</v>
      </c>
      <c r="H16" s="66">
        <f t="shared" si="0"/>
        <v>1.99</v>
      </c>
      <c r="I16" s="17"/>
      <c r="J16" s="17"/>
      <c r="K16" s="17"/>
      <c r="L16" s="17"/>
      <c r="M16" s="352"/>
      <c r="N16" s="352"/>
    </row>
    <row r="17" spans="1:14" x14ac:dyDescent="0.2">
      <c r="A17" s="342"/>
      <c r="B17" s="342"/>
      <c r="C17" s="282"/>
      <c r="D17" s="17" t="s">
        <v>333</v>
      </c>
      <c r="E17" s="17">
        <v>2</v>
      </c>
      <c r="F17" s="17"/>
      <c r="G17" s="17">
        <v>0.2</v>
      </c>
      <c r="H17" s="66">
        <f t="shared" si="0"/>
        <v>1.8</v>
      </c>
      <c r="I17" s="17"/>
      <c r="J17" s="17"/>
      <c r="K17" s="17"/>
      <c r="L17" s="17"/>
      <c r="M17" s="352"/>
      <c r="N17" s="352"/>
    </row>
    <row r="18" spans="1:14" x14ac:dyDescent="0.2">
      <c r="A18" s="342"/>
      <c r="B18" s="342"/>
      <c r="C18" s="282"/>
      <c r="D18" s="17" t="s">
        <v>334</v>
      </c>
      <c r="E18" s="17">
        <v>2</v>
      </c>
      <c r="F18" s="17"/>
      <c r="G18" s="17">
        <v>0.2</v>
      </c>
      <c r="H18" s="66">
        <f t="shared" si="0"/>
        <v>1.8</v>
      </c>
      <c r="I18" s="17"/>
      <c r="J18" s="17"/>
      <c r="K18" s="17"/>
      <c r="L18" s="17"/>
      <c r="M18" s="352"/>
      <c r="N18" s="352"/>
    </row>
    <row r="19" spans="1:14" x14ac:dyDescent="0.2">
      <c r="A19" s="342"/>
      <c r="B19" s="342"/>
      <c r="C19" s="282"/>
      <c r="D19" s="17" t="s">
        <v>335</v>
      </c>
      <c r="E19" s="17">
        <v>20</v>
      </c>
      <c r="F19" s="17"/>
      <c r="G19" s="17">
        <v>13</v>
      </c>
      <c r="H19" s="66">
        <f t="shared" si="0"/>
        <v>7</v>
      </c>
      <c r="I19" s="17"/>
      <c r="J19" s="17"/>
      <c r="K19" s="17"/>
      <c r="L19" s="17"/>
      <c r="M19" s="352"/>
      <c r="N19" s="352"/>
    </row>
    <row r="20" spans="1:14" x14ac:dyDescent="0.2">
      <c r="A20" s="342"/>
      <c r="B20" s="342"/>
      <c r="C20" s="282"/>
      <c r="D20" s="161" t="s">
        <v>336</v>
      </c>
      <c r="E20" s="17">
        <v>20</v>
      </c>
      <c r="F20" s="17"/>
      <c r="G20" s="17">
        <v>5</v>
      </c>
      <c r="H20" s="66">
        <f t="shared" si="0"/>
        <v>15</v>
      </c>
      <c r="I20" s="17"/>
      <c r="J20" s="17"/>
      <c r="K20" s="17"/>
      <c r="L20" s="17"/>
      <c r="M20" s="352"/>
      <c r="N20" s="352"/>
    </row>
    <row r="21" spans="1:14" x14ac:dyDescent="0.2">
      <c r="A21" s="342"/>
      <c r="B21" s="342"/>
      <c r="C21" s="282"/>
      <c r="D21" s="161" t="s">
        <v>337</v>
      </c>
      <c r="E21" s="17">
        <v>2</v>
      </c>
      <c r="F21" s="17"/>
      <c r="G21" s="17">
        <v>0.5</v>
      </c>
      <c r="H21" s="66">
        <f t="shared" si="0"/>
        <v>1.5</v>
      </c>
      <c r="I21" s="17"/>
      <c r="J21" s="17"/>
      <c r="K21" s="17"/>
      <c r="L21" s="17"/>
      <c r="M21" s="353"/>
      <c r="N21" s="353"/>
    </row>
    <row r="22" spans="1:14" x14ac:dyDescent="0.2">
      <c r="A22" s="342"/>
      <c r="B22" s="343" t="s">
        <v>23</v>
      </c>
      <c r="C22" s="345" t="s">
        <v>80</v>
      </c>
      <c r="D22" s="66" t="s">
        <v>338</v>
      </c>
      <c r="E22" s="66">
        <v>2</v>
      </c>
      <c r="F22" s="66">
        <f>SUM(E22:E24)</f>
        <v>10.5</v>
      </c>
      <c r="G22" s="66">
        <v>0.3</v>
      </c>
      <c r="H22" s="66">
        <f t="shared" si="0"/>
        <v>1.7</v>
      </c>
      <c r="I22" s="66">
        <f>SUM(H22:H24)</f>
        <v>4</v>
      </c>
      <c r="J22" s="66"/>
      <c r="K22" s="66"/>
      <c r="L22" s="66">
        <f>SUM(K22:K24)</f>
        <v>0</v>
      </c>
      <c r="M22" s="351">
        <v>8.3000000000000007</v>
      </c>
      <c r="N22" s="351">
        <v>10.5</v>
      </c>
    </row>
    <row r="23" spans="1:14" x14ac:dyDescent="0.2">
      <c r="A23" s="342"/>
      <c r="B23" s="343"/>
      <c r="C23" s="345"/>
      <c r="D23" s="66" t="s">
        <v>339</v>
      </c>
      <c r="E23" s="66">
        <v>5</v>
      </c>
      <c r="F23" s="66"/>
      <c r="G23" s="66">
        <v>3</v>
      </c>
      <c r="H23" s="66">
        <f t="shared" si="0"/>
        <v>2</v>
      </c>
      <c r="I23" s="66"/>
      <c r="J23" s="66"/>
      <c r="K23" s="66"/>
      <c r="L23" s="66"/>
      <c r="M23" s="352"/>
      <c r="N23" s="352"/>
    </row>
    <row r="24" spans="1:14" x14ac:dyDescent="0.2">
      <c r="A24" s="342"/>
      <c r="B24" s="343"/>
      <c r="C24" s="345"/>
      <c r="D24" s="160" t="s">
        <v>340</v>
      </c>
      <c r="E24" s="66">
        <v>3.5</v>
      </c>
      <c r="F24" s="66"/>
      <c r="G24" s="66">
        <v>3.2</v>
      </c>
      <c r="H24" s="66">
        <f t="shared" si="0"/>
        <v>0.29999999999999982</v>
      </c>
      <c r="I24" s="66"/>
      <c r="J24" s="66"/>
      <c r="K24" s="66"/>
      <c r="L24" s="66"/>
      <c r="M24" s="353"/>
      <c r="N24" s="353"/>
    </row>
    <row r="25" spans="1:14" x14ac:dyDescent="0.2">
      <c r="A25" s="342"/>
      <c r="B25" s="342" t="s">
        <v>19</v>
      </c>
      <c r="C25" s="282" t="s">
        <v>136</v>
      </c>
      <c r="D25" s="17" t="s">
        <v>341</v>
      </c>
      <c r="E25" s="17">
        <v>6</v>
      </c>
      <c r="F25" s="17">
        <f>SUM(E25:E26)</f>
        <v>18.5</v>
      </c>
      <c r="G25" s="17">
        <v>3</v>
      </c>
      <c r="H25" s="66">
        <f t="shared" si="0"/>
        <v>3</v>
      </c>
      <c r="I25" s="17">
        <f>SUM(H25:H26)</f>
        <v>7.5</v>
      </c>
      <c r="J25" s="17"/>
      <c r="K25" s="17"/>
      <c r="L25" s="17">
        <f>SUM(K25:K26)</f>
        <v>0</v>
      </c>
      <c r="M25" s="351">
        <v>28</v>
      </c>
      <c r="N25" s="351">
        <v>18.5</v>
      </c>
    </row>
    <row r="26" spans="1:14" x14ac:dyDescent="0.2">
      <c r="A26" s="342"/>
      <c r="B26" s="342"/>
      <c r="C26" s="282"/>
      <c r="D26" s="161" t="s">
        <v>33</v>
      </c>
      <c r="E26" s="17">
        <v>12.5</v>
      </c>
      <c r="F26" s="17"/>
      <c r="G26" s="17">
        <v>8</v>
      </c>
      <c r="H26" s="66">
        <f t="shared" si="0"/>
        <v>4.5</v>
      </c>
      <c r="I26" s="17"/>
      <c r="J26" s="17"/>
      <c r="K26" s="17"/>
      <c r="L26" s="17"/>
      <c r="M26" s="353"/>
      <c r="N26" s="353"/>
    </row>
    <row r="27" spans="1:14" ht="14.1" customHeight="1" x14ac:dyDescent="0.2">
      <c r="A27" s="342"/>
      <c r="B27" s="345" t="s">
        <v>18</v>
      </c>
      <c r="C27" s="345" t="s">
        <v>133</v>
      </c>
      <c r="D27" s="160" t="s">
        <v>342</v>
      </c>
      <c r="E27" s="66">
        <v>4</v>
      </c>
      <c r="F27" s="66">
        <f>SUM(E27:E29)</f>
        <v>11</v>
      </c>
      <c r="G27" s="66">
        <v>2</v>
      </c>
      <c r="H27" s="66">
        <f t="shared" si="0"/>
        <v>2</v>
      </c>
      <c r="I27" s="66">
        <f>SUM(H27:H29)</f>
        <v>4.0999999999999996</v>
      </c>
      <c r="J27" s="66"/>
      <c r="K27" s="66"/>
      <c r="L27" s="66">
        <f>SUM(K27:K29)</f>
        <v>0</v>
      </c>
      <c r="M27" s="351">
        <v>10</v>
      </c>
      <c r="N27" s="351">
        <v>11</v>
      </c>
    </row>
    <row r="28" spans="1:14" x14ac:dyDescent="0.2">
      <c r="A28" s="342"/>
      <c r="B28" s="345"/>
      <c r="C28" s="345"/>
      <c r="D28" s="160" t="s">
        <v>343</v>
      </c>
      <c r="E28" s="66">
        <v>2</v>
      </c>
      <c r="F28" s="66"/>
      <c r="G28" s="66">
        <v>0.9</v>
      </c>
      <c r="H28" s="66">
        <f t="shared" si="0"/>
        <v>1.1000000000000001</v>
      </c>
      <c r="I28" s="66"/>
      <c r="J28" s="66"/>
      <c r="K28" s="66"/>
      <c r="L28" s="66"/>
      <c r="M28" s="352"/>
      <c r="N28" s="352"/>
    </row>
    <row r="29" spans="1:14" x14ac:dyDescent="0.2">
      <c r="A29" s="342"/>
      <c r="B29" s="345"/>
      <c r="C29" s="345"/>
      <c r="D29" s="160" t="s">
        <v>344</v>
      </c>
      <c r="E29" s="66">
        <v>5</v>
      </c>
      <c r="F29" s="66"/>
      <c r="G29" s="66">
        <v>4</v>
      </c>
      <c r="H29" s="66">
        <f t="shared" si="0"/>
        <v>1</v>
      </c>
      <c r="I29" s="66"/>
      <c r="J29" s="66"/>
      <c r="K29" s="66"/>
      <c r="L29" s="66"/>
      <c r="M29" s="353"/>
      <c r="N29" s="353"/>
    </row>
    <row r="30" spans="1:14" x14ac:dyDescent="0.2">
      <c r="A30" s="342"/>
      <c r="B30" s="163" t="s">
        <v>159</v>
      </c>
      <c r="C30" s="17" t="s">
        <v>59</v>
      </c>
      <c r="D30" s="161" t="s">
        <v>345</v>
      </c>
      <c r="E30" s="17">
        <v>2</v>
      </c>
      <c r="F30" s="17">
        <f>SUM(E30)</f>
        <v>2</v>
      </c>
      <c r="G30" s="17">
        <v>0.2</v>
      </c>
      <c r="H30" s="66">
        <f t="shared" si="0"/>
        <v>1.8</v>
      </c>
      <c r="I30" s="17">
        <f>SUM(H30)</f>
        <v>1.8</v>
      </c>
      <c r="J30" s="17"/>
      <c r="K30" s="17"/>
      <c r="L30" s="17">
        <f>SUM(K30)</f>
        <v>0</v>
      </c>
      <c r="M30" s="134"/>
      <c r="N30" s="17">
        <f>SUM(E30)</f>
        <v>2</v>
      </c>
    </row>
    <row r="31" spans="1:14" x14ac:dyDescent="0.2">
      <c r="A31" s="342"/>
      <c r="B31" s="343" t="s">
        <v>20</v>
      </c>
      <c r="C31" s="345" t="s">
        <v>52</v>
      </c>
      <c r="D31" s="160" t="s">
        <v>346</v>
      </c>
      <c r="E31" s="66">
        <v>2</v>
      </c>
      <c r="F31" s="66">
        <f>SUM(E31:E32)</f>
        <v>10</v>
      </c>
      <c r="G31" s="66">
        <v>0.7</v>
      </c>
      <c r="H31" s="66">
        <f t="shared" si="0"/>
        <v>1.3</v>
      </c>
      <c r="I31" s="66">
        <f>SUM(H31:H32)</f>
        <v>1.7000000000000004</v>
      </c>
      <c r="J31" s="66" t="s">
        <v>347</v>
      </c>
      <c r="K31" s="66">
        <v>1</v>
      </c>
      <c r="L31" s="66">
        <f>SUM(K31:K32)</f>
        <v>1</v>
      </c>
      <c r="M31" s="351"/>
      <c r="N31" s="351">
        <v>10</v>
      </c>
    </row>
    <row r="32" spans="1:14" x14ac:dyDescent="0.2">
      <c r="A32" s="342"/>
      <c r="B32" s="343"/>
      <c r="C32" s="345"/>
      <c r="D32" s="160" t="s">
        <v>348</v>
      </c>
      <c r="E32" s="66">
        <v>8</v>
      </c>
      <c r="F32" s="66"/>
      <c r="G32" s="66">
        <v>7.6</v>
      </c>
      <c r="H32" s="66">
        <f t="shared" si="0"/>
        <v>0.40000000000000036</v>
      </c>
      <c r="I32" s="66"/>
      <c r="J32" s="66"/>
      <c r="K32" s="66"/>
      <c r="L32" s="66"/>
      <c r="M32" s="353"/>
      <c r="N32" s="353"/>
    </row>
    <row r="33" spans="1:14" x14ac:dyDescent="0.2">
      <c r="A33" s="342" t="s">
        <v>84</v>
      </c>
      <c r="B33" s="342" t="s">
        <v>84</v>
      </c>
      <c r="C33" s="282" t="s">
        <v>134</v>
      </c>
      <c r="D33" s="17" t="s">
        <v>349</v>
      </c>
      <c r="E33" s="17">
        <v>13</v>
      </c>
      <c r="F33" s="17">
        <f>SUM(E33:E37)</f>
        <v>52</v>
      </c>
      <c r="G33" s="17">
        <v>7</v>
      </c>
      <c r="H33" s="66">
        <f t="shared" si="0"/>
        <v>6</v>
      </c>
      <c r="I33" s="17">
        <f>SUM(H33:H37)</f>
        <v>22.2</v>
      </c>
      <c r="J33" s="17"/>
      <c r="K33" s="17"/>
      <c r="L33" s="17">
        <f>SUM(K33:K37)</f>
        <v>0</v>
      </c>
      <c r="M33" s="351">
        <v>44</v>
      </c>
      <c r="N33" s="351">
        <v>52</v>
      </c>
    </row>
    <row r="34" spans="1:14" x14ac:dyDescent="0.2">
      <c r="A34" s="342"/>
      <c r="B34" s="342"/>
      <c r="C34" s="282"/>
      <c r="D34" s="163" t="s">
        <v>350</v>
      </c>
      <c r="E34" s="163">
        <v>9</v>
      </c>
      <c r="F34" s="163"/>
      <c r="G34" s="163">
        <v>5</v>
      </c>
      <c r="H34" s="66">
        <f t="shared" si="0"/>
        <v>4</v>
      </c>
      <c r="I34" s="163"/>
      <c r="J34" s="17"/>
      <c r="K34" s="17"/>
      <c r="L34" s="163"/>
      <c r="M34" s="352"/>
      <c r="N34" s="352"/>
    </row>
    <row r="35" spans="1:14" x14ac:dyDescent="0.2">
      <c r="A35" s="342"/>
      <c r="B35" s="342"/>
      <c r="C35" s="282"/>
      <c r="D35" s="17" t="s">
        <v>351</v>
      </c>
      <c r="E35" s="17">
        <v>2</v>
      </c>
      <c r="F35" s="17"/>
      <c r="G35" s="17">
        <v>1.5</v>
      </c>
      <c r="H35" s="66">
        <f t="shared" si="0"/>
        <v>0.5</v>
      </c>
      <c r="I35" s="17"/>
      <c r="J35" s="17"/>
      <c r="K35" s="17"/>
      <c r="L35" s="17"/>
      <c r="M35" s="352"/>
      <c r="N35" s="352"/>
    </row>
    <row r="36" spans="1:14" x14ac:dyDescent="0.2">
      <c r="A36" s="342"/>
      <c r="B36" s="342"/>
      <c r="C36" s="282"/>
      <c r="D36" s="161" t="s">
        <v>352</v>
      </c>
      <c r="E36" s="17">
        <v>8</v>
      </c>
      <c r="F36" s="17"/>
      <c r="G36" s="17">
        <v>3.3</v>
      </c>
      <c r="H36" s="66">
        <f t="shared" si="0"/>
        <v>4.7</v>
      </c>
      <c r="I36" s="17"/>
      <c r="J36" s="17"/>
      <c r="K36" s="17"/>
      <c r="L36" s="17"/>
      <c r="M36" s="352"/>
      <c r="N36" s="352"/>
    </row>
    <row r="37" spans="1:14" x14ac:dyDescent="0.2">
      <c r="A37" s="342"/>
      <c r="B37" s="342"/>
      <c r="C37" s="282"/>
      <c r="D37" s="17" t="s">
        <v>353</v>
      </c>
      <c r="E37" s="17">
        <v>20</v>
      </c>
      <c r="F37" s="17"/>
      <c r="G37" s="17">
        <v>13</v>
      </c>
      <c r="H37" s="66">
        <f t="shared" si="0"/>
        <v>7</v>
      </c>
      <c r="I37" s="17"/>
      <c r="J37" s="17"/>
      <c r="K37" s="17"/>
      <c r="L37" s="17"/>
      <c r="M37" s="353"/>
      <c r="N37" s="353"/>
    </row>
    <row r="38" spans="1:14" x14ac:dyDescent="0.2">
      <c r="A38" s="347" t="s">
        <v>13</v>
      </c>
      <c r="B38" s="343" t="s">
        <v>14</v>
      </c>
      <c r="C38" s="350" t="s">
        <v>126</v>
      </c>
      <c r="D38" s="160" t="s">
        <v>354</v>
      </c>
      <c r="E38" s="164">
        <v>6</v>
      </c>
      <c r="F38" s="164">
        <f>SUM(E38:E39)</f>
        <v>11</v>
      </c>
      <c r="G38" s="164">
        <v>5</v>
      </c>
      <c r="H38" s="66">
        <f t="shared" si="0"/>
        <v>1</v>
      </c>
      <c r="I38" s="164">
        <f>SUM(H38:H39)</f>
        <v>3.7</v>
      </c>
      <c r="J38" s="164"/>
      <c r="K38" s="164"/>
      <c r="L38" s="164">
        <f>SUM(K38:K39)</f>
        <v>0</v>
      </c>
      <c r="M38" s="351"/>
      <c r="N38" s="351">
        <v>11</v>
      </c>
    </row>
    <row r="39" spans="1:14" x14ac:dyDescent="0.2">
      <c r="A39" s="348"/>
      <c r="B39" s="343"/>
      <c r="C39" s="350"/>
      <c r="D39" s="160" t="s">
        <v>355</v>
      </c>
      <c r="E39" s="164">
        <v>5</v>
      </c>
      <c r="F39" s="164"/>
      <c r="G39" s="164">
        <v>2.2999999999999998</v>
      </c>
      <c r="H39" s="66">
        <f t="shared" si="0"/>
        <v>2.7</v>
      </c>
      <c r="I39" s="164"/>
      <c r="J39" s="164"/>
      <c r="K39" s="164"/>
      <c r="L39" s="164"/>
      <c r="M39" s="353"/>
      <c r="N39" s="353"/>
    </row>
    <row r="40" spans="1:14" x14ac:dyDescent="0.2">
      <c r="A40" s="348"/>
      <c r="B40" s="163" t="s">
        <v>114</v>
      </c>
      <c r="C40" s="17" t="s">
        <v>115</v>
      </c>
      <c r="D40" s="17"/>
      <c r="E40" s="17"/>
      <c r="F40" s="17">
        <f>SUM(E40)</f>
        <v>0</v>
      </c>
      <c r="G40" s="17"/>
      <c r="H40" s="66">
        <f t="shared" si="0"/>
        <v>0</v>
      </c>
      <c r="I40" s="17">
        <f>SUM(H40)</f>
        <v>0</v>
      </c>
      <c r="J40" s="17"/>
      <c r="K40" s="17"/>
      <c r="L40" s="17">
        <f>SUM(K40)</f>
        <v>0</v>
      </c>
      <c r="M40" s="134"/>
      <c r="N40" s="134"/>
    </row>
    <row r="41" spans="1:14" x14ac:dyDescent="0.2">
      <c r="A41" s="348"/>
      <c r="B41" s="165" t="s">
        <v>356</v>
      </c>
      <c r="C41" s="66" t="s">
        <v>357</v>
      </c>
      <c r="D41" s="66" t="s">
        <v>357</v>
      </c>
      <c r="E41" s="160">
        <v>4.5</v>
      </c>
      <c r="F41" s="162">
        <f>SUM(E41)</f>
        <v>4.5</v>
      </c>
      <c r="G41" s="162">
        <v>1.3</v>
      </c>
      <c r="H41" s="66">
        <f t="shared" si="0"/>
        <v>3.2</v>
      </c>
      <c r="I41" s="162">
        <f>SUM(H41)</f>
        <v>3.2</v>
      </c>
      <c r="J41" s="66"/>
      <c r="K41" s="66"/>
      <c r="L41" s="162">
        <f>SUM(K41)</f>
        <v>0</v>
      </c>
      <c r="M41" s="134"/>
      <c r="N41" s="162">
        <f>SUM(E41)</f>
        <v>4.5</v>
      </c>
    </row>
    <row r="42" spans="1:14" x14ac:dyDescent="0.2">
      <c r="A42" s="348"/>
      <c r="B42" s="347" t="s">
        <v>358</v>
      </c>
      <c r="C42" s="163" t="s">
        <v>359</v>
      </c>
      <c r="D42" s="163" t="s">
        <v>359</v>
      </c>
      <c r="E42" s="163">
        <v>1</v>
      </c>
      <c r="F42" s="163">
        <f>SUM(E42:E43)</f>
        <v>4</v>
      </c>
      <c r="G42" s="163">
        <v>0.7</v>
      </c>
      <c r="H42" s="66">
        <f t="shared" si="0"/>
        <v>0.30000000000000004</v>
      </c>
      <c r="I42" s="163">
        <f>SUM(H42:H43)</f>
        <v>2.5</v>
      </c>
      <c r="J42" s="161" t="s">
        <v>360</v>
      </c>
      <c r="K42" s="94">
        <v>0.5</v>
      </c>
      <c r="L42" s="163">
        <f>SUM(K42:K43)</f>
        <v>0.5</v>
      </c>
      <c r="M42" s="351"/>
      <c r="N42" s="351">
        <v>4</v>
      </c>
    </row>
    <row r="43" spans="1:14" x14ac:dyDescent="0.2">
      <c r="A43" s="348"/>
      <c r="B43" s="349"/>
      <c r="C43" s="163" t="s">
        <v>361</v>
      </c>
      <c r="D43" s="163" t="s">
        <v>361</v>
      </c>
      <c r="E43" s="163">
        <v>3</v>
      </c>
      <c r="F43" s="163"/>
      <c r="G43" s="163">
        <v>0.8</v>
      </c>
      <c r="H43" s="66">
        <f t="shared" si="0"/>
        <v>2.2000000000000002</v>
      </c>
      <c r="I43" s="163"/>
      <c r="J43" s="163"/>
      <c r="K43" s="94"/>
      <c r="L43" s="163"/>
      <c r="M43" s="353"/>
      <c r="N43" s="353"/>
    </row>
    <row r="44" spans="1:14" x14ac:dyDescent="0.2">
      <c r="A44" s="349"/>
      <c r="B44" s="165" t="s">
        <v>362</v>
      </c>
      <c r="C44" s="165"/>
      <c r="D44" s="160" t="s">
        <v>363</v>
      </c>
      <c r="E44" s="165">
        <v>4</v>
      </c>
      <c r="F44" s="165">
        <f>SUM(E44)</f>
        <v>4</v>
      </c>
      <c r="G44" s="165">
        <v>2</v>
      </c>
      <c r="H44" s="66">
        <f t="shared" si="0"/>
        <v>2</v>
      </c>
      <c r="I44" s="165">
        <f>SUM(H44)</f>
        <v>2</v>
      </c>
      <c r="J44" s="165"/>
      <c r="K44" s="159"/>
      <c r="L44" s="165">
        <f>SUM(K44)</f>
        <v>0</v>
      </c>
      <c r="M44" s="134"/>
      <c r="N44" s="165">
        <f>SUM(E44)</f>
        <v>4</v>
      </c>
    </row>
    <row r="45" spans="1:14" x14ac:dyDescent="0.2">
      <c r="A45" s="342" t="s">
        <v>191</v>
      </c>
      <c r="B45" s="342" t="s">
        <v>192</v>
      </c>
      <c r="C45" s="342" t="s">
        <v>242</v>
      </c>
      <c r="D45" s="163" t="s">
        <v>364</v>
      </c>
      <c r="E45" s="163">
        <v>4</v>
      </c>
      <c r="F45" s="163">
        <f>SUM(E45:E58)</f>
        <v>154</v>
      </c>
      <c r="G45" s="163">
        <v>0.4</v>
      </c>
      <c r="H45" s="66">
        <f t="shared" si="0"/>
        <v>3.6</v>
      </c>
      <c r="I45" s="163">
        <f>SUM(H45:H58)</f>
        <v>70.7</v>
      </c>
      <c r="J45" s="161" t="s">
        <v>365</v>
      </c>
      <c r="K45" s="94">
        <v>4.7</v>
      </c>
      <c r="L45" s="163">
        <f>SUM(K45:K58)</f>
        <v>17.2</v>
      </c>
      <c r="M45" s="351">
        <v>126</v>
      </c>
      <c r="N45" s="351">
        <v>154</v>
      </c>
    </row>
    <row r="46" spans="1:14" x14ac:dyDescent="0.2">
      <c r="A46" s="342"/>
      <c r="B46" s="342"/>
      <c r="C46" s="342"/>
      <c r="D46" s="163" t="s">
        <v>366</v>
      </c>
      <c r="E46" s="163">
        <v>2</v>
      </c>
      <c r="F46" s="163"/>
      <c r="G46" s="163">
        <v>0.8</v>
      </c>
      <c r="H46" s="66">
        <f t="shared" si="0"/>
        <v>1.2</v>
      </c>
      <c r="I46" s="163"/>
      <c r="J46" s="161" t="s">
        <v>367</v>
      </c>
      <c r="K46" s="94">
        <v>2</v>
      </c>
      <c r="L46" s="163"/>
      <c r="M46" s="352"/>
      <c r="N46" s="352"/>
    </row>
    <row r="47" spans="1:14" x14ac:dyDescent="0.2">
      <c r="A47" s="342"/>
      <c r="B47" s="342"/>
      <c r="C47" s="342"/>
      <c r="D47" s="163" t="s">
        <v>368</v>
      </c>
      <c r="E47" s="163">
        <v>2</v>
      </c>
      <c r="F47" s="163"/>
      <c r="G47" s="163">
        <v>0.7</v>
      </c>
      <c r="H47" s="66">
        <f t="shared" si="0"/>
        <v>1.3</v>
      </c>
      <c r="I47" s="163"/>
      <c r="J47" s="163" t="s">
        <v>369</v>
      </c>
      <c r="K47" s="94">
        <v>4.7</v>
      </c>
      <c r="L47" s="163"/>
      <c r="M47" s="352"/>
      <c r="N47" s="352"/>
    </row>
    <row r="48" spans="1:14" x14ac:dyDescent="0.2">
      <c r="A48" s="342"/>
      <c r="B48" s="342"/>
      <c r="C48" s="342"/>
      <c r="D48" s="161" t="s">
        <v>370</v>
      </c>
      <c r="E48" s="17">
        <v>7</v>
      </c>
      <c r="F48" s="163"/>
      <c r="G48" s="163">
        <v>5.5</v>
      </c>
      <c r="H48" s="66">
        <f t="shared" si="0"/>
        <v>1.5</v>
      </c>
      <c r="I48" s="163"/>
      <c r="J48" s="161" t="s">
        <v>371</v>
      </c>
      <c r="K48" s="94">
        <v>3</v>
      </c>
      <c r="L48" s="163"/>
      <c r="M48" s="352"/>
      <c r="N48" s="352"/>
    </row>
    <row r="49" spans="1:14" x14ac:dyDescent="0.2">
      <c r="A49" s="342"/>
      <c r="B49" s="342"/>
      <c r="C49" s="342"/>
      <c r="D49" s="161" t="s">
        <v>372</v>
      </c>
      <c r="E49" s="17">
        <v>6</v>
      </c>
      <c r="F49" s="163"/>
      <c r="G49" s="163">
        <v>5.5</v>
      </c>
      <c r="H49" s="66">
        <f t="shared" si="0"/>
        <v>0.5</v>
      </c>
      <c r="I49" s="163"/>
      <c r="J49" s="161" t="s">
        <v>373</v>
      </c>
      <c r="K49" s="94">
        <v>2.8</v>
      </c>
      <c r="L49" s="163"/>
      <c r="M49" s="352"/>
      <c r="N49" s="352"/>
    </row>
    <row r="50" spans="1:14" x14ac:dyDescent="0.2">
      <c r="A50" s="342"/>
      <c r="B50" s="342"/>
      <c r="C50" s="342"/>
      <c r="D50" s="161" t="s">
        <v>374</v>
      </c>
      <c r="E50" s="163">
        <v>6</v>
      </c>
      <c r="F50" s="163"/>
      <c r="G50" s="163">
        <v>3</v>
      </c>
      <c r="H50" s="66">
        <f t="shared" si="0"/>
        <v>3</v>
      </c>
      <c r="I50" s="163"/>
      <c r="J50" s="163"/>
      <c r="K50" s="94"/>
      <c r="L50" s="163"/>
      <c r="M50" s="352"/>
      <c r="N50" s="352"/>
    </row>
    <row r="51" spans="1:14" x14ac:dyDescent="0.2">
      <c r="A51" s="342"/>
      <c r="B51" s="342"/>
      <c r="C51" s="342"/>
      <c r="D51" s="161" t="s">
        <v>375</v>
      </c>
      <c r="E51" s="163">
        <v>10</v>
      </c>
      <c r="F51" s="163"/>
      <c r="G51" s="163">
        <v>4</v>
      </c>
      <c r="H51" s="66">
        <f t="shared" si="0"/>
        <v>6</v>
      </c>
      <c r="I51" s="163"/>
      <c r="J51" s="163"/>
      <c r="K51" s="94"/>
      <c r="L51" s="163"/>
      <c r="M51" s="352"/>
      <c r="N51" s="352"/>
    </row>
    <row r="52" spans="1:14" x14ac:dyDescent="0.2">
      <c r="A52" s="342"/>
      <c r="B52" s="342"/>
      <c r="C52" s="342"/>
      <c r="D52" s="161" t="s">
        <v>376</v>
      </c>
      <c r="E52" s="163">
        <v>8.5</v>
      </c>
      <c r="F52" s="163"/>
      <c r="G52" s="163">
        <v>3</v>
      </c>
      <c r="H52" s="66">
        <f t="shared" si="0"/>
        <v>5.5</v>
      </c>
      <c r="I52" s="163"/>
      <c r="J52" s="163"/>
      <c r="K52" s="94"/>
      <c r="L52" s="163"/>
      <c r="M52" s="352"/>
      <c r="N52" s="352"/>
    </row>
    <row r="53" spans="1:14" x14ac:dyDescent="0.2">
      <c r="A53" s="342"/>
      <c r="B53" s="342"/>
      <c r="C53" s="342"/>
      <c r="D53" s="161" t="s">
        <v>377</v>
      </c>
      <c r="E53" s="163">
        <v>5</v>
      </c>
      <c r="F53" s="163"/>
      <c r="G53" s="163">
        <v>0.4</v>
      </c>
      <c r="H53" s="66">
        <f t="shared" si="0"/>
        <v>4.5999999999999996</v>
      </c>
      <c r="I53" s="163"/>
      <c r="J53" s="163"/>
      <c r="K53" s="94"/>
      <c r="L53" s="163"/>
      <c r="M53" s="352"/>
      <c r="N53" s="352"/>
    </row>
    <row r="54" spans="1:14" x14ac:dyDescent="0.2">
      <c r="A54" s="342"/>
      <c r="B54" s="342"/>
      <c r="C54" s="342"/>
      <c r="D54" s="163" t="s">
        <v>378</v>
      </c>
      <c r="E54" s="163">
        <v>12</v>
      </c>
      <c r="F54" s="163"/>
      <c r="G54" s="163">
        <v>6</v>
      </c>
      <c r="H54" s="66">
        <f t="shared" si="0"/>
        <v>6</v>
      </c>
      <c r="I54" s="163"/>
      <c r="J54" s="163"/>
      <c r="K54" s="94"/>
      <c r="L54" s="163"/>
      <c r="M54" s="352"/>
      <c r="N54" s="352"/>
    </row>
    <row r="55" spans="1:14" x14ac:dyDescent="0.2">
      <c r="A55" s="342"/>
      <c r="B55" s="342"/>
      <c r="C55" s="342"/>
      <c r="D55" s="161" t="s">
        <v>379</v>
      </c>
      <c r="E55" s="163">
        <v>34</v>
      </c>
      <c r="F55" s="163"/>
      <c r="G55" s="163">
        <v>27</v>
      </c>
      <c r="H55" s="66">
        <f t="shared" si="0"/>
        <v>7</v>
      </c>
      <c r="I55" s="163"/>
      <c r="J55" s="163"/>
      <c r="K55" s="94"/>
      <c r="L55" s="163"/>
      <c r="M55" s="352"/>
      <c r="N55" s="352"/>
    </row>
    <row r="56" spans="1:14" x14ac:dyDescent="0.2">
      <c r="A56" s="342"/>
      <c r="B56" s="342"/>
      <c r="C56" s="342"/>
      <c r="D56" s="161" t="s">
        <v>380</v>
      </c>
      <c r="E56" s="163">
        <v>8.5</v>
      </c>
      <c r="F56" s="163"/>
      <c r="G56" s="163">
        <v>2</v>
      </c>
      <c r="H56" s="66">
        <f t="shared" si="0"/>
        <v>6.5</v>
      </c>
      <c r="I56" s="163"/>
      <c r="J56" s="163"/>
      <c r="K56" s="94"/>
      <c r="L56" s="163"/>
      <c r="M56" s="352"/>
      <c r="N56" s="352"/>
    </row>
    <row r="57" spans="1:14" x14ac:dyDescent="0.2">
      <c r="A57" s="342"/>
      <c r="B57" s="342"/>
      <c r="C57" s="342"/>
      <c r="D57" s="161" t="s">
        <v>381</v>
      </c>
      <c r="E57" s="163">
        <v>35</v>
      </c>
      <c r="F57" s="163"/>
      <c r="G57" s="163">
        <v>15</v>
      </c>
      <c r="H57" s="66">
        <f t="shared" si="0"/>
        <v>20</v>
      </c>
      <c r="I57" s="163"/>
      <c r="J57" s="163"/>
      <c r="K57" s="94"/>
      <c r="L57" s="163"/>
      <c r="M57" s="352"/>
      <c r="N57" s="352"/>
    </row>
    <row r="58" spans="1:14" x14ac:dyDescent="0.2">
      <c r="A58" s="342"/>
      <c r="B58" s="342"/>
      <c r="C58" s="342"/>
      <c r="D58" s="161" t="s">
        <v>382</v>
      </c>
      <c r="E58" s="163">
        <v>14</v>
      </c>
      <c r="F58" s="163"/>
      <c r="G58" s="163">
        <v>10</v>
      </c>
      <c r="H58" s="66">
        <f t="shared" si="0"/>
        <v>4</v>
      </c>
      <c r="I58" s="163"/>
      <c r="J58" s="163"/>
      <c r="K58" s="94"/>
      <c r="L58" s="163"/>
      <c r="M58" s="353"/>
      <c r="N58" s="353"/>
    </row>
    <row r="59" spans="1:14" x14ac:dyDescent="0.2">
      <c r="A59" s="282" t="s">
        <v>198</v>
      </c>
      <c r="B59" s="345" t="s">
        <v>198</v>
      </c>
      <c r="C59" s="343" t="s">
        <v>199</v>
      </c>
      <c r="D59" s="165" t="s">
        <v>383</v>
      </c>
      <c r="E59" s="165">
        <v>50</v>
      </c>
      <c r="F59" s="165">
        <f>SUM(E59:E60)</f>
        <v>87</v>
      </c>
      <c r="G59" s="165">
        <v>31</v>
      </c>
      <c r="H59" s="66">
        <f t="shared" si="0"/>
        <v>19</v>
      </c>
      <c r="I59" s="165">
        <f>SUM(H59:H60)</f>
        <v>24</v>
      </c>
      <c r="J59" s="165" t="s">
        <v>384</v>
      </c>
      <c r="K59" s="159">
        <v>1.2</v>
      </c>
      <c r="L59" s="165">
        <f>SUM(K59:K60)</f>
        <v>1.2</v>
      </c>
      <c r="M59" s="351">
        <v>97</v>
      </c>
      <c r="N59" s="351">
        <v>87</v>
      </c>
    </row>
    <row r="60" spans="1:14" x14ac:dyDescent="0.2">
      <c r="A60" s="282"/>
      <c r="B60" s="345"/>
      <c r="C60" s="343"/>
      <c r="D60" s="160" t="s">
        <v>385</v>
      </c>
      <c r="E60" s="165">
        <v>37</v>
      </c>
      <c r="F60" s="165"/>
      <c r="G60" s="165">
        <v>32</v>
      </c>
      <c r="H60" s="66">
        <f t="shared" si="0"/>
        <v>5</v>
      </c>
      <c r="I60" s="165"/>
      <c r="J60" s="165"/>
      <c r="K60" s="159"/>
      <c r="L60" s="165"/>
      <c r="M60" s="353"/>
      <c r="N60" s="353"/>
    </row>
    <row r="61" spans="1:14" ht="28.5" x14ac:dyDescent="0.2">
      <c r="A61" s="282" t="s">
        <v>13</v>
      </c>
      <c r="B61" s="282" t="s">
        <v>145</v>
      </c>
      <c r="C61" s="282" t="s">
        <v>201</v>
      </c>
      <c r="D61" s="17" t="s">
        <v>386</v>
      </c>
      <c r="E61" s="17">
        <v>5</v>
      </c>
      <c r="F61" s="17">
        <f>SUM(E61:E71)</f>
        <v>98</v>
      </c>
      <c r="G61" s="17">
        <v>3</v>
      </c>
      <c r="H61" s="66">
        <f t="shared" si="0"/>
        <v>2</v>
      </c>
      <c r="I61" s="17">
        <f>SUM(H61:H71)</f>
        <v>43.5</v>
      </c>
      <c r="J61" s="17" t="s">
        <v>387</v>
      </c>
      <c r="K61" s="17">
        <v>0.8</v>
      </c>
      <c r="L61" s="17">
        <f>SUM(K61:K71)</f>
        <v>88.3</v>
      </c>
      <c r="M61" s="351">
        <v>58</v>
      </c>
      <c r="N61" s="351">
        <v>98</v>
      </c>
    </row>
    <row r="62" spans="1:14" ht="28.5" x14ac:dyDescent="0.2">
      <c r="A62" s="282"/>
      <c r="B62" s="282"/>
      <c r="C62" s="282"/>
      <c r="D62" s="161" t="s">
        <v>388</v>
      </c>
      <c r="E62" s="17">
        <v>7</v>
      </c>
      <c r="F62" s="17"/>
      <c r="G62" s="17">
        <v>5</v>
      </c>
      <c r="H62" s="66">
        <f t="shared" si="0"/>
        <v>2</v>
      </c>
      <c r="I62" s="17"/>
      <c r="J62" s="17" t="s">
        <v>389</v>
      </c>
      <c r="K62" s="17">
        <v>21</v>
      </c>
      <c r="L62" s="17"/>
      <c r="M62" s="352"/>
      <c r="N62" s="352"/>
    </row>
    <row r="63" spans="1:14" x14ac:dyDescent="0.2">
      <c r="A63" s="282"/>
      <c r="B63" s="282"/>
      <c r="C63" s="282"/>
      <c r="D63" s="161" t="s">
        <v>390</v>
      </c>
      <c r="E63" s="17">
        <v>9</v>
      </c>
      <c r="F63" s="17"/>
      <c r="G63" s="17">
        <v>6.5</v>
      </c>
      <c r="H63" s="66">
        <f t="shared" si="0"/>
        <v>2.5</v>
      </c>
      <c r="I63" s="17"/>
      <c r="J63" s="161" t="s">
        <v>391</v>
      </c>
      <c r="K63" s="17">
        <v>8.6999999999999993</v>
      </c>
      <c r="L63" s="17"/>
      <c r="M63" s="352"/>
      <c r="N63" s="352"/>
    </row>
    <row r="64" spans="1:14" x14ac:dyDescent="0.2">
      <c r="A64" s="282"/>
      <c r="B64" s="282"/>
      <c r="C64" s="282"/>
      <c r="D64" s="161" t="s">
        <v>392</v>
      </c>
      <c r="E64" s="17">
        <v>5</v>
      </c>
      <c r="F64" s="17"/>
      <c r="G64" s="17">
        <v>3</v>
      </c>
      <c r="H64" s="66">
        <f t="shared" si="0"/>
        <v>2</v>
      </c>
      <c r="I64" s="17"/>
      <c r="J64" s="161" t="s">
        <v>393</v>
      </c>
      <c r="K64" s="17">
        <v>9.5</v>
      </c>
      <c r="L64" s="17"/>
      <c r="M64" s="352"/>
      <c r="N64" s="352"/>
    </row>
    <row r="65" spans="1:14" x14ac:dyDescent="0.2">
      <c r="A65" s="282"/>
      <c r="B65" s="282"/>
      <c r="C65" s="282"/>
      <c r="D65" s="161" t="s">
        <v>394</v>
      </c>
      <c r="E65" s="17">
        <v>3</v>
      </c>
      <c r="F65" s="17"/>
      <c r="G65" s="17">
        <v>2</v>
      </c>
      <c r="H65" s="66">
        <f t="shared" si="0"/>
        <v>1</v>
      </c>
      <c r="I65" s="17"/>
      <c r="J65" s="161" t="s">
        <v>395</v>
      </c>
      <c r="K65" s="17">
        <v>2.8</v>
      </c>
      <c r="L65" s="17"/>
      <c r="M65" s="352"/>
      <c r="N65" s="352"/>
    </row>
    <row r="66" spans="1:14" x14ac:dyDescent="0.2">
      <c r="A66" s="282"/>
      <c r="B66" s="282"/>
      <c r="C66" s="282"/>
      <c r="D66" s="161" t="s">
        <v>396</v>
      </c>
      <c r="E66" s="17">
        <v>2</v>
      </c>
      <c r="F66" s="17"/>
      <c r="G66" s="17">
        <v>0.5</v>
      </c>
      <c r="H66" s="66">
        <f t="shared" si="0"/>
        <v>1.5</v>
      </c>
      <c r="I66" s="17"/>
      <c r="J66" s="161" t="s">
        <v>397</v>
      </c>
      <c r="K66" s="17">
        <v>19.5</v>
      </c>
      <c r="L66" s="17"/>
      <c r="M66" s="352"/>
      <c r="N66" s="352"/>
    </row>
    <row r="67" spans="1:14" x14ac:dyDescent="0.2">
      <c r="A67" s="282"/>
      <c r="B67" s="282"/>
      <c r="C67" s="282"/>
      <c r="D67" s="161" t="s">
        <v>398</v>
      </c>
      <c r="E67" s="17">
        <v>6</v>
      </c>
      <c r="F67" s="17"/>
      <c r="G67" s="17">
        <v>4</v>
      </c>
      <c r="H67" s="66">
        <f t="shared" ref="H67:H120" si="1">E67-G67</f>
        <v>2</v>
      </c>
      <c r="I67" s="17"/>
      <c r="J67" s="161" t="s">
        <v>399</v>
      </c>
      <c r="K67" s="17">
        <v>24</v>
      </c>
      <c r="L67" s="17"/>
      <c r="M67" s="352"/>
      <c r="N67" s="352"/>
    </row>
    <row r="68" spans="1:14" x14ac:dyDescent="0.2">
      <c r="A68" s="282"/>
      <c r="B68" s="282"/>
      <c r="C68" s="282"/>
      <c r="D68" s="161" t="s">
        <v>400</v>
      </c>
      <c r="E68" s="17">
        <v>2</v>
      </c>
      <c r="F68" s="17"/>
      <c r="G68" s="17">
        <v>0.5</v>
      </c>
      <c r="H68" s="66">
        <f t="shared" si="1"/>
        <v>1.5</v>
      </c>
      <c r="I68" s="17"/>
      <c r="J68" s="161" t="s">
        <v>401</v>
      </c>
      <c r="K68" s="17">
        <v>2</v>
      </c>
      <c r="L68" s="17"/>
      <c r="M68" s="352"/>
      <c r="N68" s="352"/>
    </row>
    <row r="69" spans="1:14" x14ac:dyDescent="0.2">
      <c r="A69" s="282"/>
      <c r="B69" s="282"/>
      <c r="C69" s="282"/>
      <c r="D69" s="161" t="s">
        <v>402</v>
      </c>
      <c r="E69" s="17">
        <v>25</v>
      </c>
      <c r="F69" s="17"/>
      <c r="G69" s="17">
        <v>0.5</v>
      </c>
      <c r="H69" s="66">
        <f t="shared" si="1"/>
        <v>24.5</v>
      </c>
      <c r="I69" s="17"/>
      <c r="J69" s="17"/>
      <c r="K69" s="17"/>
      <c r="L69" s="17"/>
      <c r="M69" s="352"/>
      <c r="N69" s="352"/>
    </row>
    <row r="70" spans="1:14" x14ac:dyDescent="0.2">
      <c r="A70" s="282"/>
      <c r="B70" s="282"/>
      <c r="C70" s="282"/>
      <c r="D70" s="161" t="s">
        <v>403</v>
      </c>
      <c r="E70" s="17">
        <v>9</v>
      </c>
      <c r="F70" s="17"/>
      <c r="G70" s="17">
        <v>8.5</v>
      </c>
      <c r="H70" s="66">
        <f t="shared" si="1"/>
        <v>0.5</v>
      </c>
      <c r="I70" s="17"/>
      <c r="J70" s="17"/>
      <c r="K70" s="17"/>
      <c r="L70" s="17"/>
      <c r="M70" s="352"/>
      <c r="N70" s="352"/>
    </row>
    <row r="71" spans="1:14" x14ac:dyDescent="0.2">
      <c r="A71" s="282"/>
      <c r="B71" s="282"/>
      <c r="C71" s="282"/>
      <c r="D71" s="161" t="s">
        <v>404</v>
      </c>
      <c r="E71" s="17">
        <v>25</v>
      </c>
      <c r="F71" s="17"/>
      <c r="G71" s="17">
        <v>21</v>
      </c>
      <c r="H71" s="66">
        <f t="shared" si="1"/>
        <v>4</v>
      </c>
      <c r="I71" s="17"/>
      <c r="J71" s="17"/>
      <c r="K71" s="17"/>
      <c r="L71" s="17"/>
      <c r="M71" s="353"/>
      <c r="N71" s="353"/>
    </row>
    <row r="72" spans="1:14" x14ac:dyDescent="0.2">
      <c r="A72" s="282"/>
      <c r="B72" s="166" t="s">
        <v>203</v>
      </c>
      <c r="C72" s="66" t="s">
        <v>204</v>
      </c>
      <c r="D72" s="66" t="s">
        <v>205</v>
      </c>
      <c r="E72" s="66">
        <v>12</v>
      </c>
      <c r="F72" s="66">
        <f>SUM(E72)</f>
        <v>12</v>
      </c>
      <c r="G72" s="66"/>
      <c r="H72" s="66">
        <f t="shared" si="1"/>
        <v>12</v>
      </c>
      <c r="I72" s="66">
        <f>SUM(H72)</f>
        <v>12</v>
      </c>
      <c r="J72" s="66" t="s">
        <v>405</v>
      </c>
      <c r="K72" s="66">
        <v>3</v>
      </c>
      <c r="L72" s="66">
        <f>SUM(K72)</f>
        <v>3</v>
      </c>
      <c r="M72" s="134">
        <v>25</v>
      </c>
      <c r="N72" s="66">
        <f>SUM(E72)</f>
        <v>12</v>
      </c>
    </row>
    <row r="73" spans="1:14" x14ac:dyDescent="0.2">
      <c r="A73" s="282"/>
      <c r="B73" s="282" t="s">
        <v>206</v>
      </c>
      <c r="C73" s="282" t="s">
        <v>207</v>
      </c>
      <c r="D73" s="17" t="s">
        <v>406</v>
      </c>
      <c r="E73" s="17">
        <v>6</v>
      </c>
      <c r="F73" s="17">
        <f>SUM(E73:E74)</f>
        <v>8</v>
      </c>
      <c r="G73" s="17">
        <v>3.5</v>
      </c>
      <c r="H73" s="66">
        <f t="shared" si="1"/>
        <v>2.5</v>
      </c>
      <c r="I73" s="17">
        <f>SUM(H73:H74)</f>
        <v>3.8</v>
      </c>
      <c r="J73" s="17"/>
      <c r="K73" s="17"/>
      <c r="L73" s="17">
        <f>SUM(K73:K74)</f>
        <v>0</v>
      </c>
      <c r="M73" s="351">
        <v>8</v>
      </c>
      <c r="N73" s="351">
        <v>8</v>
      </c>
    </row>
    <row r="74" spans="1:14" x14ac:dyDescent="0.2">
      <c r="A74" s="282"/>
      <c r="B74" s="282"/>
      <c r="C74" s="282"/>
      <c r="D74" s="17" t="s">
        <v>407</v>
      </c>
      <c r="E74" s="17">
        <v>2</v>
      </c>
      <c r="F74" s="17"/>
      <c r="G74" s="17">
        <v>0.7</v>
      </c>
      <c r="H74" s="66">
        <f t="shared" si="1"/>
        <v>1.3</v>
      </c>
      <c r="I74" s="17"/>
      <c r="J74" s="17"/>
      <c r="K74" s="17"/>
      <c r="L74" s="17"/>
      <c r="M74" s="353"/>
      <c r="N74" s="353"/>
    </row>
    <row r="75" spans="1:14" x14ac:dyDescent="0.2">
      <c r="A75" s="282" t="s">
        <v>13</v>
      </c>
      <c r="B75" s="345" t="s">
        <v>213</v>
      </c>
      <c r="C75" s="345" t="s">
        <v>214</v>
      </c>
      <c r="D75" s="66" t="s">
        <v>408</v>
      </c>
      <c r="E75" s="66">
        <v>20</v>
      </c>
      <c r="F75" s="66">
        <f>SUM(E75:E120)</f>
        <v>346.2</v>
      </c>
      <c r="G75" s="66">
        <v>15</v>
      </c>
      <c r="H75" s="66">
        <f t="shared" si="1"/>
        <v>5</v>
      </c>
      <c r="I75" s="66">
        <f>SUM(H75:H120)</f>
        <v>102.56900000000002</v>
      </c>
      <c r="J75" s="160" t="s">
        <v>409</v>
      </c>
      <c r="K75" s="66">
        <v>4.7</v>
      </c>
      <c r="L75" s="66">
        <f>SUM(K75:K120)</f>
        <v>139.82</v>
      </c>
      <c r="M75" s="351"/>
      <c r="N75" s="351">
        <v>346.2</v>
      </c>
    </row>
    <row r="76" spans="1:14" x14ac:dyDescent="0.2">
      <c r="A76" s="282"/>
      <c r="B76" s="345"/>
      <c r="C76" s="345"/>
      <c r="D76" s="66" t="s">
        <v>410</v>
      </c>
      <c r="E76" s="66">
        <v>16</v>
      </c>
      <c r="F76" s="66"/>
      <c r="G76" s="66">
        <v>12</v>
      </c>
      <c r="H76" s="66">
        <f t="shared" si="1"/>
        <v>4</v>
      </c>
      <c r="I76" s="66"/>
      <c r="J76" s="160" t="s">
        <v>411</v>
      </c>
      <c r="K76" s="66">
        <v>5</v>
      </c>
      <c r="L76" s="66"/>
      <c r="M76" s="352"/>
      <c r="N76" s="352"/>
    </row>
    <row r="77" spans="1:14" x14ac:dyDescent="0.2">
      <c r="A77" s="282"/>
      <c r="B77" s="345"/>
      <c r="C77" s="345"/>
      <c r="D77" s="66" t="s">
        <v>412</v>
      </c>
      <c r="E77" s="66">
        <v>3</v>
      </c>
      <c r="F77" s="66"/>
      <c r="G77" s="66">
        <v>2.5</v>
      </c>
      <c r="H77" s="66">
        <f t="shared" si="1"/>
        <v>0.5</v>
      </c>
      <c r="I77" s="66"/>
      <c r="J77" s="160" t="s">
        <v>413</v>
      </c>
      <c r="K77" s="66">
        <v>4.5</v>
      </c>
      <c r="L77" s="66"/>
      <c r="M77" s="352"/>
      <c r="N77" s="352"/>
    </row>
    <row r="78" spans="1:14" x14ac:dyDescent="0.2">
      <c r="A78" s="282"/>
      <c r="B78" s="345"/>
      <c r="C78" s="345"/>
      <c r="D78" s="66" t="s">
        <v>414</v>
      </c>
      <c r="E78" s="66">
        <v>1</v>
      </c>
      <c r="F78" s="66"/>
      <c r="G78" s="66">
        <v>0.01</v>
      </c>
      <c r="H78" s="66">
        <f t="shared" si="1"/>
        <v>0.99</v>
      </c>
      <c r="I78" s="66"/>
      <c r="J78" s="66" t="s">
        <v>415</v>
      </c>
      <c r="K78" s="66">
        <v>0.3</v>
      </c>
      <c r="L78" s="66"/>
      <c r="M78" s="352"/>
      <c r="N78" s="352"/>
    </row>
    <row r="79" spans="1:14" x14ac:dyDescent="0.2">
      <c r="A79" s="282"/>
      <c r="B79" s="345"/>
      <c r="C79" s="345"/>
      <c r="D79" s="66" t="s">
        <v>416</v>
      </c>
      <c r="E79" s="66">
        <v>23</v>
      </c>
      <c r="F79" s="66"/>
      <c r="G79" s="66">
        <v>16</v>
      </c>
      <c r="H79" s="66">
        <f t="shared" si="1"/>
        <v>7</v>
      </c>
      <c r="I79" s="66"/>
      <c r="J79" s="160" t="s">
        <v>417</v>
      </c>
      <c r="K79" s="66">
        <v>3.6</v>
      </c>
      <c r="L79" s="66"/>
      <c r="M79" s="352"/>
      <c r="N79" s="352"/>
    </row>
    <row r="80" spans="1:14" x14ac:dyDescent="0.2">
      <c r="A80" s="282"/>
      <c r="B80" s="345"/>
      <c r="C80" s="345"/>
      <c r="D80" s="160" t="s">
        <v>418</v>
      </c>
      <c r="E80" s="165">
        <v>11</v>
      </c>
      <c r="F80" s="66"/>
      <c r="G80" s="66">
        <v>7</v>
      </c>
      <c r="H80" s="66">
        <f t="shared" si="1"/>
        <v>4</v>
      </c>
      <c r="I80" s="66"/>
      <c r="J80" s="160" t="s">
        <v>419</v>
      </c>
      <c r="K80" s="66">
        <v>10.5</v>
      </c>
      <c r="L80" s="66"/>
      <c r="M80" s="352"/>
      <c r="N80" s="352"/>
    </row>
    <row r="81" spans="1:14" x14ac:dyDescent="0.2">
      <c r="A81" s="282"/>
      <c r="B81" s="345"/>
      <c r="C81" s="345"/>
      <c r="D81" s="160" t="s">
        <v>420</v>
      </c>
      <c r="E81" s="165">
        <v>10</v>
      </c>
      <c r="F81" s="66"/>
      <c r="G81" s="66">
        <v>7.5</v>
      </c>
      <c r="H81" s="66">
        <f t="shared" si="1"/>
        <v>2.5</v>
      </c>
      <c r="I81" s="66"/>
      <c r="J81" s="160" t="s">
        <v>421</v>
      </c>
      <c r="K81" s="66">
        <v>1.7</v>
      </c>
      <c r="L81" s="66"/>
      <c r="M81" s="352"/>
      <c r="N81" s="352"/>
    </row>
    <row r="82" spans="1:14" x14ac:dyDescent="0.2">
      <c r="A82" s="282"/>
      <c r="B82" s="345"/>
      <c r="C82" s="345"/>
      <c r="D82" s="66" t="s">
        <v>422</v>
      </c>
      <c r="E82" s="66">
        <v>6</v>
      </c>
      <c r="F82" s="66"/>
      <c r="G82" s="66">
        <v>4</v>
      </c>
      <c r="H82" s="66">
        <f t="shared" si="1"/>
        <v>2</v>
      </c>
      <c r="I82" s="66"/>
      <c r="J82" s="160" t="s">
        <v>423</v>
      </c>
      <c r="K82" s="66">
        <v>3.4</v>
      </c>
      <c r="L82" s="66"/>
      <c r="M82" s="352"/>
      <c r="N82" s="352"/>
    </row>
    <row r="83" spans="1:14" x14ac:dyDescent="0.2">
      <c r="A83" s="282"/>
      <c r="B83" s="345"/>
      <c r="C83" s="345"/>
      <c r="D83" s="160" t="s">
        <v>424</v>
      </c>
      <c r="E83" s="66">
        <v>16</v>
      </c>
      <c r="F83" s="66"/>
      <c r="G83" s="66">
        <v>10</v>
      </c>
      <c r="H83" s="66">
        <f t="shared" si="1"/>
        <v>6</v>
      </c>
      <c r="I83" s="66"/>
      <c r="J83" s="160" t="s">
        <v>425</v>
      </c>
      <c r="K83" s="66">
        <v>11</v>
      </c>
      <c r="L83" s="66"/>
      <c r="M83" s="352"/>
      <c r="N83" s="352"/>
    </row>
    <row r="84" spans="1:14" x14ac:dyDescent="0.2">
      <c r="A84" s="282"/>
      <c r="B84" s="345"/>
      <c r="C84" s="345"/>
      <c r="D84" s="160" t="s">
        <v>426</v>
      </c>
      <c r="E84" s="66">
        <v>0.5</v>
      </c>
      <c r="F84" s="66"/>
      <c r="G84" s="66">
        <v>1E-3</v>
      </c>
      <c r="H84" s="66">
        <f t="shared" si="1"/>
        <v>0.499</v>
      </c>
      <c r="I84" s="66"/>
      <c r="J84" s="160" t="s">
        <v>427</v>
      </c>
      <c r="K84" s="66">
        <v>0.1</v>
      </c>
      <c r="L84" s="66"/>
      <c r="M84" s="352"/>
      <c r="N84" s="352"/>
    </row>
    <row r="85" spans="1:14" x14ac:dyDescent="0.2">
      <c r="A85" s="282"/>
      <c r="B85" s="345"/>
      <c r="C85" s="345"/>
      <c r="D85" s="160" t="s">
        <v>428</v>
      </c>
      <c r="E85" s="66">
        <v>35</v>
      </c>
      <c r="F85" s="66"/>
      <c r="G85" s="66">
        <v>28</v>
      </c>
      <c r="H85" s="66">
        <f t="shared" si="1"/>
        <v>7</v>
      </c>
      <c r="I85" s="66"/>
      <c r="J85" s="66" t="s">
        <v>429</v>
      </c>
      <c r="K85" s="66">
        <v>0.1</v>
      </c>
      <c r="L85" s="66"/>
      <c r="M85" s="352"/>
      <c r="N85" s="352"/>
    </row>
    <row r="86" spans="1:14" x14ac:dyDescent="0.2">
      <c r="A86" s="282"/>
      <c r="B86" s="345"/>
      <c r="C86" s="345"/>
      <c r="D86" s="160" t="s">
        <v>430</v>
      </c>
      <c r="E86" s="66">
        <v>20</v>
      </c>
      <c r="F86" s="66"/>
      <c r="G86" s="66">
        <v>12</v>
      </c>
      <c r="H86" s="66">
        <f t="shared" si="1"/>
        <v>8</v>
      </c>
      <c r="I86" s="66"/>
      <c r="J86" s="160" t="s">
        <v>431</v>
      </c>
      <c r="K86" s="160">
        <v>3.7</v>
      </c>
      <c r="L86" s="66"/>
      <c r="M86" s="352"/>
      <c r="N86" s="352"/>
    </row>
    <row r="87" spans="1:14" x14ac:dyDescent="0.2">
      <c r="A87" s="282"/>
      <c r="B87" s="345"/>
      <c r="C87" s="345"/>
      <c r="D87" s="160" t="s">
        <v>432</v>
      </c>
      <c r="E87" s="66">
        <v>20</v>
      </c>
      <c r="F87" s="66"/>
      <c r="G87" s="66">
        <v>14</v>
      </c>
      <c r="H87" s="66">
        <f t="shared" si="1"/>
        <v>6</v>
      </c>
      <c r="I87" s="66"/>
      <c r="J87" s="160" t="s">
        <v>433</v>
      </c>
      <c r="K87" s="160">
        <v>2</v>
      </c>
      <c r="L87" s="66"/>
      <c r="M87" s="352"/>
      <c r="N87" s="352"/>
    </row>
    <row r="88" spans="1:14" x14ac:dyDescent="0.2">
      <c r="A88" s="282"/>
      <c r="B88" s="345"/>
      <c r="C88" s="345"/>
      <c r="D88" s="160" t="s">
        <v>434</v>
      </c>
      <c r="E88" s="66">
        <v>1</v>
      </c>
      <c r="F88" s="66"/>
      <c r="G88" s="66">
        <v>0.5</v>
      </c>
      <c r="H88" s="66">
        <f t="shared" si="1"/>
        <v>0.5</v>
      </c>
      <c r="I88" s="66"/>
      <c r="J88" s="160" t="s">
        <v>435</v>
      </c>
      <c r="K88" s="160">
        <v>2.2999999999999998</v>
      </c>
      <c r="L88" s="66"/>
      <c r="M88" s="352"/>
      <c r="N88" s="352"/>
    </row>
    <row r="89" spans="1:14" x14ac:dyDescent="0.2">
      <c r="A89" s="282"/>
      <c r="B89" s="345"/>
      <c r="C89" s="345"/>
      <c r="D89" s="160" t="s">
        <v>436</v>
      </c>
      <c r="E89" s="66">
        <v>6.7</v>
      </c>
      <c r="F89" s="66"/>
      <c r="G89" s="66">
        <v>6.2</v>
      </c>
      <c r="H89" s="66">
        <f t="shared" si="1"/>
        <v>0.5</v>
      </c>
      <c r="I89" s="66"/>
      <c r="J89" s="160" t="s">
        <v>437</v>
      </c>
      <c r="K89" s="160">
        <v>3.2</v>
      </c>
      <c r="L89" s="66"/>
      <c r="M89" s="352"/>
      <c r="N89" s="352"/>
    </row>
    <row r="90" spans="1:14" x14ac:dyDescent="0.2">
      <c r="A90" s="282"/>
      <c r="B90" s="345"/>
      <c r="C90" s="345"/>
      <c r="D90" s="160" t="s">
        <v>438</v>
      </c>
      <c r="E90" s="66">
        <v>4</v>
      </c>
      <c r="F90" s="66"/>
      <c r="G90" s="66">
        <v>3.3</v>
      </c>
      <c r="H90" s="66">
        <f t="shared" si="1"/>
        <v>0.70000000000000018</v>
      </c>
      <c r="I90" s="66"/>
      <c r="J90" s="160" t="s">
        <v>439</v>
      </c>
      <c r="K90" s="160">
        <v>4</v>
      </c>
      <c r="L90" s="66"/>
      <c r="M90" s="352"/>
      <c r="N90" s="352"/>
    </row>
    <row r="91" spans="1:14" x14ac:dyDescent="0.2">
      <c r="A91" s="282"/>
      <c r="B91" s="345"/>
      <c r="C91" s="345"/>
      <c r="D91" s="160" t="s">
        <v>440</v>
      </c>
      <c r="E91" s="66">
        <v>23</v>
      </c>
      <c r="F91" s="66"/>
      <c r="G91" s="66">
        <v>14</v>
      </c>
      <c r="H91" s="66">
        <f t="shared" si="1"/>
        <v>9</v>
      </c>
      <c r="I91" s="66"/>
      <c r="J91" s="160" t="s">
        <v>441</v>
      </c>
      <c r="K91" s="160">
        <v>0.5</v>
      </c>
      <c r="L91" s="66"/>
      <c r="M91" s="352"/>
      <c r="N91" s="352"/>
    </row>
    <row r="92" spans="1:14" x14ac:dyDescent="0.2">
      <c r="A92" s="282"/>
      <c r="B92" s="345"/>
      <c r="C92" s="345"/>
      <c r="D92" s="160" t="s">
        <v>442</v>
      </c>
      <c r="E92" s="66">
        <v>31</v>
      </c>
      <c r="F92" s="66"/>
      <c r="G92" s="66">
        <v>19</v>
      </c>
      <c r="H92" s="66">
        <f t="shared" si="1"/>
        <v>12</v>
      </c>
      <c r="I92" s="66"/>
      <c r="J92" s="160" t="s">
        <v>443</v>
      </c>
      <c r="K92" s="160">
        <v>4</v>
      </c>
      <c r="L92" s="66"/>
      <c r="M92" s="352"/>
      <c r="N92" s="352"/>
    </row>
    <row r="93" spans="1:14" x14ac:dyDescent="0.2">
      <c r="A93" s="282"/>
      <c r="B93" s="345"/>
      <c r="C93" s="345"/>
      <c r="D93" s="160" t="s">
        <v>444</v>
      </c>
      <c r="E93" s="66">
        <v>8</v>
      </c>
      <c r="F93" s="66"/>
      <c r="G93" s="66">
        <v>7.6</v>
      </c>
      <c r="H93" s="66">
        <f t="shared" si="1"/>
        <v>0.40000000000000036</v>
      </c>
      <c r="I93" s="66"/>
      <c r="J93" s="160" t="s">
        <v>445</v>
      </c>
      <c r="K93" s="160">
        <v>6</v>
      </c>
      <c r="L93" s="66"/>
      <c r="M93" s="352"/>
      <c r="N93" s="352"/>
    </row>
    <row r="94" spans="1:14" x14ac:dyDescent="0.2">
      <c r="A94" s="282"/>
      <c r="B94" s="345"/>
      <c r="C94" s="345"/>
      <c r="D94" s="160" t="s">
        <v>446</v>
      </c>
      <c r="E94" s="66">
        <v>5</v>
      </c>
      <c r="F94" s="66"/>
      <c r="G94" s="66">
        <v>3</v>
      </c>
      <c r="H94" s="66">
        <f t="shared" si="1"/>
        <v>2</v>
      </c>
      <c r="I94" s="66"/>
      <c r="J94" s="160" t="s">
        <v>447</v>
      </c>
      <c r="K94" s="160">
        <v>9.8000000000000007</v>
      </c>
      <c r="L94" s="66"/>
      <c r="M94" s="352"/>
      <c r="N94" s="352"/>
    </row>
    <row r="95" spans="1:14" x14ac:dyDescent="0.2">
      <c r="A95" s="282"/>
      <c r="B95" s="345"/>
      <c r="C95" s="345"/>
      <c r="D95" s="160" t="s">
        <v>448</v>
      </c>
      <c r="E95" s="66">
        <v>3</v>
      </c>
      <c r="F95" s="66"/>
      <c r="G95" s="66">
        <v>0.02</v>
      </c>
      <c r="H95" s="66">
        <f t="shared" si="1"/>
        <v>2.98</v>
      </c>
      <c r="I95" s="66"/>
      <c r="J95" s="160" t="s">
        <v>449</v>
      </c>
      <c r="K95" s="160">
        <v>1.5</v>
      </c>
      <c r="L95" s="66"/>
      <c r="M95" s="352"/>
      <c r="N95" s="352"/>
    </row>
    <row r="96" spans="1:14" x14ac:dyDescent="0.2">
      <c r="A96" s="282"/>
      <c r="B96" s="345"/>
      <c r="C96" s="345"/>
      <c r="D96" s="160" t="s">
        <v>450</v>
      </c>
      <c r="E96" s="66">
        <v>40</v>
      </c>
      <c r="F96" s="66"/>
      <c r="G96" s="66">
        <v>31</v>
      </c>
      <c r="H96" s="66">
        <f t="shared" si="1"/>
        <v>9</v>
      </c>
      <c r="I96" s="66"/>
      <c r="J96" s="160" t="s">
        <v>451</v>
      </c>
      <c r="K96" s="160">
        <v>2.5</v>
      </c>
      <c r="L96" s="66"/>
      <c r="M96" s="352"/>
      <c r="N96" s="352"/>
    </row>
    <row r="97" spans="1:14" x14ac:dyDescent="0.2">
      <c r="A97" s="282"/>
      <c r="B97" s="345"/>
      <c r="C97" s="345"/>
      <c r="D97" s="160" t="s">
        <v>452</v>
      </c>
      <c r="E97" s="66">
        <v>15</v>
      </c>
      <c r="F97" s="66"/>
      <c r="G97" s="66">
        <v>8</v>
      </c>
      <c r="H97" s="66">
        <f t="shared" si="1"/>
        <v>7</v>
      </c>
      <c r="I97" s="66"/>
      <c r="J97" s="160" t="s">
        <v>453</v>
      </c>
      <c r="K97" s="160">
        <v>2</v>
      </c>
      <c r="L97" s="66"/>
      <c r="M97" s="352"/>
      <c r="N97" s="352"/>
    </row>
    <row r="98" spans="1:14" x14ac:dyDescent="0.2">
      <c r="A98" s="282"/>
      <c r="B98" s="345"/>
      <c r="C98" s="345"/>
      <c r="D98" s="160" t="s">
        <v>454</v>
      </c>
      <c r="E98" s="66">
        <v>7</v>
      </c>
      <c r="F98" s="66"/>
      <c r="G98" s="66">
        <v>5</v>
      </c>
      <c r="H98" s="66">
        <f t="shared" si="1"/>
        <v>2</v>
      </c>
      <c r="I98" s="66"/>
      <c r="J98" s="160" t="s">
        <v>455</v>
      </c>
      <c r="K98" s="160">
        <v>0.6</v>
      </c>
      <c r="L98" s="66"/>
      <c r="M98" s="352"/>
      <c r="N98" s="352"/>
    </row>
    <row r="99" spans="1:14" x14ac:dyDescent="0.2">
      <c r="A99" s="282"/>
      <c r="B99" s="345"/>
      <c r="C99" s="345"/>
      <c r="D99" s="160" t="s">
        <v>456</v>
      </c>
      <c r="E99" s="66">
        <v>21</v>
      </c>
      <c r="F99" s="66"/>
      <c r="G99" s="66">
        <v>18</v>
      </c>
      <c r="H99" s="66">
        <f t="shared" si="1"/>
        <v>3</v>
      </c>
      <c r="I99" s="66"/>
      <c r="J99" s="160" t="s">
        <v>457</v>
      </c>
      <c r="K99" s="160">
        <v>0.1</v>
      </c>
      <c r="L99" s="66"/>
      <c r="M99" s="352"/>
      <c r="N99" s="352"/>
    </row>
    <row r="100" spans="1:14" x14ac:dyDescent="0.2">
      <c r="A100" s="282"/>
      <c r="B100" s="345"/>
      <c r="C100" s="345"/>
      <c r="D100" s="66"/>
      <c r="E100" s="66"/>
      <c r="F100" s="66"/>
      <c r="G100" s="66"/>
      <c r="H100" s="66">
        <f t="shared" si="1"/>
        <v>0</v>
      </c>
      <c r="I100" s="66"/>
      <c r="J100" s="160" t="s">
        <v>458</v>
      </c>
      <c r="K100" s="160">
        <v>1</v>
      </c>
      <c r="L100" s="66"/>
      <c r="M100" s="352"/>
      <c r="N100" s="352"/>
    </row>
    <row r="101" spans="1:14" x14ac:dyDescent="0.2">
      <c r="A101" s="282"/>
      <c r="B101" s="345"/>
      <c r="C101" s="345"/>
      <c r="D101" s="66"/>
      <c r="E101" s="66"/>
      <c r="F101" s="66"/>
      <c r="G101" s="66"/>
      <c r="H101" s="66">
        <f t="shared" si="1"/>
        <v>0</v>
      </c>
      <c r="I101" s="66"/>
      <c r="J101" s="160" t="s">
        <v>459</v>
      </c>
      <c r="K101" s="160">
        <v>1.7</v>
      </c>
      <c r="L101" s="66"/>
      <c r="M101" s="352"/>
      <c r="N101" s="352"/>
    </row>
    <row r="102" spans="1:14" x14ac:dyDescent="0.2">
      <c r="A102" s="282"/>
      <c r="B102" s="345"/>
      <c r="C102" s="345"/>
      <c r="D102" s="66"/>
      <c r="E102" s="66"/>
      <c r="F102" s="66"/>
      <c r="G102" s="66"/>
      <c r="H102" s="66">
        <f t="shared" si="1"/>
        <v>0</v>
      </c>
      <c r="I102" s="66"/>
      <c r="J102" s="160" t="s">
        <v>460</v>
      </c>
      <c r="K102" s="160">
        <v>0.1</v>
      </c>
      <c r="L102" s="66"/>
      <c r="M102" s="352"/>
      <c r="N102" s="352"/>
    </row>
    <row r="103" spans="1:14" x14ac:dyDescent="0.2">
      <c r="A103" s="282"/>
      <c r="B103" s="345"/>
      <c r="C103" s="345"/>
      <c r="D103" s="66"/>
      <c r="E103" s="66"/>
      <c r="F103" s="66"/>
      <c r="G103" s="66"/>
      <c r="H103" s="66">
        <f t="shared" si="1"/>
        <v>0</v>
      </c>
      <c r="I103" s="66"/>
      <c r="J103" s="160" t="s">
        <v>461</v>
      </c>
      <c r="K103" s="66">
        <v>2</v>
      </c>
      <c r="L103" s="66"/>
      <c r="M103" s="352"/>
      <c r="N103" s="352"/>
    </row>
    <row r="104" spans="1:14" x14ac:dyDescent="0.2">
      <c r="A104" s="282"/>
      <c r="B104" s="345"/>
      <c r="C104" s="345"/>
      <c r="D104" s="66"/>
      <c r="E104" s="66"/>
      <c r="F104" s="66"/>
      <c r="G104" s="66"/>
      <c r="H104" s="66">
        <f t="shared" si="1"/>
        <v>0</v>
      </c>
      <c r="I104" s="66"/>
      <c r="J104" s="160" t="s">
        <v>462</v>
      </c>
      <c r="K104" s="66">
        <v>16.2</v>
      </c>
      <c r="L104" s="66"/>
      <c r="M104" s="352"/>
      <c r="N104" s="352"/>
    </row>
    <row r="105" spans="1:14" x14ac:dyDescent="0.2">
      <c r="A105" s="282"/>
      <c r="B105" s="345"/>
      <c r="C105" s="345"/>
      <c r="D105" s="66"/>
      <c r="E105" s="66"/>
      <c r="F105" s="66"/>
      <c r="G105" s="66"/>
      <c r="H105" s="66">
        <f t="shared" si="1"/>
        <v>0</v>
      </c>
      <c r="I105" s="66"/>
      <c r="J105" s="160" t="s">
        <v>463</v>
      </c>
      <c r="K105" s="66">
        <v>1</v>
      </c>
      <c r="L105" s="66"/>
      <c r="M105" s="352"/>
      <c r="N105" s="352"/>
    </row>
    <row r="106" spans="1:14" x14ac:dyDescent="0.2">
      <c r="A106" s="282"/>
      <c r="B106" s="345"/>
      <c r="C106" s="345"/>
      <c r="D106" s="66"/>
      <c r="E106" s="66"/>
      <c r="F106" s="66"/>
      <c r="G106" s="66"/>
      <c r="H106" s="66">
        <f t="shared" si="1"/>
        <v>0</v>
      </c>
      <c r="I106" s="66"/>
      <c r="J106" s="160" t="s">
        <v>464</v>
      </c>
      <c r="K106" s="160">
        <v>2</v>
      </c>
      <c r="L106" s="66"/>
      <c r="M106" s="352"/>
      <c r="N106" s="352"/>
    </row>
    <row r="107" spans="1:14" x14ac:dyDescent="0.2">
      <c r="A107" s="282"/>
      <c r="B107" s="345"/>
      <c r="C107" s="345"/>
      <c r="D107" s="66"/>
      <c r="E107" s="66"/>
      <c r="F107" s="66"/>
      <c r="G107" s="66"/>
      <c r="H107" s="66">
        <f t="shared" si="1"/>
        <v>0</v>
      </c>
      <c r="I107" s="66"/>
      <c r="J107" s="160" t="s">
        <v>465</v>
      </c>
      <c r="K107" s="160">
        <v>2.5</v>
      </c>
      <c r="L107" s="66"/>
      <c r="M107" s="352"/>
      <c r="N107" s="352"/>
    </row>
    <row r="108" spans="1:14" x14ac:dyDescent="0.2">
      <c r="A108" s="282"/>
      <c r="B108" s="345"/>
      <c r="C108" s="345"/>
      <c r="D108" s="66"/>
      <c r="E108" s="66"/>
      <c r="F108" s="66"/>
      <c r="G108" s="66"/>
      <c r="H108" s="66">
        <f t="shared" si="1"/>
        <v>0</v>
      </c>
      <c r="I108" s="66"/>
      <c r="J108" s="160" t="s">
        <v>466</v>
      </c>
      <c r="K108" s="160">
        <v>0.05</v>
      </c>
      <c r="L108" s="66"/>
      <c r="M108" s="352"/>
      <c r="N108" s="352"/>
    </row>
    <row r="109" spans="1:14" x14ac:dyDescent="0.2">
      <c r="A109" s="282"/>
      <c r="B109" s="345"/>
      <c r="C109" s="345"/>
      <c r="D109" s="66"/>
      <c r="E109" s="66"/>
      <c r="F109" s="66"/>
      <c r="G109" s="66"/>
      <c r="H109" s="66">
        <f t="shared" si="1"/>
        <v>0</v>
      </c>
      <c r="I109" s="66"/>
      <c r="J109" s="160" t="s">
        <v>467</v>
      </c>
      <c r="K109" s="160">
        <v>0.15</v>
      </c>
      <c r="L109" s="66"/>
      <c r="M109" s="352"/>
      <c r="N109" s="352"/>
    </row>
    <row r="110" spans="1:14" x14ac:dyDescent="0.2">
      <c r="A110" s="282"/>
      <c r="B110" s="345"/>
      <c r="C110" s="345"/>
      <c r="D110" s="66"/>
      <c r="E110" s="66"/>
      <c r="F110" s="66"/>
      <c r="G110" s="66"/>
      <c r="H110" s="66">
        <f t="shared" si="1"/>
        <v>0</v>
      </c>
      <c r="I110" s="66"/>
      <c r="J110" s="160" t="s">
        <v>468</v>
      </c>
      <c r="K110" s="160">
        <v>3.5</v>
      </c>
      <c r="L110" s="66"/>
      <c r="M110" s="352"/>
      <c r="N110" s="352"/>
    </row>
    <row r="111" spans="1:14" x14ac:dyDescent="0.2">
      <c r="A111" s="282"/>
      <c r="B111" s="345"/>
      <c r="C111" s="345"/>
      <c r="D111" s="66"/>
      <c r="E111" s="66"/>
      <c r="F111" s="66"/>
      <c r="G111" s="66"/>
      <c r="H111" s="66">
        <f t="shared" si="1"/>
        <v>0</v>
      </c>
      <c r="I111" s="66"/>
      <c r="J111" s="160" t="s">
        <v>469</v>
      </c>
      <c r="K111" s="160">
        <v>0.35</v>
      </c>
      <c r="L111" s="66"/>
      <c r="M111" s="352"/>
      <c r="N111" s="352"/>
    </row>
    <row r="112" spans="1:14" x14ac:dyDescent="0.2">
      <c r="A112" s="282"/>
      <c r="B112" s="345"/>
      <c r="C112" s="345"/>
      <c r="D112" s="66"/>
      <c r="E112" s="66"/>
      <c r="F112" s="66"/>
      <c r="G112" s="66"/>
      <c r="H112" s="66">
        <f t="shared" si="1"/>
        <v>0</v>
      </c>
      <c r="I112" s="66"/>
      <c r="J112" s="160" t="s">
        <v>470</v>
      </c>
      <c r="K112" s="160">
        <v>0.82</v>
      </c>
      <c r="L112" s="66"/>
      <c r="M112" s="352"/>
      <c r="N112" s="352"/>
    </row>
    <row r="113" spans="1:14" x14ac:dyDescent="0.2">
      <c r="A113" s="282"/>
      <c r="B113" s="345"/>
      <c r="C113" s="345"/>
      <c r="D113" s="66"/>
      <c r="E113" s="66"/>
      <c r="F113" s="66"/>
      <c r="G113" s="66"/>
      <c r="H113" s="66">
        <f t="shared" si="1"/>
        <v>0</v>
      </c>
      <c r="I113" s="66"/>
      <c r="J113" s="160" t="s">
        <v>471</v>
      </c>
      <c r="K113" s="160">
        <v>0.35</v>
      </c>
      <c r="L113" s="66"/>
      <c r="M113" s="352"/>
      <c r="N113" s="352"/>
    </row>
    <row r="114" spans="1:14" x14ac:dyDescent="0.2">
      <c r="A114" s="282"/>
      <c r="B114" s="345"/>
      <c r="C114" s="345"/>
      <c r="D114" s="66"/>
      <c r="E114" s="66"/>
      <c r="F114" s="66"/>
      <c r="G114" s="66"/>
      <c r="H114" s="66">
        <f t="shared" si="1"/>
        <v>0</v>
      </c>
      <c r="I114" s="66"/>
      <c r="J114" s="160" t="s">
        <v>472</v>
      </c>
      <c r="K114" s="160">
        <v>1.5</v>
      </c>
      <c r="L114" s="66"/>
      <c r="M114" s="352"/>
      <c r="N114" s="352"/>
    </row>
    <row r="115" spans="1:14" x14ac:dyDescent="0.2">
      <c r="A115" s="282"/>
      <c r="B115" s="345"/>
      <c r="C115" s="345"/>
      <c r="D115" s="66"/>
      <c r="E115" s="66"/>
      <c r="F115" s="66"/>
      <c r="G115" s="66"/>
      <c r="H115" s="66">
        <f t="shared" si="1"/>
        <v>0</v>
      </c>
      <c r="I115" s="66"/>
      <c r="J115" s="160" t="s">
        <v>473</v>
      </c>
      <c r="K115" s="160">
        <v>2.5</v>
      </c>
      <c r="L115" s="66"/>
      <c r="M115" s="352"/>
      <c r="N115" s="352"/>
    </row>
    <row r="116" spans="1:14" x14ac:dyDescent="0.2">
      <c r="A116" s="282"/>
      <c r="B116" s="345"/>
      <c r="C116" s="345"/>
      <c r="D116" s="66"/>
      <c r="E116" s="66"/>
      <c r="F116" s="66"/>
      <c r="G116" s="66"/>
      <c r="H116" s="66">
        <f t="shared" si="1"/>
        <v>0</v>
      </c>
      <c r="I116" s="66"/>
      <c r="J116" s="160" t="s">
        <v>474</v>
      </c>
      <c r="K116" s="160">
        <v>4.2</v>
      </c>
      <c r="L116" s="66"/>
      <c r="M116" s="352"/>
      <c r="N116" s="352"/>
    </row>
    <row r="117" spans="1:14" x14ac:dyDescent="0.2">
      <c r="A117" s="282"/>
      <c r="B117" s="345"/>
      <c r="C117" s="345"/>
      <c r="D117" s="66"/>
      <c r="E117" s="66"/>
      <c r="F117" s="66"/>
      <c r="G117" s="66"/>
      <c r="H117" s="66">
        <f t="shared" si="1"/>
        <v>0</v>
      </c>
      <c r="I117" s="66"/>
      <c r="J117" s="160" t="s">
        <v>475</v>
      </c>
      <c r="K117" s="160">
        <v>0.7</v>
      </c>
      <c r="L117" s="66"/>
      <c r="M117" s="352"/>
      <c r="N117" s="352"/>
    </row>
    <row r="118" spans="1:14" x14ac:dyDescent="0.2">
      <c r="A118" s="282"/>
      <c r="B118" s="345"/>
      <c r="C118" s="345"/>
      <c r="D118" s="66"/>
      <c r="E118" s="66"/>
      <c r="F118" s="66"/>
      <c r="G118" s="66"/>
      <c r="H118" s="66">
        <f t="shared" si="1"/>
        <v>0</v>
      </c>
      <c r="I118" s="66"/>
      <c r="J118" s="160" t="s">
        <v>476</v>
      </c>
      <c r="K118" s="160">
        <v>2.8</v>
      </c>
      <c r="L118" s="66"/>
      <c r="M118" s="352"/>
      <c r="N118" s="352"/>
    </row>
    <row r="119" spans="1:14" x14ac:dyDescent="0.2">
      <c r="A119" s="282"/>
      <c r="B119" s="345"/>
      <c r="C119" s="345"/>
      <c r="D119" s="66"/>
      <c r="E119" s="66"/>
      <c r="F119" s="66"/>
      <c r="G119" s="66"/>
      <c r="H119" s="66">
        <f t="shared" si="1"/>
        <v>0</v>
      </c>
      <c r="I119" s="66"/>
      <c r="J119" s="160" t="s">
        <v>477</v>
      </c>
      <c r="K119" s="66">
        <v>2.5</v>
      </c>
      <c r="L119" s="66"/>
      <c r="M119" s="352"/>
      <c r="N119" s="352"/>
    </row>
    <row r="120" spans="1:14" x14ac:dyDescent="0.2">
      <c r="A120" s="282"/>
      <c r="B120" s="345"/>
      <c r="C120" s="345"/>
      <c r="D120" s="66"/>
      <c r="E120" s="66"/>
      <c r="F120" s="66"/>
      <c r="G120" s="66"/>
      <c r="H120" s="66">
        <f t="shared" si="1"/>
        <v>0</v>
      </c>
      <c r="I120" s="66"/>
      <c r="J120" s="160" t="s">
        <v>478</v>
      </c>
      <c r="K120" s="66">
        <v>6.8</v>
      </c>
      <c r="L120" s="66"/>
      <c r="M120" s="353"/>
      <c r="N120" s="353"/>
    </row>
    <row r="121" spans="1:14" x14ac:dyDescent="0.2">
      <c r="A121" s="5"/>
      <c r="B121" s="5"/>
      <c r="C121" s="5"/>
      <c r="D121" s="5"/>
      <c r="E121" s="5">
        <f>SUM(E3:E120)</f>
        <v>966.7</v>
      </c>
      <c r="F121" s="5">
        <f>SUM(F3:F120)</f>
        <v>966.7</v>
      </c>
      <c r="K121" s="167"/>
      <c r="M121" s="167"/>
      <c r="N121" s="167"/>
    </row>
    <row r="122" spans="1:14" x14ac:dyDescent="0.2">
      <c r="K122" s="167"/>
    </row>
    <row r="123" spans="1:14" x14ac:dyDescent="0.2">
      <c r="A123" s="168" t="s">
        <v>537</v>
      </c>
      <c r="E123" s="120"/>
      <c r="G123" s="120"/>
      <c r="K123" s="167"/>
    </row>
    <row r="124" spans="1:14" x14ac:dyDescent="0.2">
      <c r="A124" s="169" t="s">
        <v>479</v>
      </c>
      <c r="B124" s="169" t="s">
        <v>309</v>
      </c>
      <c r="C124" s="169" t="s">
        <v>480</v>
      </c>
      <c r="E124" s="120"/>
      <c r="G124" s="120"/>
      <c r="K124" s="167"/>
    </row>
    <row r="125" spans="1:14" x14ac:dyDescent="0.2">
      <c r="A125" s="103" t="s">
        <v>481</v>
      </c>
      <c r="B125" s="17" t="s">
        <v>329</v>
      </c>
      <c r="C125" s="247">
        <v>0.2</v>
      </c>
      <c r="E125" s="120"/>
      <c r="G125" s="120"/>
      <c r="K125" s="167"/>
    </row>
    <row r="126" spans="1:14" x14ac:dyDescent="0.2">
      <c r="A126" s="103" t="s">
        <v>481</v>
      </c>
      <c r="B126" s="103" t="s">
        <v>482</v>
      </c>
      <c r="C126" s="134">
        <v>0.2</v>
      </c>
      <c r="E126" s="120"/>
      <c r="G126" s="120"/>
      <c r="K126" s="167"/>
    </row>
    <row r="127" spans="1:14" x14ac:dyDescent="0.2">
      <c r="A127" s="103" t="s">
        <v>481</v>
      </c>
      <c r="B127" s="103" t="s">
        <v>483</v>
      </c>
      <c r="C127" s="134">
        <v>0.02</v>
      </c>
      <c r="E127" s="120"/>
      <c r="G127" s="120"/>
      <c r="K127" s="167"/>
    </row>
    <row r="128" spans="1:14" x14ac:dyDescent="0.2">
      <c r="A128" s="103" t="s">
        <v>481</v>
      </c>
      <c r="B128" s="103" t="s">
        <v>484</v>
      </c>
      <c r="C128" s="134">
        <v>6</v>
      </c>
      <c r="E128" s="120"/>
      <c r="G128" s="120"/>
      <c r="K128" s="167"/>
    </row>
    <row r="129" spans="1:11" x14ac:dyDescent="0.2">
      <c r="A129" s="103" t="s">
        <v>481</v>
      </c>
      <c r="B129" s="103" t="s">
        <v>485</v>
      </c>
      <c r="C129" s="134">
        <v>0.01</v>
      </c>
      <c r="E129" s="120"/>
      <c r="G129" s="120"/>
      <c r="K129" s="167"/>
    </row>
    <row r="130" spans="1:11" x14ac:dyDescent="0.2">
      <c r="A130" s="103" t="s">
        <v>481</v>
      </c>
      <c r="B130" s="103" t="s">
        <v>486</v>
      </c>
      <c r="C130" s="134">
        <v>0.5</v>
      </c>
      <c r="E130" s="120"/>
      <c r="G130" s="120"/>
      <c r="K130" s="167"/>
    </row>
    <row r="131" spans="1:11" x14ac:dyDescent="0.2">
      <c r="A131" s="103" t="s">
        <v>481</v>
      </c>
      <c r="B131" s="103" t="s">
        <v>487</v>
      </c>
      <c r="C131" s="134">
        <v>5.0000000000000001E-3</v>
      </c>
      <c r="E131" s="120"/>
      <c r="G131" s="120"/>
      <c r="K131" s="167"/>
    </row>
    <row r="132" spans="1:11" x14ac:dyDescent="0.2">
      <c r="A132" s="103" t="s">
        <v>481</v>
      </c>
      <c r="B132" s="103" t="s">
        <v>488</v>
      </c>
      <c r="C132" s="134">
        <v>0.3</v>
      </c>
      <c r="E132" s="120"/>
      <c r="G132" s="120"/>
      <c r="K132" s="167"/>
    </row>
    <row r="133" spans="1:11" x14ac:dyDescent="0.2">
      <c r="A133" s="103" t="s">
        <v>481</v>
      </c>
      <c r="B133" s="103" t="s">
        <v>489</v>
      </c>
      <c r="C133" s="134">
        <v>0.6</v>
      </c>
      <c r="E133" s="120"/>
      <c r="G133" s="120"/>
      <c r="K133" s="167"/>
    </row>
    <row r="134" spans="1:11" x14ac:dyDescent="0.2">
      <c r="A134" s="103" t="s">
        <v>481</v>
      </c>
      <c r="B134" s="103" t="s">
        <v>490</v>
      </c>
      <c r="C134" s="134">
        <v>5.0000000000000001E-3</v>
      </c>
      <c r="E134" s="120"/>
      <c r="G134" s="120"/>
      <c r="K134" s="167"/>
    </row>
    <row r="135" spans="1:11" x14ac:dyDescent="0.2">
      <c r="A135" s="103" t="s">
        <v>481</v>
      </c>
      <c r="B135" s="103" t="s">
        <v>491</v>
      </c>
      <c r="C135" s="134">
        <v>0.5</v>
      </c>
      <c r="E135" s="120"/>
      <c r="G135" s="120"/>
      <c r="K135" s="167"/>
    </row>
    <row r="136" spans="1:11" x14ac:dyDescent="0.2">
      <c r="A136" s="103" t="s">
        <v>481</v>
      </c>
      <c r="B136" s="103" t="s">
        <v>492</v>
      </c>
      <c r="C136" s="134">
        <v>5.0000000000000001E-3</v>
      </c>
      <c r="E136" s="120"/>
      <c r="G136" s="120"/>
      <c r="K136" s="167"/>
    </row>
    <row r="137" spans="1:11" x14ac:dyDescent="0.2">
      <c r="A137" s="103" t="s">
        <v>493</v>
      </c>
      <c r="B137" s="103" t="s">
        <v>494</v>
      </c>
      <c r="C137" s="134">
        <v>1</v>
      </c>
      <c r="E137" s="120"/>
      <c r="G137" s="120"/>
      <c r="K137" s="167"/>
    </row>
    <row r="138" spans="1:11" x14ac:dyDescent="0.2">
      <c r="A138" s="103" t="s">
        <v>493</v>
      </c>
      <c r="B138" s="103" t="s">
        <v>495</v>
      </c>
      <c r="C138" s="134">
        <v>2</v>
      </c>
      <c r="E138" s="120"/>
      <c r="G138" s="120"/>
      <c r="K138" s="167"/>
    </row>
    <row r="139" spans="1:11" x14ac:dyDescent="0.2">
      <c r="A139" s="103" t="s">
        <v>493</v>
      </c>
      <c r="B139" s="103" t="s">
        <v>496</v>
      </c>
      <c r="C139" s="134">
        <v>0.55000000000000004</v>
      </c>
      <c r="E139" s="120"/>
      <c r="G139" s="120"/>
      <c r="K139" s="167"/>
    </row>
    <row r="140" spans="1:11" x14ac:dyDescent="0.2">
      <c r="A140" s="103" t="s">
        <v>493</v>
      </c>
      <c r="B140" s="103" t="s">
        <v>497</v>
      </c>
      <c r="C140" s="134">
        <v>4.5999999999999996</v>
      </c>
      <c r="E140" s="120"/>
      <c r="G140" s="120"/>
      <c r="K140" s="167"/>
    </row>
    <row r="141" spans="1:11" x14ac:dyDescent="0.2">
      <c r="A141" s="103" t="s">
        <v>493</v>
      </c>
      <c r="B141" s="103" t="s">
        <v>498</v>
      </c>
      <c r="C141" s="134">
        <v>6.7</v>
      </c>
      <c r="E141" s="120"/>
      <c r="G141" s="120"/>
      <c r="K141" s="167"/>
    </row>
    <row r="142" spans="1:11" x14ac:dyDescent="0.2">
      <c r="A142" s="103" t="s">
        <v>493</v>
      </c>
      <c r="B142" s="103" t="s">
        <v>499</v>
      </c>
      <c r="C142" s="134">
        <v>6</v>
      </c>
      <c r="E142" s="120"/>
      <c r="G142" s="120"/>
      <c r="K142" s="167"/>
    </row>
    <row r="143" spans="1:11" x14ac:dyDescent="0.2">
      <c r="A143" s="103" t="s">
        <v>493</v>
      </c>
      <c r="B143" s="103" t="s">
        <v>500</v>
      </c>
      <c r="C143" s="134">
        <v>2.6</v>
      </c>
      <c r="E143" s="120"/>
      <c r="G143" s="120"/>
      <c r="K143" s="167"/>
    </row>
    <row r="144" spans="1:11" x14ac:dyDescent="0.2">
      <c r="A144" s="103" t="s">
        <v>501</v>
      </c>
      <c r="B144" s="103" t="s">
        <v>502</v>
      </c>
      <c r="C144" s="134">
        <v>4</v>
      </c>
      <c r="E144" s="120"/>
      <c r="G144" s="120"/>
      <c r="K144" s="167"/>
    </row>
    <row r="145" spans="1:11" x14ac:dyDescent="0.2">
      <c r="A145" s="103" t="s">
        <v>503</v>
      </c>
      <c r="B145" s="103" t="s">
        <v>504</v>
      </c>
      <c r="C145" s="134">
        <v>2.5</v>
      </c>
      <c r="E145" s="120"/>
      <c r="G145" s="120"/>
      <c r="K145" s="167"/>
    </row>
    <row r="146" spans="1:11" x14ac:dyDescent="0.2">
      <c r="A146" s="103" t="s">
        <v>503</v>
      </c>
      <c r="B146" s="103" t="s">
        <v>505</v>
      </c>
      <c r="C146" s="134">
        <v>1.8</v>
      </c>
      <c r="E146" s="120"/>
      <c r="G146" s="120"/>
      <c r="K146" s="167"/>
    </row>
    <row r="147" spans="1:11" x14ac:dyDescent="0.2">
      <c r="A147" s="103" t="s">
        <v>503</v>
      </c>
      <c r="B147" s="103" t="s">
        <v>506</v>
      </c>
      <c r="C147" s="134">
        <v>4.5</v>
      </c>
      <c r="E147" s="120"/>
      <c r="G147" s="120"/>
      <c r="K147" s="167"/>
    </row>
    <row r="148" spans="1:11" x14ac:dyDescent="0.2">
      <c r="A148" s="103" t="s">
        <v>507</v>
      </c>
      <c r="B148" s="103" t="s">
        <v>508</v>
      </c>
      <c r="C148" s="134">
        <v>1</v>
      </c>
      <c r="E148" s="120"/>
      <c r="G148" s="120"/>
      <c r="K148" s="167"/>
    </row>
    <row r="149" spans="1:11" ht="15" thickBot="1" x14ac:dyDescent="0.25">
      <c r="A149" s="103" t="s">
        <v>509</v>
      </c>
      <c r="B149" s="132" t="s">
        <v>510</v>
      </c>
      <c r="C149" s="133">
        <v>13</v>
      </c>
      <c r="E149" s="120"/>
      <c r="G149" s="120"/>
      <c r="K149" s="167"/>
    </row>
    <row r="150" spans="1:11" ht="15" thickBot="1" x14ac:dyDescent="0.25">
      <c r="B150" s="170" t="s">
        <v>118</v>
      </c>
      <c r="C150" s="171">
        <f>SUM(C125:C149)</f>
        <v>58.594999999999999</v>
      </c>
      <c r="E150" s="120"/>
      <c r="G150" s="120"/>
      <c r="K150" s="167"/>
    </row>
    <row r="151" spans="1:11" x14ac:dyDescent="0.2">
      <c r="E151" s="120"/>
      <c r="G151" s="120"/>
      <c r="K151" s="167"/>
    </row>
  </sheetData>
  <mergeCells count="74">
    <mergeCell ref="C75:C120"/>
    <mergeCell ref="M75:M120"/>
    <mergeCell ref="N75:N120"/>
    <mergeCell ref="M59:M60"/>
    <mergeCell ref="N59:N60"/>
    <mergeCell ref="B61:B71"/>
    <mergeCell ref="C61:C71"/>
    <mergeCell ref="M61:M71"/>
    <mergeCell ref="N61:N71"/>
    <mergeCell ref="B73:B74"/>
    <mergeCell ref="C73:C74"/>
    <mergeCell ref="M73:M74"/>
    <mergeCell ref="N73:N74"/>
    <mergeCell ref="M38:M39"/>
    <mergeCell ref="N38:N39"/>
    <mergeCell ref="M42:M43"/>
    <mergeCell ref="N42:N43"/>
    <mergeCell ref="M45:M58"/>
    <mergeCell ref="N45:N58"/>
    <mergeCell ref="M27:M29"/>
    <mergeCell ref="N27:N29"/>
    <mergeCell ref="M31:M32"/>
    <mergeCell ref="N31:N32"/>
    <mergeCell ref="M33:M37"/>
    <mergeCell ref="N33:N37"/>
    <mergeCell ref="M15:M21"/>
    <mergeCell ref="N15:N21"/>
    <mergeCell ref="M22:M24"/>
    <mergeCell ref="N22:N24"/>
    <mergeCell ref="M25:M26"/>
    <mergeCell ref="N25:N26"/>
    <mergeCell ref="M3:M6"/>
    <mergeCell ref="N3:N6"/>
    <mergeCell ref="M7:M8"/>
    <mergeCell ref="N7:N8"/>
    <mergeCell ref="M9:M14"/>
    <mergeCell ref="N9:N14"/>
    <mergeCell ref="A75:A120"/>
    <mergeCell ref="B75:B120"/>
    <mergeCell ref="A33:A37"/>
    <mergeCell ref="B33:B37"/>
    <mergeCell ref="C33:C37"/>
    <mergeCell ref="A38:A44"/>
    <mergeCell ref="B38:B39"/>
    <mergeCell ref="C38:C39"/>
    <mergeCell ref="B42:B43"/>
    <mergeCell ref="A45:A58"/>
    <mergeCell ref="B45:B58"/>
    <mergeCell ref="C45:C58"/>
    <mergeCell ref="A59:A60"/>
    <mergeCell ref="B59:B60"/>
    <mergeCell ref="C59:C60"/>
    <mergeCell ref="A61:A74"/>
    <mergeCell ref="J1:L1"/>
    <mergeCell ref="A3:A8"/>
    <mergeCell ref="B3:B6"/>
    <mergeCell ref="C3:C6"/>
    <mergeCell ref="B7:B8"/>
    <mergeCell ref="C7:C8"/>
    <mergeCell ref="D1:I1"/>
    <mergeCell ref="A9:A14"/>
    <mergeCell ref="B9:B14"/>
    <mergeCell ref="C9:C14"/>
    <mergeCell ref="A15:A32"/>
    <mergeCell ref="B15:B21"/>
    <mergeCell ref="C15:C21"/>
    <mergeCell ref="B22:B24"/>
    <mergeCell ref="C22:C24"/>
    <mergeCell ref="B25:B26"/>
    <mergeCell ref="C25:C26"/>
    <mergeCell ref="B27:B29"/>
    <mergeCell ref="C27:C29"/>
    <mergeCell ref="B31:B32"/>
    <mergeCell ref="C31:C3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topLeftCell="B1" workbookViewId="0">
      <selection activeCell="J20" sqref="J20"/>
    </sheetView>
  </sheetViews>
  <sheetFormatPr defaultRowHeight="14.25" x14ac:dyDescent="0.2"/>
  <cols>
    <col min="1" max="1" width="12.625" customWidth="1"/>
    <col min="2" max="2" width="16.125" customWidth="1"/>
    <col min="3" max="3" width="15.125" customWidth="1"/>
    <col min="4" max="5" width="7.875" customWidth="1"/>
    <col min="6" max="6" width="14.375" customWidth="1"/>
    <col min="7" max="7" width="19.375" customWidth="1"/>
    <col min="8" max="8" width="12.375" customWidth="1"/>
  </cols>
  <sheetData>
    <row r="1" spans="1:8" ht="28.5" x14ac:dyDescent="0.2">
      <c r="A1" s="31" t="s">
        <v>0</v>
      </c>
      <c r="B1" s="31" t="s">
        <v>1</v>
      </c>
      <c r="C1" s="31" t="s">
        <v>2</v>
      </c>
      <c r="D1" s="77"/>
      <c r="E1" s="77"/>
      <c r="F1" s="77"/>
      <c r="G1" s="78" t="s">
        <v>168</v>
      </c>
      <c r="H1" s="78"/>
    </row>
    <row r="2" spans="1:8" x14ac:dyDescent="0.2">
      <c r="A2" s="31"/>
      <c r="B2" s="31"/>
      <c r="C2" s="74"/>
      <c r="D2" s="118" t="s">
        <v>244</v>
      </c>
      <c r="E2" s="118" t="s">
        <v>245</v>
      </c>
      <c r="F2" s="77" t="s">
        <v>162</v>
      </c>
      <c r="G2" s="78" t="s">
        <v>164</v>
      </c>
      <c r="H2" s="78" t="s">
        <v>163</v>
      </c>
    </row>
    <row r="3" spans="1:8" x14ac:dyDescent="0.2">
      <c r="A3" s="354" t="s">
        <v>21</v>
      </c>
      <c r="B3" s="72" t="s">
        <v>21</v>
      </c>
      <c r="C3" s="54" t="s">
        <v>85</v>
      </c>
      <c r="D3" s="54"/>
      <c r="E3" s="54"/>
      <c r="F3" s="72">
        <v>3</v>
      </c>
      <c r="G3" s="72"/>
      <c r="H3" s="72"/>
    </row>
    <row r="4" spans="1:8" x14ac:dyDescent="0.2">
      <c r="A4" s="355"/>
      <c r="B4" s="17" t="s">
        <v>22</v>
      </c>
      <c r="C4" s="54" t="s">
        <v>103</v>
      </c>
      <c r="D4" s="54"/>
      <c r="E4" s="54"/>
      <c r="F4" s="72">
        <v>4</v>
      </c>
      <c r="G4" s="72"/>
      <c r="H4" s="72"/>
    </row>
    <row r="5" spans="1:8" x14ac:dyDescent="0.2">
      <c r="A5" s="5" t="s">
        <v>158</v>
      </c>
      <c r="B5" s="72" t="s">
        <v>158</v>
      </c>
      <c r="C5" s="55" t="s">
        <v>45</v>
      </c>
      <c r="D5" s="55"/>
      <c r="E5" s="55"/>
      <c r="F5" s="72">
        <v>2</v>
      </c>
      <c r="G5" s="72"/>
      <c r="H5" s="72"/>
    </row>
    <row r="6" spans="1:8" ht="28.5" x14ac:dyDescent="0.2">
      <c r="A6" s="354" t="s">
        <v>17</v>
      </c>
      <c r="B6" s="72" t="s">
        <v>6</v>
      </c>
      <c r="C6" s="54" t="s">
        <v>132</v>
      </c>
      <c r="D6" s="54"/>
      <c r="E6" s="54"/>
      <c r="F6" s="72">
        <v>5</v>
      </c>
      <c r="G6" s="72"/>
      <c r="H6" s="72"/>
    </row>
    <row r="7" spans="1:8" x14ac:dyDescent="0.2">
      <c r="A7" s="356"/>
      <c r="B7" s="72" t="s">
        <v>23</v>
      </c>
      <c r="C7" s="54" t="s">
        <v>80</v>
      </c>
      <c r="D7" s="54"/>
      <c r="E7" s="54"/>
      <c r="F7" s="72">
        <v>6</v>
      </c>
      <c r="G7" s="72"/>
      <c r="H7" s="72"/>
    </row>
    <row r="8" spans="1:8" x14ac:dyDescent="0.2">
      <c r="A8" s="356"/>
      <c r="B8" s="72" t="s">
        <v>19</v>
      </c>
      <c r="C8" s="54" t="s">
        <v>136</v>
      </c>
      <c r="D8" s="54"/>
      <c r="E8" s="54"/>
      <c r="F8" s="72">
        <v>7</v>
      </c>
      <c r="G8" s="72"/>
      <c r="H8" s="72"/>
    </row>
    <row r="9" spans="1:8" ht="28.5" x14ac:dyDescent="0.2">
      <c r="A9" s="356"/>
      <c r="B9" s="17" t="s">
        <v>18</v>
      </c>
      <c r="C9" s="54" t="s">
        <v>133</v>
      </c>
      <c r="D9" s="54"/>
      <c r="E9" s="54"/>
      <c r="F9" s="72">
        <v>8</v>
      </c>
      <c r="G9" s="72"/>
      <c r="H9" s="72"/>
    </row>
    <row r="10" spans="1:8" x14ac:dyDescent="0.2">
      <c r="A10" s="356"/>
      <c r="B10" s="72" t="s">
        <v>159</v>
      </c>
      <c r="C10" s="54" t="s">
        <v>59</v>
      </c>
      <c r="D10" s="54"/>
      <c r="E10" s="54"/>
      <c r="F10" s="72">
        <v>9</v>
      </c>
      <c r="G10" s="72"/>
      <c r="H10" s="72"/>
    </row>
    <row r="11" spans="1:8" x14ac:dyDescent="0.2">
      <c r="A11" s="355"/>
      <c r="B11" s="72" t="s">
        <v>20</v>
      </c>
      <c r="C11" s="54" t="s">
        <v>52</v>
      </c>
      <c r="D11" s="54"/>
      <c r="E11" s="54"/>
      <c r="F11" s="72">
        <v>10</v>
      </c>
      <c r="G11" s="72"/>
      <c r="H11" s="72"/>
    </row>
    <row r="12" spans="1:8" x14ac:dyDescent="0.2">
      <c r="A12" s="5" t="s">
        <v>84</v>
      </c>
      <c r="B12" s="72" t="s">
        <v>84</v>
      </c>
      <c r="C12" s="54" t="s">
        <v>134</v>
      </c>
      <c r="D12" s="54"/>
      <c r="E12" s="54"/>
      <c r="F12" s="72">
        <v>11</v>
      </c>
      <c r="G12" s="72"/>
      <c r="H12" s="72"/>
    </row>
    <row r="13" spans="1:8" x14ac:dyDescent="0.2">
      <c r="A13" s="351" t="s">
        <v>13</v>
      </c>
      <c r="B13" s="72" t="s">
        <v>14</v>
      </c>
      <c r="C13" s="56" t="s">
        <v>126</v>
      </c>
      <c r="D13" s="56"/>
      <c r="E13" s="56"/>
      <c r="F13" s="72">
        <v>12</v>
      </c>
      <c r="G13" s="72"/>
      <c r="H13" s="72"/>
    </row>
    <row r="14" spans="1:8" x14ac:dyDescent="0.2">
      <c r="A14" s="353"/>
      <c r="B14" s="72" t="s">
        <v>114</v>
      </c>
      <c r="C14" s="54" t="s">
        <v>115</v>
      </c>
      <c r="D14" s="54"/>
      <c r="E14" s="54"/>
      <c r="F14" s="72">
        <v>13</v>
      </c>
      <c r="G14" s="72"/>
      <c r="H14" s="72"/>
    </row>
    <row r="15" spans="1:8" x14ac:dyDescent="0.2">
      <c r="A15" s="94" t="s">
        <v>191</v>
      </c>
      <c r="B15" s="94" t="s">
        <v>192</v>
      </c>
      <c r="C15" s="18" t="s">
        <v>242</v>
      </c>
      <c r="D15" s="18"/>
      <c r="E15" s="18"/>
      <c r="F15" s="5"/>
      <c r="G15" s="5"/>
      <c r="H15" s="5"/>
    </row>
    <row r="16" spans="1:8" x14ac:dyDescent="0.2">
      <c r="A16" s="17" t="s">
        <v>198</v>
      </c>
      <c r="B16" s="17" t="s">
        <v>198</v>
      </c>
      <c r="C16" s="18" t="s">
        <v>243</v>
      </c>
      <c r="D16" s="18"/>
      <c r="E16" s="18"/>
      <c r="F16" s="5"/>
      <c r="G16" s="5"/>
      <c r="H16" s="5"/>
    </row>
    <row r="17" spans="1:8" x14ac:dyDescent="0.2">
      <c r="A17" s="282" t="s">
        <v>13</v>
      </c>
      <c r="B17" s="117" t="s">
        <v>145</v>
      </c>
      <c r="C17" s="17" t="s">
        <v>201</v>
      </c>
      <c r="D17" s="17"/>
      <c r="E17" s="17"/>
      <c r="F17" s="5"/>
      <c r="G17" s="5"/>
      <c r="H17" s="5"/>
    </row>
    <row r="18" spans="1:8" x14ac:dyDescent="0.2">
      <c r="A18" s="282"/>
      <c r="B18" s="117" t="s">
        <v>203</v>
      </c>
      <c r="C18" s="17" t="s">
        <v>204</v>
      </c>
      <c r="D18" s="17"/>
      <c r="E18" s="17"/>
      <c r="F18" s="5"/>
      <c r="G18" s="5"/>
      <c r="H18" s="5"/>
    </row>
    <row r="19" spans="1:8" x14ac:dyDescent="0.2">
      <c r="A19" s="282"/>
      <c r="B19" s="17" t="s">
        <v>206</v>
      </c>
      <c r="C19" s="17" t="s">
        <v>207</v>
      </c>
      <c r="D19" s="17"/>
      <c r="E19" s="17"/>
      <c r="F19" s="5"/>
      <c r="G19" s="5"/>
      <c r="H19" s="5"/>
    </row>
    <row r="20" spans="1:8" x14ac:dyDescent="0.2">
      <c r="A20" s="17" t="s">
        <v>13</v>
      </c>
      <c r="B20" s="117" t="s">
        <v>213</v>
      </c>
      <c r="C20" s="17" t="s">
        <v>214</v>
      </c>
      <c r="D20" s="17"/>
      <c r="E20" s="17"/>
      <c r="F20" s="5"/>
      <c r="G20" s="5"/>
      <c r="H20" s="5"/>
    </row>
  </sheetData>
  <mergeCells count="4">
    <mergeCell ref="A17:A19"/>
    <mergeCell ref="A13:A14"/>
    <mergeCell ref="A3:A4"/>
    <mergeCell ref="A6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费用统计</vt:lpstr>
      <vt:lpstr>集群统计</vt:lpstr>
      <vt:lpstr>前端资源分配</vt:lpstr>
      <vt:lpstr>前端运行数据统计</vt:lpstr>
      <vt:lpstr>中端和后端资源分配</vt:lpstr>
      <vt:lpstr>中端运行数据统计</vt:lpstr>
      <vt:lpstr>磁盘统计</vt:lpstr>
      <vt:lpstr>云资源统计</vt:lpstr>
      <vt:lpstr>前端运行数据统计!Print_Area</vt:lpstr>
      <vt:lpstr>中端运行数据统计!Print_Area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陈雪煜_Xueyu</dc:creator>
  <cp:lastModifiedBy>侯宇枫_Nick</cp:lastModifiedBy>
  <dcterms:created xsi:type="dcterms:W3CDTF">2015-06-05T18:17:20Z</dcterms:created>
  <dcterms:modified xsi:type="dcterms:W3CDTF">2025-06-16T07:46:45Z</dcterms:modified>
</cp:coreProperties>
</file>