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0" yWindow="0" windowWidth="9570" windowHeight="11640" firstSheet="12" activeTab="12"/>
  </bookViews>
  <sheets>
    <sheet name="PYCitizenshipCalendar" sheetId="40" state="hidden" r:id="rId1"/>
    <sheet name="PYOverflowCalendar " sheetId="39" state="hidden" r:id="rId2"/>
    <sheet name="PYCCACCalendar " sheetId="38" state="hidden" r:id="rId3"/>
    <sheet name="PYDUQNSCalendar" sheetId="37" state="hidden" r:id="rId4"/>
    <sheet name="PYCivicsCalendar" sheetId="35" state="hidden" r:id="rId5"/>
    <sheet name="PYCalendar" sheetId="5" state="hidden" r:id="rId6"/>
    <sheet name="Planning HoursClass" sheetId="32" state="hidden" r:id="rId7"/>
    <sheet name="Salaries Staff" sheetId="34" state="hidden" r:id="rId8"/>
    <sheet name="Travel_Supplies" sheetId="36" state="hidden" r:id="rId9"/>
    <sheet name="TimesheetActuals" sheetId="41" state="hidden" r:id="rId10"/>
    <sheet name="Time and Effort cheat sheet" sheetId="42" state="hidden" r:id="rId11"/>
    <sheet name="MatchPlanning" sheetId="43" state="hidden" r:id="rId12"/>
    <sheet name="State Breakdown" sheetId="44" r:id="rId13"/>
    <sheet name="Federal BreakDown" sheetId="45" r:id="rId14"/>
  </sheets>
  <externalReferences>
    <externalReference r:id="rId15"/>
  </externalReferences>
  <definedNames>
    <definedName name="_xlnm._FilterDatabase" localSheetId="9" hidden="1">TimesheetActuals!$C$1:$C$248</definedName>
    <definedName name="_xlnm._FilterDatabase" localSheetId="8" hidden="1">Travel_Supplies!$I$1:$I$26</definedName>
    <definedName name="_xlnm.Print_Area" localSheetId="6">'Planning HoursClass'!$A$1:$AE$41</definedName>
    <definedName name="_xlnm.Print_Area" localSheetId="5">PYCalendar!$A$6:$Z$64</definedName>
    <definedName name="_xlnm.Print_Area" localSheetId="2">'PYCCACCalendar '!$A$6:$Z$64</definedName>
    <definedName name="_xlnm.Print_Area" localSheetId="0">PYCitizenshipCalendar!$A$6:$Z$64</definedName>
    <definedName name="_xlnm.Print_Area" localSheetId="4">PYCivicsCalendar!$A$5:$AA$63</definedName>
    <definedName name="_xlnm.Print_Area" localSheetId="3">PYDUQNSCalendar!$A$6:$Z$64</definedName>
    <definedName name="_xlnm.Print_Area" localSheetId="1">'PYOverflowCalendar '!$A$6:$Z$64</definedName>
    <definedName name="_xlnm.Print_Area" localSheetId="7">'Salaries Staff'!$L$6:$T$31</definedName>
    <definedName name="_xlnm.Print_Area" localSheetId="9">TimesheetActuals!$A$1:$R$93</definedName>
    <definedName name="_xlnm.Print_Titles" localSheetId="9">TimesheetActuals!$1:$1</definedName>
  </definedNames>
  <calcPr calcId="145621"/>
</workbook>
</file>

<file path=xl/calcChain.xml><?xml version="1.0" encoding="utf-8"?>
<calcChain xmlns="http://schemas.openxmlformats.org/spreadsheetml/2006/main">
  <c r="T32" i="44" l="1"/>
  <c r="T33" i="44"/>
  <c r="T34" i="44"/>
  <c r="T31" i="44"/>
  <c r="H39" i="45"/>
  <c r="H40" i="45"/>
  <c r="H41" i="45"/>
  <c r="H42" i="45"/>
  <c r="H43" i="45"/>
  <c r="F62" i="45" l="1"/>
  <c r="F55" i="45"/>
  <c r="F56" i="45"/>
  <c r="F57" i="45"/>
  <c r="F58" i="45"/>
  <c r="F59" i="45"/>
  <c r="F60" i="45"/>
  <c r="F61" i="45"/>
  <c r="F53" i="45"/>
  <c r="F54" i="45"/>
  <c r="F51" i="45"/>
  <c r="F50" i="45"/>
  <c r="F52" i="45"/>
  <c r="H17" i="44"/>
  <c r="H18" i="44"/>
  <c r="H19" i="44"/>
  <c r="H20" i="44"/>
  <c r="H21" i="44"/>
  <c r="H16" i="44"/>
  <c r="F16" i="44"/>
  <c r="F35" i="44"/>
  <c r="F31" i="44"/>
  <c r="F32" i="44"/>
  <c r="F33" i="44"/>
  <c r="F34" i="44"/>
  <c r="F30" i="44"/>
  <c r="H31" i="45"/>
  <c r="H29" i="45"/>
  <c r="H27" i="45"/>
  <c r="H25" i="45"/>
  <c r="H23" i="45"/>
  <c r="H21" i="45"/>
  <c r="I56" i="34"/>
  <c r="I58" i="34"/>
  <c r="I60" i="34"/>
  <c r="I62" i="34"/>
  <c r="H19" i="45"/>
  <c r="H17" i="45"/>
  <c r="H15" i="45"/>
  <c r="H13" i="45"/>
  <c r="H11" i="45"/>
  <c r="H9" i="45"/>
  <c r="H7" i="45"/>
  <c r="H5" i="45"/>
  <c r="H3" i="45"/>
  <c r="H1" i="45"/>
  <c r="H11" i="44"/>
  <c r="H9" i="44"/>
  <c r="H7" i="44"/>
  <c r="H5" i="44"/>
  <c r="H3" i="44"/>
  <c r="H1" i="44"/>
  <c r="I74" i="34"/>
  <c r="F38" i="45" l="1"/>
  <c r="H38" i="45" s="1"/>
  <c r="I30" i="34"/>
  <c r="J28" i="34"/>
  <c r="I28" i="34"/>
  <c r="I32" i="34"/>
  <c r="J32" i="34"/>
  <c r="J30" i="34"/>
  <c r="I68" i="34" l="1"/>
  <c r="W31" i="32"/>
  <c r="W40" i="32" l="1"/>
  <c r="U40" i="32"/>
  <c r="S40" i="32"/>
  <c r="Q40" i="32"/>
  <c r="W30" i="32"/>
  <c r="W32" i="32"/>
  <c r="AD48" i="32"/>
  <c r="O7" i="32"/>
  <c r="M7" i="32"/>
  <c r="AD40" i="32" l="1"/>
  <c r="C41" i="32"/>
  <c r="E41" i="32"/>
  <c r="W59" i="32"/>
  <c r="U59" i="32"/>
  <c r="S59" i="32"/>
  <c r="Q59" i="32"/>
  <c r="O59" i="32"/>
  <c r="M59" i="32"/>
  <c r="K59" i="32"/>
  <c r="I59" i="32"/>
  <c r="I51" i="32"/>
  <c r="M51" i="32"/>
  <c r="O51" i="32"/>
  <c r="Q51" i="32"/>
  <c r="S51" i="32"/>
  <c r="U51" i="32"/>
  <c r="W51" i="32"/>
  <c r="G51" i="32"/>
  <c r="E51" i="32"/>
  <c r="AD23" i="32"/>
  <c r="AD10" i="32"/>
  <c r="K51" i="32"/>
  <c r="AD50" i="32"/>
  <c r="AD49" i="32"/>
  <c r="AD63" i="32"/>
  <c r="E62" i="32" l="1"/>
  <c r="G59" i="32"/>
  <c r="E59" i="32"/>
  <c r="W55" i="32"/>
  <c r="U55" i="32"/>
  <c r="S55" i="32"/>
  <c r="Q55" i="32"/>
  <c r="O55" i="32"/>
  <c r="M55" i="32"/>
  <c r="K55" i="32"/>
  <c r="I55" i="32"/>
  <c r="G55" i="32"/>
  <c r="E55" i="32"/>
  <c r="H49" i="32"/>
  <c r="R17" i="36" l="1"/>
  <c r="R16" i="36"/>
  <c r="R15" i="36"/>
  <c r="R14" i="36"/>
  <c r="R13" i="36"/>
  <c r="R12" i="36"/>
  <c r="R11" i="36"/>
  <c r="R10" i="36"/>
  <c r="R9" i="36"/>
  <c r="R8" i="36"/>
  <c r="R7" i="36"/>
  <c r="R6" i="36"/>
  <c r="R5" i="36"/>
  <c r="R4" i="36"/>
  <c r="R3" i="36"/>
  <c r="S55" i="40" l="1"/>
  <c r="AE24" i="32" l="1"/>
  <c r="AC24" i="32"/>
  <c r="AB24" i="32"/>
  <c r="AA24" i="32"/>
  <c r="Z24" i="32"/>
  <c r="Y24" i="32"/>
  <c r="X24" i="32"/>
  <c r="V24" i="32"/>
  <c r="T24" i="32"/>
  <c r="R24" i="32"/>
  <c r="P24" i="32"/>
  <c r="N24" i="32"/>
  <c r="L24" i="32"/>
  <c r="J24" i="32"/>
  <c r="H24" i="32"/>
  <c r="F24" i="32"/>
  <c r="C63" i="32"/>
  <c r="C62" i="32"/>
  <c r="C61" i="32"/>
  <c r="C60" i="32"/>
  <c r="C59" i="32"/>
  <c r="C58" i="32"/>
  <c r="C57" i="32"/>
  <c r="C56" i="32"/>
  <c r="C55" i="32"/>
  <c r="C54" i="32"/>
  <c r="C53" i="32"/>
  <c r="C52" i="32"/>
  <c r="B63" i="32"/>
  <c r="B62" i="32"/>
  <c r="B61" i="32"/>
  <c r="B60" i="32"/>
  <c r="B59" i="32"/>
  <c r="B58" i="32"/>
  <c r="B57" i="32"/>
  <c r="B56" i="32"/>
  <c r="B55" i="32"/>
  <c r="B54" i="32"/>
  <c r="B53" i="32"/>
  <c r="B52" i="32"/>
  <c r="B51" i="32"/>
  <c r="B50" i="32"/>
  <c r="B49" i="32"/>
  <c r="B48" i="32"/>
  <c r="AB10" i="41"/>
  <c r="AB9" i="41"/>
  <c r="AB7" i="41"/>
  <c r="AB8" i="41"/>
  <c r="AB6" i="41"/>
  <c r="C51" i="32"/>
  <c r="C50" i="32" l="1"/>
  <c r="C49" i="32"/>
  <c r="C48" i="32"/>
  <c r="AB18" i="41" l="1"/>
  <c r="N42" i="34" l="1"/>
  <c r="J10" i="34"/>
  <c r="J14" i="34"/>
  <c r="J16" i="34"/>
  <c r="J68" i="34"/>
  <c r="J66" i="34"/>
  <c r="J62" i="34"/>
  <c r="J60" i="34"/>
  <c r="J58" i="34"/>
  <c r="J56" i="34"/>
  <c r="J54" i="34"/>
  <c r="J50" i="34"/>
  <c r="J48" i="34"/>
  <c r="J46" i="34"/>
  <c r="J44" i="34"/>
  <c r="J42" i="34"/>
  <c r="J40" i="34"/>
  <c r="J38" i="34"/>
  <c r="J34" i="34"/>
  <c r="J26" i="34"/>
  <c r="J22" i="34"/>
  <c r="J18" i="34"/>
  <c r="N38" i="34"/>
  <c r="N41" i="34" l="1"/>
  <c r="N40" i="34"/>
  <c r="R40" i="34"/>
  <c r="N39" i="34"/>
  <c r="N11" i="42"/>
  <c r="M11" i="42"/>
  <c r="L11" i="42"/>
  <c r="K11" i="42"/>
  <c r="J11" i="42"/>
  <c r="I11" i="42"/>
  <c r="H11" i="42"/>
  <c r="G11" i="42"/>
  <c r="F11" i="42"/>
  <c r="E11" i="42"/>
  <c r="D11" i="42"/>
  <c r="N10" i="42"/>
  <c r="M10" i="42"/>
  <c r="L10" i="42"/>
  <c r="K10" i="42"/>
  <c r="J10" i="42"/>
  <c r="I10" i="42"/>
  <c r="H10" i="42"/>
  <c r="G10" i="42"/>
  <c r="F10" i="42"/>
  <c r="E10" i="42"/>
  <c r="D10" i="42"/>
  <c r="N9" i="42"/>
  <c r="M9" i="42"/>
  <c r="L9" i="42"/>
  <c r="K9" i="42"/>
  <c r="J9" i="42"/>
  <c r="I9" i="42"/>
  <c r="H9" i="42"/>
  <c r="G9" i="42"/>
  <c r="F9" i="42"/>
  <c r="E9" i="42"/>
  <c r="D9" i="42"/>
  <c r="N8" i="42"/>
  <c r="M8" i="42"/>
  <c r="L8" i="42"/>
  <c r="K8" i="42"/>
  <c r="J8" i="42"/>
  <c r="I8" i="42"/>
  <c r="H8" i="42"/>
  <c r="G8" i="42"/>
  <c r="F8" i="42"/>
  <c r="E8" i="42"/>
  <c r="D8" i="42"/>
  <c r="N7" i="42"/>
  <c r="M7" i="42"/>
  <c r="L7" i="42"/>
  <c r="K7" i="42"/>
  <c r="J7" i="42"/>
  <c r="I7" i="42"/>
  <c r="H7" i="42"/>
  <c r="G7" i="42"/>
  <c r="F7" i="42"/>
  <c r="E7" i="42"/>
  <c r="D7" i="42"/>
  <c r="N6" i="42"/>
  <c r="M6" i="42"/>
  <c r="L6" i="42"/>
  <c r="K6" i="42"/>
  <c r="J6" i="42"/>
  <c r="I6" i="42"/>
  <c r="H6" i="42"/>
  <c r="G6" i="42"/>
  <c r="F6" i="42"/>
  <c r="E6" i="42"/>
  <c r="D6" i="42"/>
  <c r="N5" i="42"/>
  <c r="M5" i="42"/>
  <c r="L5" i="42"/>
  <c r="K5" i="42"/>
  <c r="J5" i="42"/>
  <c r="I5" i="42"/>
  <c r="H5" i="42"/>
  <c r="G5" i="42"/>
  <c r="F5" i="42"/>
  <c r="E5" i="42"/>
  <c r="D5" i="42"/>
  <c r="C11" i="42"/>
  <c r="C10" i="42"/>
  <c r="C9" i="42"/>
  <c r="C8" i="42"/>
  <c r="C7" i="42"/>
  <c r="C6" i="42"/>
  <c r="C5" i="42"/>
  <c r="N4" i="42"/>
  <c r="M4" i="42"/>
  <c r="L4" i="42"/>
  <c r="K4" i="42"/>
  <c r="J4" i="42"/>
  <c r="I4" i="42"/>
  <c r="H4" i="42"/>
  <c r="G4" i="42"/>
  <c r="F4" i="42"/>
  <c r="E4" i="42"/>
  <c r="D4" i="42"/>
  <c r="C4" i="42"/>
  <c r="N3" i="42"/>
  <c r="M3" i="42"/>
  <c r="L3" i="42"/>
  <c r="K3" i="42"/>
  <c r="J3" i="42"/>
  <c r="I3" i="42"/>
  <c r="H3" i="42"/>
  <c r="G3" i="42"/>
  <c r="F3" i="42"/>
  <c r="E3" i="42"/>
  <c r="D3" i="42"/>
  <c r="C3" i="42"/>
  <c r="W8" i="32" l="1"/>
  <c r="U8" i="32"/>
  <c r="S8" i="32"/>
  <c r="Q8" i="32"/>
  <c r="O8" i="32"/>
  <c r="M8" i="32"/>
  <c r="K8" i="32"/>
  <c r="I8" i="32"/>
  <c r="G8" i="32"/>
  <c r="E8" i="32"/>
  <c r="C8" i="32"/>
  <c r="M6" i="32"/>
  <c r="AD8" i="32" l="1"/>
  <c r="AF8" i="32" s="1"/>
  <c r="AB17" i="41"/>
  <c r="AB16" i="41"/>
  <c r="AB15" i="41"/>
  <c r="AB14" i="41"/>
  <c r="AB13" i="41"/>
  <c r="AB12" i="41"/>
  <c r="AB11" i="41"/>
  <c r="AB5" i="41"/>
  <c r="AB4" i="41"/>
  <c r="AB3" i="41"/>
  <c r="G8" i="40" l="1"/>
  <c r="W26" i="40" s="1"/>
  <c r="F8" i="40"/>
  <c r="E8" i="40"/>
  <c r="U26" i="40" s="1"/>
  <c r="D8" i="40"/>
  <c r="C8" i="40"/>
  <c r="S26" i="40" s="1"/>
  <c r="B8" i="40"/>
  <c r="A8" i="40"/>
  <c r="Q26" i="40" s="1"/>
  <c r="A7" i="40"/>
  <c r="A16" i="40" s="1"/>
  <c r="G8" i="39"/>
  <c r="F8" i="39"/>
  <c r="V26" i="39" s="1"/>
  <c r="E8" i="39"/>
  <c r="D8" i="39"/>
  <c r="T26" i="39" s="1"/>
  <c r="C8" i="39"/>
  <c r="B8" i="39"/>
  <c r="R26" i="39" s="1"/>
  <c r="A8" i="39"/>
  <c r="A7" i="39"/>
  <c r="G14" i="39" s="1"/>
  <c r="G8" i="38"/>
  <c r="W26" i="38" s="1"/>
  <c r="F8" i="38"/>
  <c r="E8" i="38"/>
  <c r="U26" i="38" s="1"/>
  <c r="D8" i="38"/>
  <c r="C8" i="38"/>
  <c r="S26" i="38" s="1"/>
  <c r="B8" i="38"/>
  <c r="A8" i="38"/>
  <c r="Q26" i="38" s="1"/>
  <c r="A7" i="38"/>
  <c r="A16" i="38" s="1"/>
  <c r="G17" i="37"/>
  <c r="E17" i="37"/>
  <c r="C17" i="37"/>
  <c r="A17" i="37"/>
  <c r="G14" i="37"/>
  <c r="E14" i="37"/>
  <c r="C14" i="37"/>
  <c r="A14" i="37"/>
  <c r="F13" i="37"/>
  <c r="D13" i="37"/>
  <c r="B13" i="37"/>
  <c r="G12" i="37"/>
  <c r="E12" i="37"/>
  <c r="C12" i="37"/>
  <c r="A12" i="37"/>
  <c r="F11" i="37"/>
  <c r="D11" i="37"/>
  <c r="B11" i="37"/>
  <c r="G10" i="37"/>
  <c r="E10" i="37"/>
  <c r="C10" i="37"/>
  <c r="A10" i="37"/>
  <c r="F9" i="37"/>
  <c r="D9" i="37"/>
  <c r="B9" i="37"/>
  <c r="W8" i="37"/>
  <c r="U8" i="37"/>
  <c r="S8" i="37"/>
  <c r="Q8" i="37"/>
  <c r="G8" i="37"/>
  <c r="W26" i="37" s="1"/>
  <c r="F8" i="37"/>
  <c r="E8" i="37"/>
  <c r="U26" i="37" s="1"/>
  <c r="D8" i="37"/>
  <c r="C8" i="37"/>
  <c r="S26" i="37" s="1"/>
  <c r="B8" i="37"/>
  <c r="A8" i="37"/>
  <c r="Q26" i="37" s="1"/>
  <c r="A7" i="37"/>
  <c r="A16" i="37" s="1"/>
  <c r="G23" i="40" l="1"/>
  <c r="E23" i="40"/>
  <c r="C23" i="40"/>
  <c r="A23" i="40"/>
  <c r="G22" i="40"/>
  <c r="E22" i="40"/>
  <c r="C22" i="40"/>
  <c r="A22" i="40"/>
  <c r="F21" i="40"/>
  <c r="D21" i="40"/>
  <c r="B21" i="40"/>
  <c r="G20" i="40"/>
  <c r="E20" i="40"/>
  <c r="C20" i="40"/>
  <c r="A20" i="40"/>
  <c r="F19" i="40"/>
  <c r="D19" i="40"/>
  <c r="B19" i="40"/>
  <c r="G18" i="40"/>
  <c r="E18" i="40"/>
  <c r="C18" i="40"/>
  <c r="A18" i="40"/>
  <c r="A25" i="40"/>
  <c r="F23" i="40"/>
  <c r="D23" i="40"/>
  <c r="B23" i="40"/>
  <c r="F22" i="40"/>
  <c r="D22" i="40"/>
  <c r="B22" i="40"/>
  <c r="G21" i="40"/>
  <c r="E21" i="40"/>
  <c r="C21" i="40"/>
  <c r="A21" i="40"/>
  <c r="F20" i="40"/>
  <c r="D20" i="40"/>
  <c r="B20" i="40"/>
  <c r="G19" i="40"/>
  <c r="E19" i="40"/>
  <c r="C19" i="40"/>
  <c r="A19" i="40"/>
  <c r="F18" i="40"/>
  <c r="D18" i="40"/>
  <c r="B18" i="40"/>
  <c r="B53" i="40"/>
  <c r="R53" i="40"/>
  <c r="R44" i="40"/>
  <c r="R35" i="40"/>
  <c r="B44" i="40"/>
  <c r="B35" i="40"/>
  <c r="D53" i="40"/>
  <c r="T53" i="40"/>
  <c r="T44" i="40"/>
  <c r="T35" i="40"/>
  <c r="D44" i="40"/>
  <c r="D35" i="40"/>
  <c r="F53" i="40"/>
  <c r="V53" i="40"/>
  <c r="V44" i="40"/>
  <c r="V35" i="40"/>
  <c r="F44" i="40"/>
  <c r="F35" i="40"/>
  <c r="Q8" i="40"/>
  <c r="S8" i="40"/>
  <c r="U8" i="40"/>
  <c r="W8" i="40"/>
  <c r="B9" i="40"/>
  <c r="D9" i="40"/>
  <c r="F9" i="40"/>
  <c r="A10" i="40"/>
  <c r="C10" i="40"/>
  <c r="E10" i="40"/>
  <c r="G10" i="40"/>
  <c r="B11" i="40"/>
  <c r="D11" i="40"/>
  <c r="F11" i="40"/>
  <c r="A12" i="40"/>
  <c r="C12" i="40"/>
  <c r="E12" i="40"/>
  <c r="G12" i="40"/>
  <c r="B13" i="40"/>
  <c r="D13" i="40"/>
  <c r="F13" i="40"/>
  <c r="A14" i="40"/>
  <c r="C14" i="40"/>
  <c r="E14" i="40"/>
  <c r="G14" i="40"/>
  <c r="A17" i="40"/>
  <c r="C17" i="40"/>
  <c r="E17" i="40"/>
  <c r="G17" i="40"/>
  <c r="R17" i="40"/>
  <c r="T17" i="40"/>
  <c r="V17" i="40"/>
  <c r="B26" i="40"/>
  <c r="D26" i="40"/>
  <c r="F26" i="40"/>
  <c r="Q53" i="40"/>
  <c r="A53" i="40"/>
  <c r="A44" i="40"/>
  <c r="A35" i="40"/>
  <c r="Q44" i="40"/>
  <c r="Q35" i="40"/>
  <c r="S53" i="40"/>
  <c r="C53" i="40"/>
  <c r="C44" i="40"/>
  <c r="C35" i="40"/>
  <c r="S44" i="40"/>
  <c r="S35" i="40"/>
  <c r="U53" i="40"/>
  <c r="E53" i="40"/>
  <c r="E44" i="40"/>
  <c r="E35" i="40"/>
  <c r="U44" i="40"/>
  <c r="U35" i="40"/>
  <c r="W53" i="40"/>
  <c r="G53" i="40"/>
  <c r="G44" i="40"/>
  <c r="G35" i="40"/>
  <c r="W44" i="40"/>
  <c r="W35" i="40"/>
  <c r="R8" i="40"/>
  <c r="T8" i="40"/>
  <c r="V8" i="40"/>
  <c r="A9" i="40"/>
  <c r="C9" i="40"/>
  <c r="E9" i="40"/>
  <c r="G9" i="40"/>
  <c r="B10" i="40"/>
  <c r="D10" i="40"/>
  <c r="F10" i="40"/>
  <c r="A11" i="40"/>
  <c r="C11" i="40"/>
  <c r="E11" i="40"/>
  <c r="G11" i="40"/>
  <c r="B12" i="40"/>
  <c r="D12" i="40"/>
  <c r="F12" i="40"/>
  <c r="A13" i="40"/>
  <c r="C13" i="40"/>
  <c r="E13" i="40"/>
  <c r="G13" i="40"/>
  <c r="B14" i="40"/>
  <c r="D14" i="40"/>
  <c r="F14" i="40"/>
  <c r="B17" i="40"/>
  <c r="D17" i="40"/>
  <c r="F17" i="40"/>
  <c r="Q17" i="40"/>
  <c r="S17" i="40"/>
  <c r="U17" i="40"/>
  <c r="W17" i="40"/>
  <c r="A26" i="40"/>
  <c r="C26" i="40"/>
  <c r="E26" i="40"/>
  <c r="G26" i="40"/>
  <c r="R26" i="40"/>
  <c r="T26" i="40"/>
  <c r="V26" i="40"/>
  <c r="Q53" i="39"/>
  <c r="A53" i="39"/>
  <c r="A44" i="39"/>
  <c r="A35" i="39"/>
  <c r="Q44" i="39"/>
  <c r="Q35" i="39"/>
  <c r="S53" i="39"/>
  <c r="C53" i="39"/>
  <c r="C44" i="39"/>
  <c r="C35" i="39"/>
  <c r="S44" i="39"/>
  <c r="S35" i="39"/>
  <c r="U53" i="39"/>
  <c r="E53" i="39"/>
  <c r="E44" i="39"/>
  <c r="E35" i="39"/>
  <c r="U44" i="39"/>
  <c r="U35" i="39"/>
  <c r="W53" i="39"/>
  <c r="G53" i="39"/>
  <c r="G44" i="39"/>
  <c r="G35" i="39"/>
  <c r="W44" i="39"/>
  <c r="W35" i="39"/>
  <c r="R8" i="39"/>
  <c r="T8" i="39"/>
  <c r="V8" i="39"/>
  <c r="A9" i="39"/>
  <c r="C9" i="39"/>
  <c r="E9" i="39"/>
  <c r="G9" i="39"/>
  <c r="B10" i="39"/>
  <c r="D10" i="39"/>
  <c r="F10" i="39"/>
  <c r="A11" i="39"/>
  <c r="C11" i="39"/>
  <c r="E11" i="39"/>
  <c r="G11" i="39"/>
  <c r="B12" i="39"/>
  <c r="D12" i="39"/>
  <c r="F12" i="39"/>
  <c r="A13" i="39"/>
  <c r="C13" i="39"/>
  <c r="E13" i="39"/>
  <c r="G13" i="39"/>
  <c r="B14" i="39"/>
  <c r="D14" i="39"/>
  <c r="F14" i="39"/>
  <c r="A16" i="39"/>
  <c r="B17" i="39"/>
  <c r="D17" i="39"/>
  <c r="F17" i="39"/>
  <c r="Q17" i="39"/>
  <c r="S17" i="39"/>
  <c r="U17" i="39"/>
  <c r="W17" i="39"/>
  <c r="A26" i="39"/>
  <c r="C26" i="39"/>
  <c r="E26" i="39"/>
  <c r="G26" i="39"/>
  <c r="B53" i="39"/>
  <c r="R53" i="39"/>
  <c r="R44" i="39"/>
  <c r="R35" i="39"/>
  <c r="B44" i="39"/>
  <c r="B35" i="39"/>
  <c r="D53" i="39"/>
  <c r="T53" i="39"/>
  <c r="T44" i="39"/>
  <c r="T35" i="39"/>
  <c r="D44" i="39"/>
  <c r="D35" i="39"/>
  <c r="F53" i="39"/>
  <c r="V53" i="39"/>
  <c r="V44" i="39"/>
  <c r="V35" i="39"/>
  <c r="F44" i="39"/>
  <c r="F35" i="39"/>
  <c r="Q8" i="39"/>
  <c r="S8" i="39"/>
  <c r="U8" i="39"/>
  <c r="W8" i="39"/>
  <c r="B9" i="39"/>
  <c r="D9" i="39"/>
  <c r="F9" i="39"/>
  <c r="A10" i="39"/>
  <c r="C10" i="39"/>
  <c r="E10" i="39"/>
  <c r="G10" i="39"/>
  <c r="B11" i="39"/>
  <c r="D11" i="39"/>
  <c r="F11" i="39"/>
  <c r="A12" i="39"/>
  <c r="C12" i="39"/>
  <c r="E12" i="39"/>
  <c r="G12" i="39"/>
  <c r="B13" i="39"/>
  <c r="D13" i="39"/>
  <c r="F13" i="39"/>
  <c r="A14" i="39"/>
  <c r="C14" i="39"/>
  <c r="E14" i="39"/>
  <c r="A17" i="39"/>
  <c r="C17" i="39"/>
  <c r="E17" i="39"/>
  <c r="G17" i="39"/>
  <c r="R17" i="39"/>
  <c r="T17" i="39"/>
  <c r="V17" i="39"/>
  <c r="B26" i="39"/>
  <c r="D26" i="39"/>
  <c r="F26" i="39"/>
  <c r="Q26" i="39"/>
  <c r="S26" i="39"/>
  <c r="U26" i="39"/>
  <c r="W26" i="39"/>
  <c r="G23" i="38"/>
  <c r="E23" i="38"/>
  <c r="C23" i="38"/>
  <c r="A23" i="38"/>
  <c r="G22" i="38"/>
  <c r="E22" i="38"/>
  <c r="C22" i="38"/>
  <c r="A22" i="38"/>
  <c r="F21" i="38"/>
  <c r="D21" i="38"/>
  <c r="B21" i="38"/>
  <c r="G20" i="38"/>
  <c r="E20" i="38"/>
  <c r="C20" i="38"/>
  <c r="A20" i="38"/>
  <c r="F19" i="38"/>
  <c r="D19" i="38"/>
  <c r="B19" i="38"/>
  <c r="G18" i="38"/>
  <c r="E18" i="38"/>
  <c r="C18" i="38"/>
  <c r="A18" i="38"/>
  <c r="A25" i="38"/>
  <c r="F23" i="38"/>
  <c r="D23" i="38"/>
  <c r="B23" i="38"/>
  <c r="F22" i="38"/>
  <c r="D22" i="38"/>
  <c r="B22" i="38"/>
  <c r="G21" i="38"/>
  <c r="E21" i="38"/>
  <c r="C21" i="38"/>
  <c r="A21" i="38"/>
  <c r="F20" i="38"/>
  <c r="D20" i="38"/>
  <c r="B20" i="38"/>
  <c r="G19" i="38"/>
  <c r="E19" i="38"/>
  <c r="C19" i="38"/>
  <c r="A19" i="38"/>
  <c r="F18" i="38"/>
  <c r="D18" i="38"/>
  <c r="B18" i="38"/>
  <c r="B53" i="38"/>
  <c r="R53" i="38"/>
  <c r="R44" i="38"/>
  <c r="R35" i="38"/>
  <c r="B44" i="38"/>
  <c r="B35" i="38"/>
  <c r="D53" i="38"/>
  <c r="T53" i="38"/>
  <c r="T44" i="38"/>
  <c r="T35" i="38"/>
  <c r="D44" i="38"/>
  <c r="D35" i="38"/>
  <c r="F53" i="38"/>
  <c r="V53" i="38"/>
  <c r="V44" i="38"/>
  <c r="V35" i="38"/>
  <c r="F44" i="38"/>
  <c r="F35" i="38"/>
  <c r="Q8" i="38"/>
  <c r="S8" i="38"/>
  <c r="U8" i="38"/>
  <c r="W8" i="38"/>
  <c r="B9" i="38"/>
  <c r="D9" i="38"/>
  <c r="F9" i="38"/>
  <c r="A10" i="38"/>
  <c r="C10" i="38"/>
  <c r="E10" i="38"/>
  <c r="G10" i="38"/>
  <c r="B11" i="38"/>
  <c r="D11" i="38"/>
  <c r="F11" i="38"/>
  <c r="A12" i="38"/>
  <c r="C12" i="38"/>
  <c r="E12" i="38"/>
  <c r="G12" i="38"/>
  <c r="B13" i="38"/>
  <c r="D13" i="38"/>
  <c r="F13" i="38"/>
  <c r="A14" i="38"/>
  <c r="C14" i="38"/>
  <c r="E14" i="38"/>
  <c r="G14" i="38"/>
  <c r="A17" i="38"/>
  <c r="C17" i="38"/>
  <c r="E17" i="38"/>
  <c r="G17" i="38"/>
  <c r="R17" i="38"/>
  <c r="T17" i="38"/>
  <c r="V17" i="38"/>
  <c r="B26" i="38"/>
  <c r="D26" i="38"/>
  <c r="F26" i="38"/>
  <c r="Q53" i="38"/>
  <c r="A53" i="38"/>
  <c r="A44" i="38"/>
  <c r="A35" i="38"/>
  <c r="Q44" i="38"/>
  <c r="Q35" i="38"/>
  <c r="S53" i="38"/>
  <c r="C53" i="38"/>
  <c r="C44" i="38"/>
  <c r="C35" i="38"/>
  <c r="S44" i="38"/>
  <c r="S35" i="38"/>
  <c r="U53" i="38"/>
  <c r="E53" i="38"/>
  <c r="E44" i="38"/>
  <c r="E35" i="38"/>
  <c r="U44" i="38"/>
  <c r="U35" i="38"/>
  <c r="W53" i="38"/>
  <c r="G53" i="38"/>
  <c r="G44" i="38"/>
  <c r="G35" i="38"/>
  <c r="W44" i="38"/>
  <c r="W35" i="38"/>
  <c r="R8" i="38"/>
  <c r="T8" i="38"/>
  <c r="V8" i="38"/>
  <c r="A9" i="38"/>
  <c r="C9" i="38"/>
  <c r="E9" i="38"/>
  <c r="G9" i="38"/>
  <c r="B10" i="38"/>
  <c r="D10" i="38"/>
  <c r="F10" i="38"/>
  <c r="A11" i="38"/>
  <c r="C11" i="38"/>
  <c r="E11" i="38"/>
  <c r="G11" i="38"/>
  <c r="B12" i="38"/>
  <c r="D12" i="38"/>
  <c r="F12" i="38"/>
  <c r="A13" i="38"/>
  <c r="C13" i="38"/>
  <c r="E13" i="38"/>
  <c r="G13" i="38"/>
  <c r="B14" i="38"/>
  <c r="D14" i="38"/>
  <c r="F14" i="38"/>
  <c r="B17" i="38"/>
  <c r="D17" i="38"/>
  <c r="F17" i="38"/>
  <c r="Q17" i="38"/>
  <c r="S17" i="38"/>
  <c r="U17" i="38"/>
  <c r="W17" i="38"/>
  <c r="A26" i="38"/>
  <c r="C26" i="38"/>
  <c r="E26" i="38"/>
  <c r="G26" i="38"/>
  <c r="R26" i="38"/>
  <c r="T26" i="38"/>
  <c r="V26" i="38"/>
  <c r="D53" i="37"/>
  <c r="T53" i="37"/>
  <c r="T44" i="37"/>
  <c r="T35" i="37"/>
  <c r="D44" i="37"/>
  <c r="D35" i="37"/>
  <c r="T26" i="37"/>
  <c r="D17" i="37"/>
  <c r="T8" i="37"/>
  <c r="T17" i="37"/>
  <c r="D26" i="37"/>
  <c r="G23" i="37"/>
  <c r="E23" i="37"/>
  <c r="C23" i="37"/>
  <c r="A23" i="37"/>
  <c r="G22" i="37"/>
  <c r="E22" i="37"/>
  <c r="C22" i="37"/>
  <c r="A22" i="37"/>
  <c r="F21" i="37"/>
  <c r="D21" i="37"/>
  <c r="B21" i="37"/>
  <c r="G20" i="37"/>
  <c r="E20" i="37"/>
  <c r="C20" i="37"/>
  <c r="A20" i="37"/>
  <c r="F19" i="37"/>
  <c r="D19" i="37"/>
  <c r="B19" i="37"/>
  <c r="G18" i="37"/>
  <c r="E18" i="37"/>
  <c r="C18" i="37"/>
  <c r="A18" i="37"/>
  <c r="G21" i="37"/>
  <c r="E21" i="37"/>
  <c r="C21" i="37"/>
  <c r="A21" i="37"/>
  <c r="F20" i="37"/>
  <c r="D20" i="37"/>
  <c r="B20" i="37"/>
  <c r="G19" i="37"/>
  <c r="E19" i="37"/>
  <c r="C19" i="37"/>
  <c r="A19" i="37"/>
  <c r="F18" i="37"/>
  <c r="D18" i="37"/>
  <c r="B18" i="37"/>
  <c r="A25" i="37"/>
  <c r="F23" i="37"/>
  <c r="D23" i="37"/>
  <c r="B23" i="37"/>
  <c r="F22" i="37"/>
  <c r="D22" i="37"/>
  <c r="B22" i="37"/>
  <c r="B53" i="37"/>
  <c r="R53" i="37"/>
  <c r="R44" i="37"/>
  <c r="R35" i="37"/>
  <c r="B44" i="37"/>
  <c r="B35" i="37"/>
  <c r="R26" i="37"/>
  <c r="B17" i="37"/>
  <c r="R8" i="37"/>
  <c r="R17" i="37"/>
  <c r="B26" i="37"/>
  <c r="F53" i="37"/>
  <c r="V53" i="37"/>
  <c r="V44" i="37"/>
  <c r="V35" i="37"/>
  <c r="F44" i="37"/>
  <c r="F35" i="37"/>
  <c r="V26" i="37"/>
  <c r="F17" i="37"/>
  <c r="V8" i="37"/>
  <c r="V17" i="37"/>
  <c r="F26" i="37"/>
  <c r="Q53" i="37"/>
  <c r="A53" i="37"/>
  <c r="A44" i="37"/>
  <c r="A35" i="37"/>
  <c r="Q44" i="37"/>
  <c r="Q35" i="37"/>
  <c r="S53" i="37"/>
  <c r="C53" i="37"/>
  <c r="C44" i="37"/>
  <c r="C35" i="37"/>
  <c r="S44" i="37"/>
  <c r="S35" i="37"/>
  <c r="U53" i="37"/>
  <c r="E53" i="37"/>
  <c r="E44" i="37"/>
  <c r="E35" i="37"/>
  <c r="U44" i="37"/>
  <c r="U35" i="37"/>
  <c r="W53" i="37"/>
  <c r="G53" i="37"/>
  <c r="G44" i="37"/>
  <c r="G35" i="37"/>
  <c r="W44" i="37"/>
  <c r="W35" i="37"/>
  <c r="A9" i="37"/>
  <c r="C9" i="37"/>
  <c r="E9" i="37"/>
  <c r="G9" i="37"/>
  <c r="B10" i="37"/>
  <c r="D10" i="37"/>
  <c r="F10" i="37"/>
  <c r="A11" i="37"/>
  <c r="C11" i="37"/>
  <c r="E11" i="37"/>
  <c r="G11" i="37"/>
  <c r="B12" i="37"/>
  <c r="D12" i="37"/>
  <c r="F12" i="37"/>
  <c r="A13" i="37"/>
  <c r="C13" i="37"/>
  <c r="E13" i="37"/>
  <c r="G13" i="37"/>
  <c r="B14" i="37"/>
  <c r="D14" i="37"/>
  <c r="F14" i="37"/>
  <c r="Q17" i="37"/>
  <c r="S17" i="37"/>
  <c r="U17" i="37"/>
  <c r="W17" i="37"/>
  <c r="A26" i="37"/>
  <c r="C26" i="37"/>
  <c r="E26" i="37"/>
  <c r="G26" i="37"/>
  <c r="AD35" i="32"/>
  <c r="AD34" i="32"/>
  <c r="AD33" i="32"/>
  <c r="Q17" i="32"/>
  <c r="A34" i="40" l="1"/>
  <c r="G32" i="40"/>
  <c r="E32" i="40"/>
  <c r="C32" i="40"/>
  <c r="A32" i="40"/>
  <c r="G31" i="40"/>
  <c r="E31" i="40"/>
  <c r="C31" i="40"/>
  <c r="A31" i="40"/>
  <c r="G30" i="40"/>
  <c r="E30" i="40"/>
  <c r="C30" i="40"/>
  <c r="A30" i="40"/>
  <c r="F32" i="40"/>
  <c r="D32" i="40"/>
  <c r="B32" i="40"/>
  <c r="F31" i="40"/>
  <c r="D31" i="40"/>
  <c r="B31" i="40"/>
  <c r="F30" i="40"/>
  <c r="D30" i="40"/>
  <c r="B30" i="40"/>
  <c r="G29" i="40"/>
  <c r="E29" i="40"/>
  <c r="C29" i="40"/>
  <c r="A29" i="40"/>
  <c r="G28" i="40"/>
  <c r="E28" i="40"/>
  <c r="C28" i="40"/>
  <c r="A28" i="40"/>
  <c r="F27" i="40"/>
  <c r="D27" i="40"/>
  <c r="B27" i="40"/>
  <c r="F29" i="40"/>
  <c r="D29" i="40"/>
  <c r="B29" i="40"/>
  <c r="F28" i="40"/>
  <c r="D28" i="40"/>
  <c r="B28" i="40"/>
  <c r="G27" i="40"/>
  <c r="E27" i="40"/>
  <c r="C27" i="40"/>
  <c r="A27" i="40"/>
  <c r="A25" i="39"/>
  <c r="F23" i="39"/>
  <c r="D23" i="39"/>
  <c r="B23" i="39"/>
  <c r="F22" i="39"/>
  <c r="D22" i="39"/>
  <c r="B22" i="39"/>
  <c r="G21" i="39"/>
  <c r="E21" i="39"/>
  <c r="C21" i="39"/>
  <c r="A21" i="39"/>
  <c r="F20" i="39"/>
  <c r="D20" i="39"/>
  <c r="B20" i="39"/>
  <c r="G19" i="39"/>
  <c r="E19" i="39"/>
  <c r="C19" i="39"/>
  <c r="A19" i="39"/>
  <c r="F18" i="39"/>
  <c r="D18" i="39"/>
  <c r="B18" i="39"/>
  <c r="G23" i="39"/>
  <c r="E23" i="39"/>
  <c r="C23" i="39"/>
  <c r="A23" i="39"/>
  <c r="G22" i="39"/>
  <c r="E22" i="39"/>
  <c r="C22" i="39"/>
  <c r="A22" i="39"/>
  <c r="F21" i="39"/>
  <c r="D21" i="39"/>
  <c r="B21" i="39"/>
  <c r="G20" i="39"/>
  <c r="E20" i="39"/>
  <c r="C20" i="39"/>
  <c r="A20" i="39"/>
  <c r="F19" i="39"/>
  <c r="D19" i="39"/>
  <c r="B19" i="39"/>
  <c r="G18" i="39"/>
  <c r="E18" i="39"/>
  <c r="C18" i="39"/>
  <c r="A18" i="39"/>
  <c r="A34" i="38"/>
  <c r="G32" i="38"/>
  <c r="E32" i="38"/>
  <c r="C32" i="38"/>
  <c r="A32" i="38"/>
  <c r="G31" i="38"/>
  <c r="E31" i="38"/>
  <c r="C31" i="38"/>
  <c r="A31" i="38"/>
  <c r="G30" i="38"/>
  <c r="E30" i="38"/>
  <c r="C30" i="38"/>
  <c r="F32" i="38"/>
  <c r="D32" i="38"/>
  <c r="B32" i="38"/>
  <c r="F31" i="38"/>
  <c r="D31" i="38"/>
  <c r="B31" i="38"/>
  <c r="F30" i="38"/>
  <c r="D30" i="38"/>
  <c r="B30" i="38"/>
  <c r="G29" i="38"/>
  <c r="E29" i="38"/>
  <c r="C29" i="38"/>
  <c r="A29" i="38"/>
  <c r="G28" i="38"/>
  <c r="E28" i="38"/>
  <c r="C28" i="38"/>
  <c r="A28" i="38"/>
  <c r="F27" i="38"/>
  <c r="D27" i="38"/>
  <c r="B27" i="38"/>
  <c r="A30" i="38"/>
  <c r="F29" i="38"/>
  <c r="D29" i="38"/>
  <c r="B29" i="38"/>
  <c r="F28" i="38"/>
  <c r="D28" i="38"/>
  <c r="B28" i="38"/>
  <c r="G27" i="38"/>
  <c r="E27" i="38"/>
  <c r="C27" i="38"/>
  <c r="A27" i="38"/>
  <c r="A34" i="37"/>
  <c r="G32" i="37"/>
  <c r="E32" i="37"/>
  <c r="C32" i="37"/>
  <c r="A32" i="37"/>
  <c r="G31" i="37"/>
  <c r="E31" i="37"/>
  <c r="C31" i="37"/>
  <c r="A31" i="37"/>
  <c r="G30" i="37"/>
  <c r="E30" i="37"/>
  <c r="F32" i="37"/>
  <c r="D32" i="37"/>
  <c r="B32" i="37"/>
  <c r="F31" i="37"/>
  <c r="D31" i="37"/>
  <c r="B31" i="37"/>
  <c r="F30" i="37"/>
  <c r="D30" i="37"/>
  <c r="B30" i="37"/>
  <c r="G29" i="37"/>
  <c r="E29" i="37"/>
  <c r="C29" i="37"/>
  <c r="A29" i="37"/>
  <c r="G28" i="37"/>
  <c r="E28" i="37"/>
  <c r="C28" i="37"/>
  <c r="A28" i="37"/>
  <c r="F27" i="37"/>
  <c r="D27" i="37"/>
  <c r="B27" i="37"/>
  <c r="C30" i="37"/>
  <c r="A30" i="37"/>
  <c r="F29" i="37"/>
  <c r="D29" i="37"/>
  <c r="B29" i="37"/>
  <c r="F28" i="37"/>
  <c r="D28" i="37"/>
  <c r="B28" i="37"/>
  <c r="G27" i="37"/>
  <c r="E27" i="37"/>
  <c r="C27" i="37"/>
  <c r="A27" i="37"/>
  <c r="AF35" i="32"/>
  <c r="AF34" i="32"/>
  <c r="AF33" i="32"/>
  <c r="A43" i="40" l="1"/>
  <c r="G41" i="40"/>
  <c r="E41" i="40"/>
  <c r="C41" i="40"/>
  <c r="A41" i="40"/>
  <c r="G40" i="40"/>
  <c r="E40" i="40"/>
  <c r="C40" i="40"/>
  <c r="A40" i="40"/>
  <c r="G39" i="40"/>
  <c r="E39" i="40"/>
  <c r="C39" i="40"/>
  <c r="A39" i="40"/>
  <c r="G38" i="40"/>
  <c r="E38" i="40"/>
  <c r="C38" i="40"/>
  <c r="A38" i="40"/>
  <c r="G37" i="40"/>
  <c r="E37" i="40"/>
  <c r="C37" i="40"/>
  <c r="A37" i="40"/>
  <c r="G36" i="40"/>
  <c r="E36" i="40"/>
  <c r="C36" i="40"/>
  <c r="A36" i="40"/>
  <c r="F41" i="40"/>
  <c r="D41" i="40"/>
  <c r="B41" i="40"/>
  <c r="F40" i="40"/>
  <c r="D40" i="40"/>
  <c r="B40" i="40"/>
  <c r="F39" i="40"/>
  <c r="D39" i="40"/>
  <c r="B39" i="40"/>
  <c r="F38" i="40"/>
  <c r="D38" i="40"/>
  <c r="B38" i="40"/>
  <c r="F37" i="40"/>
  <c r="D37" i="40"/>
  <c r="B37" i="40"/>
  <c r="F36" i="40"/>
  <c r="D36" i="40"/>
  <c r="B36" i="40"/>
  <c r="A34" i="39"/>
  <c r="G32" i="39"/>
  <c r="E32" i="39"/>
  <c r="C32" i="39"/>
  <c r="A32" i="39"/>
  <c r="G31" i="39"/>
  <c r="E31" i="39"/>
  <c r="C31" i="39"/>
  <c r="A31" i="39"/>
  <c r="G30" i="39"/>
  <c r="E30" i="39"/>
  <c r="C30" i="39"/>
  <c r="A30" i="39"/>
  <c r="F32" i="39"/>
  <c r="D32" i="39"/>
  <c r="B32" i="39"/>
  <c r="F31" i="39"/>
  <c r="D31" i="39"/>
  <c r="B31" i="39"/>
  <c r="F30" i="39"/>
  <c r="D30" i="39"/>
  <c r="B30" i="39"/>
  <c r="F29" i="39"/>
  <c r="D29" i="39"/>
  <c r="B29" i="39"/>
  <c r="F28" i="39"/>
  <c r="D28" i="39"/>
  <c r="B28" i="39"/>
  <c r="G27" i="39"/>
  <c r="E27" i="39"/>
  <c r="C27" i="39"/>
  <c r="A27" i="39"/>
  <c r="G29" i="39"/>
  <c r="E29" i="39"/>
  <c r="C29" i="39"/>
  <c r="A29" i="39"/>
  <c r="G28" i="39"/>
  <c r="E28" i="39"/>
  <c r="C28" i="39"/>
  <c r="A28" i="39"/>
  <c r="F27" i="39"/>
  <c r="D27" i="39"/>
  <c r="B27" i="39"/>
  <c r="A43" i="38"/>
  <c r="G41" i="38"/>
  <c r="E41" i="38"/>
  <c r="C41" i="38"/>
  <c r="A41" i="38"/>
  <c r="G40" i="38"/>
  <c r="E40" i="38"/>
  <c r="C40" i="38"/>
  <c r="A40" i="38"/>
  <c r="G39" i="38"/>
  <c r="E39" i="38"/>
  <c r="C39" i="38"/>
  <c r="A39" i="38"/>
  <c r="G38" i="38"/>
  <c r="E38" i="38"/>
  <c r="C38" i="38"/>
  <c r="A38" i="38"/>
  <c r="G37" i="38"/>
  <c r="E37" i="38"/>
  <c r="C37" i="38"/>
  <c r="A37" i="38"/>
  <c r="G36" i="38"/>
  <c r="E36" i="38"/>
  <c r="C36" i="38"/>
  <c r="A36" i="38"/>
  <c r="F41" i="38"/>
  <c r="D41" i="38"/>
  <c r="B41" i="38"/>
  <c r="F40" i="38"/>
  <c r="D40" i="38"/>
  <c r="B40" i="38"/>
  <c r="F39" i="38"/>
  <c r="D39" i="38"/>
  <c r="B39" i="38"/>
  <c r="F38" i="38"/>
  <c r="D38" i="38"/>
  <c r="B38" i="38"/>
  <c r="F37" i="38"/>
  <c r="D37" i="38"/>
  <c r="B37" i="38"/>
  <c r="F36" i="38"/>
  <c r="D36" i="38"/>
  <c r="B36" i="38"/>
  <c r="A43" i="37"/>
  <c r="G41" i="37"/>
  <c r="E41" i="37"/>
  <c r="C41" i="37"/>
  <c r="A41" i="37"/>
  <c r="G40" i="37"/>
  <c r="E40" i="37"/>
  <c r="C40" i="37"/>
  <c r="A40" i="37"/>
  <c r="G39" i="37"/>
  <c r="E39" i="37"/>
  <c r="C39" i="37"/>
  <c r="A39" i="37"/>
  <c r="G38" i="37"/>
  <c r="E38" i="37"/>
  <c r="C38" i="37"/>
  <c r="A38" i="37"/>
  <c r="G37" i="37"/>
  <c r="E37" i="37"/>
  <c r="C37" i="37"/>
  <c r="A37" i="37"/>
  <c r="G36" i="37"/>
  <c r="E36" i="37"/>
  <c r="C36" i="37"/>
  <c r="A36" i="37"/>
  <c r="F41" i="37"/>
  <c r="D41" i="37"/>
  <c r="B41" i="37"/>
  <c r="F40" i="37"/>
  <c r="D40" i="37"/>
  <c r="B40" i="37"/>
  <c r="F39" i="37"/>
  <c r="D39" i="37"/>
  <c r="B39" i="37"/>
  <c r="F38" i="37"/>
  <c r="D38" i="37"/>
  <c r="B38" i="37"/>
  <c r="F37" i="37"/>
  <c r="D37" i="37"/>
  <c r="B37" i="37"/>
  <c r="F36" i="37"/>
  <c r="D36" i="37"/>
  <c r="B36" i="37"/>
  <c r="W39" i="32"/>
  <c r="W38" i="32"/>
  <c r="W36" i="32"/>
  <c r="W22" i="32"/>
  <c r="W21" i="32"/>
  <c r="W20" i="32"/>
  <c r="W19" i="32"/>
  <c r="W18" i="32"/>
  <c r="W15" i="32"/>
  <c r="W14" i="32"/>
  <c r="W13" i="32"/>
  <c r="W7" i="32"/>
  <c r="W6" i="32"/>
  <c r="W5" i="32"/>
  <c r="U39" i="32"/>
  <c r="U38" i="32"/>
  <c r="U41" i="32" s="1"/>
  <c r="U32" i="32"/>
  <c r="U31" i="32"/>
  <c r="U30" i="32"/>
  <c r="U22" i="32"/>
  <c r="U21" i="32"/>
  <c r="U20" i="32"/>
  <c r="U19" i="32"/>
  <c r="U18" i="32"/>
  <c r="U17" i="32"/>
  <c r="U16" i="32"/>
  <c r="U15" i="32"/>
  <c r="U14" i="32"/>
  <c r="U13" i="32"/>
  <c r="U7" i="32"/>
  <c r="U6" i="32"/>
  <c r="U5" i="32"/>
  <c r="S39" i="32"/>
  <c r="S38" i="32"/>
  <c r="S32" i="32"/>
  <c r="S31" i="32"/>
  <c r="S30" i="32"/>
  <c r="S22" i="32"/>
  <c r="S21" i="32"/>
  <c r="S20" i="32"/>
  <c r="S19" i="32"/>
  <c r="S18" i="32"/>
  <c r="S17" i="32"/>
  <c r="S16" i="32"/>
  <c r="S15" i="32"/>
  <c r="S14" i="32"/>
  <c r="S13" i="32"/>
  <c r="S7" i="32"/>
  <c r="S6" i="32"/>
  <c r="S5" i="32"/>
  <c r="Q39" i="32"/>
  <c r="Q38" i="32"/>
  <c r="Q41" i="32" s="1"/>
  <c r="Q32" i="32"/>
  <c r="Q31" i="32"/>
  <c r="Q30" i="32"/>
  <c r="Q22" i="32"/>
  <c r="Q21" i="32"/>
  <c r="Q20" i="32"/>
  <c r="Q19" i="32"/>
  <c r="Q18" i="32"/>
  <c r="Q16" i="32"/>
  <c r="Q15" i="32"/>
  <c r="Q14" i="32"/>
  <c r="Q13" i="32"/>
  <c r="Q7" i="32"/>
  <c r="Q6" i="32"/>
  <c r="Q5" i="32"/>
  <c r="O39" i="32"/>
  <c r="O38" i="32"/>
  <c r="O32" i="32"/>
  <c r="O31" i="32"/>
  <c r="O30" i="32"/>
  <c r="O22" i="32"/>
  <c r="O21" i="32"/>
  <c r="O20" i="32"/>
  <c r="O19" i="32"/>
  <c r="O18" i="32"/>
  <c r="O17" i="32"/>
  <c r="O16" i="32"/>
  <c r="O15" i="32"/>
  <c r="O14" i="32"/>
  <c r="O13" i="32"/>
  <c r="O6" i="32"/>
  <c r="O5" i="32"/>
  <c r="M39" i="32"/>
  <c r="M38" i="32"/>
  <c r="M32" i="32"/>
  <c r="M31" i="32"/>
  <c r="M30" i="32"/>
  <c r="M22" i="32"/>
  <c r="M21" i="32"/>
  <c r="M20" i="32"/>
  <c r="M19" i="32"/>
  <c r="M18" i="32"/>
  <c r="M17" i="32"/>
  <c r="M16" i="32"/>
  <c r="M15" i="32"/>
  <c r="M14" i="32"/>
  <c r="M13" i="32"/>
  <c r="M5" i="32"/>
  <c r="K39" i="32"/>
  <c r="K38" i="32"/>
  <c r="K32" i="32"/>
  <c r="K31" i="32"/>
  <c r="K30" i="32"/>
  <c r="K22" i="32"/>
  <c r="K21" i="32"/>
  <c r="K20" i="32"/>
  <c r="K19" i="32"/>
  <c r="K18" i="32"/>
  <c r="K17" i="32"/>
  <c r="K16" i="32"/>
  <c r="K15" i="32"/>
  <c r="K14" i="32"/>
  <c r="K13" i="32"/>
  <c r="K7" i="32"/>
  <c r="K6" i="32"/>
  <c r="K5" i="32"/>
  <c r="W4" i="32"/>
  <c r="U4" i="32"/>
  <c r="S4" i="32"/>
  <c r="Q4" i="32"/>
  <c r="O4" i="32"/>
  <c r="M4" i="32"/>
  <c r="M11" i="32" s="1"/>
  <c r="K4" i="32"/>
  <c r="K11" i="32" s="1"/>
  <c r="I39" i="32"/>
  <c r="I38" i="32"/>
  <c r="I41" i="32" s="1"/>
  <c r="I32" i="32"/>
  <c r="I31" i="32"/>
  <c r="I30" i="32"/>
  <c r="I22" i="32"/>
  <c r="I21" i="32"/>
  <c r="I20" i="32"/>
  <c r="I19" i="32"/>
  <c r="I18" i="32"/>
  <c r="I17" i="32"/>
  <c r="I16" i="32"/>
  <c r="I15" i="32"/>
  <c r="I14" i="32"/>
  <c r="I13" i="32"/>
  <c r="I7" i="32"/>
  <c r="I6" i="32"/>
  <c r="I5" i="32"/>
  <c r="I4" i="32"/>
  <c r="G39" i="32"/>
  <c r="G41" i="32" s="1"/>
  <c r="G32" i="32"/>
  <c r="G31" i="32"/>
  <c r="G30" i="32"/>
  <c r="G22" i="32"/>
  <c r="G21" i="32"/>
  <c r="G20" i="32"/>
  <c r="G19" i="32"/>
  <c r="G18" i="32"/>
  <c r="G17" i="32"/>
  <c r="G16" i="32"/>
  <c r="G15" i="32"/>
  <c r="G14" i="32"/>
  <c r="G13" i="32"/>
  <c r="G9" i="32"/>
  <c r="G7" i="32"/>
  <c r="G6" i="32"/>
  <c r="G5" i="32"/>
  <c r="G4" i="32"/>
  <c r="E32" i="32"/>
  <c r="E31" i="32"/>
  <c r="E30" i="32"/>
  <c r="E22" i="32"/>
  <c r="E21" i="32"/>
  <c r="E20" i="32"/>
  <c r="E19" i="32"/>
  <c r="E18" i="32"/>
  <c r="E17" i="32"/>
  <c r="E16" i="32"/>
  <c r="E15" i="32"/>
  <c r="E14" i="32"/>
  <c r="E13" i="32"/>
  <c r="E9" i="32"/>
  <c r="E7" i="32"/>
  <c r="E6" i="32"/>
  <c r="E5" i="32"/>
  <c r="E4" i="32"/>
  <c r="C32" i="32"/>
  <c r="C31" i="32"/>
  <c r="C30" i="32"/>
  <c r="C22" i="32"/>
  <c r="C21" i="32"/>
  <c r="C20" i="32"/>
  <c r="C19" i="32"/>
  <c r="C18" i="32"/>
  <c r="C17" i="32"/>
  <c r="C16" i="32"/>
  <c r="C15" i="32"/>
  <c r="C14" i="32"/>
  <c r="C13" i="32"/>
  <c r="C7" i="32"/>
  <c r="C6" i="32"/>
  <c r="C5" i="32"/>
  <c r="C4" i="32"/>
  <c r="M24" i="32" l="1"/>
  <c r="K41" i="32"/>
  <c r="K62" i="32" s="1"/>
  <c r="S41" i="32"/>
  <c r="W41" i="32"/>
  <c r="M41" i="32"/>
  <c r="E36" i="32"/>
  <c r="I62" i="32"/>
  <c r="G62" i="32"/>
  <c r="S62" i="32"/>
  <c r="O41" i="32"/>
  <c r="M63" i="32"/>
  <c r="I63" i="32"/>
  <c r="Q63" i="32"/>
  <c r="E63" i="32"/>
  <c r="K63" i="32"/>
  <c r="S63" i="32"/>
  <c r="U63" i="32"/>
  <c r="G63" i="32"/>
  <c r="O63" i="32"/>
  <c r="W63" i="32"/>
  <c r="O11" i="32"/>
  <c r="S11" i="32"/>
  <c r="W11" i="32"/>
  <c r="W24" i="32"/>
  <c r="Q36" i="32"/>
  <c r="U36" i="32"/>
  <c r="G28" i="32"/>
  <c r="G24" i="32"/>
  <c r="K28" i="32"/>
  <c r="K24" i="32"/>
  <c r="AD31" i="32"/>
  <c r="AF31" i="32" s="1"/>
  <c r="E28" i="32"/>
  <c r="E24" i="32"/>
  <c r="G36" i="32"/>
  <c r="AD39" i="32"/>
  <c r="K36" i="32"/>
  <c r="S36" i="32"/>
  <c r="U28" i="32"/>
  <c r="U24" i="32"/>
  <c r="C24" i="32"/>
  <c r="I24" i="32"/>
  <c r="U11" i="32"/>
  <c r="Q24" i="32"/>
  <c r="S28" i="32"/>
  <c r="S24" i="32"/>
  <c r="AD6" i="32"/>
  <c r="AF6" i="32" s="1"/>
  <c r="S50" i="32"/>
  <c r="K50" i="32"/>
  <c r="Q50" i="32"/>
  <c r="I50" i="32"/>
  <c r="W50" i="32"/>
  <c r="O50" i="32"/>
  <c r="G50" i="32"/>
  <c r="U50" i="32"/>
  <c r="M50" i="32"/>
  <c r="E50" i="32"/>
  <c r="Q11" i="32"/>
  <c r="O24" i="32"/>
  <c r="W28" i="32"/>
  <c r="C11" i="32"/>
  <c r="AD38" i="32"/>
  <c r="G11" i="32"/>
  <c r="I28" i="32"/>
  <c r="I36" i="32"/>
  <c r="M28" i="32"/>
  <c r="M36" i="32"/>
  <c r="O28" i="32"/>
  <c r="O36" i="32"/>
  <c r="Q28" i="32"/>
  <c r="C28" i="32"/>
  <c r="AD30" i="32"/>
  <c r="AF30" i="32" s="1"/>
  <c r="C36" i="32"/>
  <c r="E11" i="32"/>
  <c r="I11" i="32"/>
  <c r="AD4" i="32"/>
  <c r="AF4" i="32" s="1"/>
  <c r="F50" i="40"/>
  <c r="D50" i="40"/>
  <c r="B50" i="40"/>
  <c r="F49" i="40"/>
  <c r="D49" i="40"/>
  <c r="B49" i="40"/>
  <c r="F48" i="40"/>
  <c r="D48" i="40"/>
  <c r="B48" i="40"/>
  <c r="F47" i="40"/>
  <c r="D47" i="40"/>
  <c r="B47" i="40"/>
  <c r="F46" i="40"/>
  <c r="D46" i="40"/>
  <c r="B46" i="40"/>
  <c r="A52" i="40"/>
  <c r="G50" i="40"/>
  <c r="E50" i="40"/>
  <c r="C50" i="40"/>
  <c r="A50" i="40"/>
  <c r="G49" i="40"/>
  <c r="E49" i="40"/>
  <c r="C49" i="40"/>
  <c r="A49" i="40"/>
  <c r="G48" i="40"/>
  <c r="E48" i="40"/>
  <c r="C48" i="40"/>
  <c r="A48" i="40"/>
  <c r="G47" i="40"/>
  <c r="E47" i="40"/>
  <c r="C47" i="40"/>
  <c r="A47" i="40"/>
  <c r="G46" i="40"/>
  <c r="E46" i="40"/>
  <c r="C46" i="40"/>
  <c r="A46" i="40"/>
  <c r="G45" i="40"/>
  <c r="E45" i="40"/>
  <c r="C45" i="40"/>
  <c r="A45" i="40"/>
  <c r="F45" i="40"/>
  <c r="D45" i="40"/>
  <c r="B45" i="40"/>
  <c r="AC17" i="40"/>
  <c r="A43" i="39"/>
  <c r="G41" i="39"/>
  <c r="E41" i="39"/>
  <c r="C41" i="39"/>
  <c r="A41" i="39"/>
  <c r="G40" i="39"/>
  <c r="E40" i="39"/>
  <c r="C40" i="39"/>
  <c r="A40" i="39"/>
  <c r="G39" i="39"/>
  <c r="E39" i="39"/>
  <c r="C39" i="39"/>
  <c r="A39" i="39"/>
  <c r="G38" i="39"/>
  <c r="E38" i="39"/>
  <c r="C38" i="39"/>
  <c r="A38" i="39"/>
  <c r="G37" i="39"/>
  <c r="E37" i="39"/>
  <c r="C37" i="39"/>
  <c r="A37" i="39"/>
  <c r="G36" i="39"/>
  <c r="E36" i="39"/>
  <c r="C36" i="39"/>
  <c r="A36" i="39"/>
  <c r="F41" i="39"/>
  <c r="D41" i="39"/>
  <c r="B41" i="39"/>
  <c r="F40" i="39"/>
  <c r="D40" i="39"/>
  <c r="B40" i="39"/>
  <c r="F39" i="39"/>
  <c r="D39" i="39"/>
  <c r="B39" i="39"/>
  <c r="F38" i="39"/>
  <c r="D38" i="39"/>
  <c r="B38" i="39"/>
  <c r="F37" i="39"/>
  <c r="D37" i="39"/>
  <c r="B37" i="39"/>
  <c r="F36" i="39"/>
  <c r="D36" i="39"/>
  <c r="B36" i="39"/>
  <c r="AC17" i="39"/>
  <c r="F50" i="38"/>
  <c r="D50" i="38"/>
  <c r="B50" i="38"/>
  <c r="F49" i="38"/>
  <c r="D49" i="38"/>
  <c r="B49" i="38"/>
  <c r="F48" i="38"/>
  <c r="D48" i="38"/>
  <c r="B48" i="38"/>
  <c r="F47" i="38"/>
  <c r="D47" i="38"/>
  <c r="B47" i="38"/>
  <c r="F46" i="38"/>
  <c r="D46" i="38"/>
  <c r="B46" i="38"/>
  <c r="A52" i="38"/>
  <c r="G50" i="38"/>
  <c r="E50" i="38"/>
  <c r="C50" i="38"/>
  <c r="A50" i="38"/>
  <c r="G49" i="38"/>
  <c r="E49" i="38"/>
  <c r="C49" i="38"/>
  <c r="A49" i="38"/>
  <c r="G48" i="38"/>
  <c r="E48" i="38"/>
  <c r="C48" i="38"/>
  <c r="A48" i="38"/>
  <c r="G47" i="38"/>
  <c r="E47" i="38"/>
  <c r="C47" i="38"/>
  <c r="A47" i="38"/>
  <c r="G46" i="38"/>
  <c r="E46" i="38"/>
  <c r="C46" i="38"/>
  <c r="A46" i="38"/>
  <c r="G45" i="38"/>
  <c r="E45" i="38"/>
  <c r="C45" i="38"/>
  <c r="A45" i="38"/>
  <c r="F45" i="38"/>
  <c r="D45" i="38"/>
  <c r="B45" i="38"/>
  <c r="AC17" i="38"/>
  <c r="F50" i="37"/>
  <c r="D50" i="37"/>
  <c r="B50" i="37"/>
  <c r="F49" i="37"/>
  <c r="D49" i="37"/>
  <c r="B49" i="37"/>
  <c r="F48" i="37"/>
  <c r="D48" i="37"/>
  <c r="B48" i="37"/>
  <c r="F47" i="37"/>
  <c r="D47" i="37"/>
  <c r="B47" i="37"/>
  <c r="F46" i="37"/>
  <c r="D46" i="37"/>
  <c r="B46" i="37"/>
  <c r="A52" i="37"/>
  <c r="G50" i="37"/>
  <c r="E50" i="37"/>
  <c r="C50" i="37"/>
  <c r="A50" i="37"/>
  <c r="G49" i="37"/>
  <c r="E49" i="37"/>
  <c r="C49" i="37"/>
  <c r="A49" i="37"/>
  <c r="G48" i="37"/>
  <c r="E48" i="37"/>
  <c r="C48" i="37"/>
  <c r="A48" i="37"/>
  <c r="G47" i="37"/>
  <c r="E47" i="37"/>
  <c r="C47" i="37"/>
  <c r="A47" i="37"/>
  <c r="G46" i="37"/>
  <c r="E46" i="37"/>
  <c r="A46" i="37"/>
  <c r="G45" i="37"/>
  <c r="E45" i="37"/>
  <c r="C45" i="37"/>
  <c r="A45" i="37"/>
  <c r="C46" i="37"/>
  <c r="F45" i="37"/>
  <c r="D45" i="37"/>
  <c r="B45" i="37"/>
  <c r="AC17" i="37"/>
  <c r="AD7" i="32"/>
  <c r="AF7" i="32" s="1"/>
  <c r="AD16" i="32"/>
  <c r="AF16" i="32" s="1"/>
  <c r="AD20" i="32"/>
  <c r="AF20" i="32" s="1"/>
  <c r="AD22" i="32"/>
  <c r="AF22" i="32" s="1"/>
  <c r="AD9" i="32"/>
  <c r="AF9" i="32" s="1"/>
  <c r="AD26" i="32"/>
  <c r="AF26" i="32" s="1"/>
  <c r="AD15" i="32"/>
  <c r="AF15" i="32" s="1"/>
  <c r="AD17" i="32"/>
  <c r="AD21" i="32"/>
  <c r="AF21" i="32" s="1"/>
  <c r="AD25" i="32"/>
  <c r="AD27" i="32"/>
  <c r="AF27" i="32" s="1"/>
  <c r="AD13" i="32"/>
  <c r="AD19" i="32"/>
  <c r="AF19" i="32" s="1"/>
  <c r="AD18" i="32"/>
  <c r="AF18" i="32" s="1"/>
  <c r="AD14" i="32"/>
  <c r="AF14" i="32" s="1"/>
  <c r="AD5" i="32"/>
  <c r="AF5" i="32" s="1"/>
  <c r="AD32" i="32"/>
  <c r="AF32" i="32" s="1"/>
  <c r="AC14" i="35"/>
  <c r="W62" i="32" l="1"/>
  <c r="AF25" i="32"/>
  <c r="AF28" i="32" s="1"/>
  <c r="AD59" i="32"/>
  <c r="G49" i="32"/>
  <c r="O49" i="32"/>
  <c r="I49" i="32"/>
  <c r="K49" i="32"/>
  <c r="E49" i="32"/>
  <c r="M49" i="32"/>
  <c r="M62" i="32"/>
  <c r="O62" i="32"/>
  <c r="U62" i="32"/>
  <c r="Q62" i="32"/>
  <c r="I48" i="32"/>
  <c r="K48" i="32"/>
  <c r="E48" i="32"/>
  <c r="G48" i="32"/>
  <c r="O48" i="32"/>
  <c r="M48" i="32"/>
  <c r="S49" i="32"/>
  <c r="Q49" i="32"/>
  <c r="AF17" i="32"/>
  <c r="AD24" i="32"/>
  <c r="U49" i="32"/>
  <c r="W49" i="32"/>
  <c r="W48" i="32"/>
  <c r="Q48" i="32"/>
  <c r="S48" i="32"/>
  <c r="U48" i="32"/>
  <c r="AF39" i="32"/>
  <c r="AF36" i="32"/>
  <c r="AF13" i="32"/>
  <c r="AF38" i="32"/>
  <c r="AF11" i="32"/>
  <c r="F59" i="40"/>
  <c r="D59" i="40"/>
  <c r="B59" i="40"/>
  <c r="F58" i="40"/>
  <c r="D58" i="40"/>
  <c r="B58" i="40"/>
  <c r="F57" i="40"/>
  <c r="D57" i="40"/>
  <c r="B57" i="40"/>
  <c r="F56" i="40"/>
  <c r="D56" i="40"/>
  <c r="B56" i="40"/>
  <c r="F55" i="40"/>
  <c r="D55" i="40"/>
  <c r="B55" i="40"/>
  <c r="F54" i="40"/>
  <c r="D54" i="40"/>
  <c r="B54" i="40"/>
  <c r="G59" i="40"/>
  <c r="E59" i="40"/>
  <c r="C59" i="40"/>
  <c r="A59" i="40"/>
  <c r="G58" i="40"/>
  <c r="E58" i="40"/>
  <c r="C58" i="40"/>
  <c r="A58" i="40"/>
  <c r="G57" i="40"/>
  <c r="E57" i="40"/>
  <c r="C57" i="40"/>
  <c r="A57" i="40"/>
  <c r="G56" i="40"/>
  <c r="E56" i="40"/>
  <c r="C56" i="40"/>
  <c r="A56" i="40"/>
  <c r="G55" i="40"/>
  <c r="E55" i="40"/>
  <c r="C55" i="40"/>
  <c r="A55" i="40"/>
  <c r="G54" i="40"/>
  <c r="E54" i="40"/>
  <c r="C54" i="40"/>
  <c r="A54" i="40"/>
  <c r="Q7" i="40"/>
  <c r="F50" i="39"/>
  <c r="D50" i="39"/>
  <c r="B50" i="39"/>
  <c r="F49" i="39"/>
  <c r="D49" i="39"/>
  <c r="B49" i="39"/>
  <c r="F48" i="39"/>
  <c r="D48" i="39"/>
  <c r="B48" i="39"/>
  <c r="F47" i="39"/>
  <c r="D47" i="39"/>
  <c r="B47" i="39"/>
  <c r="F46" i="39"/>
  <c r="D46" i="39"/>
  <c r="B46" i="39"/>
  <c r="A52" i="39"/>
  <c r="G50" i="39"/>
  <c r="E50" i="39"/>
  <c r="C50" i="39"/>
  <c r="A50" i="39"/>
  <c r="G49" i="39"/>
  <c r="E49" i="39"/>
  <c r="C49" i="39"/>
  <c r="A49" i="39"/>
  <c r="G48" i="39"/>
  <c r="E48" i="39"/>
  <c r="C48" i="39"/>
  <c r="A48" i="39"/>
  <c r="G47" i="39"/>
  <c r="E47" i="39"/>
  <c r="C47" i="39"/>
  <c r="A47" i="39"/>
  <c r="G46" i="39"/>
  <c r="E46" i="39"/>
  <c r="C46" i="39"/>
  <c r="A46" i="39"/>
  <c r="G45" i="39"/>
  <c r="E45" i="39"/>
  <c r="C45" i="39"/>
  <c r="A45" i="39"/>
  <c r="F45" i="39"/>
  <c r="D45" i="39"/>
  <c r="B45" i="39"/>
  <c r="F59" i="38"/>
  <c r="D59" i="38"/>
  <c r="B59" i="38"/>
  <c r="F58" i="38"/>
  <c r="D58" i="38"/>
  <c r="B58" i="38"/>
  <c r="F57" i="38"/>
  <c r="D57" i="38"/>
  <c r="B57" i="38"/>
  <c r="F56" i="38"/>
  <c r="D56" i="38"/>
  <c r="B56" i="38"/>
  <c r="F55" i="38"/>
  <c r="D55" i="38"/>
  <c r="B55" i="38"/>
  <c r="F54" i="38"/>
  <c r="D54" i="38"/>
  <c r="B54" i="38"/>
  <c r="G59" i="38"/>
  <c r="E59" i="38"/>
  <c r="C59" i="38"/>
  <c r="A59" i="38"/>
  <c r="G58" i="38"/>
  <c r="E58" i="38"/>
  <c r="C58" i="38"/>
  <c r="A58" i="38"/>
  <c r="G57" i="38"/>
  <c r="E57" i="38"/>
  <c r="C57" i="38"/>
  <c r="A57" i="38"/>
  <c r="G56" i="38"/>
  <c r="E56" i="38"/>
  <c r="C56" i="38"/>
  <c r="A56" i="38"/>
  <c r="G55" i="38"/>
  <c r="E55" i="38"/>
  <c r="C55" i="38"/>
  <c r="A55" i="38"/>
  <c r="G54" i="38"/>
  <c r="E54" i="38"/>
  <c r="C54" i="38"/>
  <c r="A54" i="38"/>
  <c r="Q7" i="38"/>
  <c r="F59" i="37"/>
  <c r="D59" i="37"/>
  <c r="B59" i="37"/>
  <c r="F58" i="37"/>
  <c r="D58" i="37"/>
  <c r="B58" i="37"/>
  <c r="F57" i="37"/>
  <c r="D57" i="37"/>
  <c r="B57" i="37"/>
  <c r="F56" i="37"/>
  <c r="D56" i="37"/>
  <c r="B56" i="37"/>
  <c r="F55" i="37"/>
  <c r="D55" i="37"/>
  <c r="B55" i="37"/>
  <c r="F54" i="37"/>
  <c r="D54" i="37"/>
  <c r="B54" i="37"/>
  <c r="G59" i="37"/>
  <c r="E59" i="37"/>
  <c r="C59" i="37"/>
  <c r="A59" i="37"/>
  <c r="G58" i="37"/>
  <c r="E58" i="37"/>
  <c r="C58" i="37"/>
  <c r="A58" i="37"/>
  <c r="G57" i="37"/>
  <c r="E57" i="37"/>
  <c r="C57" i="37"/>
  <c r="A57" i="37"/>
  <c r="G56" i="37"/>
  <c r="E56" i="37"/>
  <c r="C56" i="37"/>
  <c r="A56" i="37"/>
  <c r="G55" i="37"/>
  <c r="E55" i="37"/>
  <c r="C55" i="37"/>
  <c r="A55" i="37"/>
  <c r="G54" i="37"/>
  <c r="E54" i="37"/>
  <c r="C54" i="37"/>
  <c r="A54" i="37"/>
  <c r="Q7" i="37"/>
  <c r="AF41" i="32" l="1"/>
  <c r="AF24" i="32"/>
  <c r="AG28" i="32" s="1"/>
  <c r="W14" i="40"/>
  <c r="U14" i="40"/>
  <c r="S14" i="40"/>
  <c r="Q14" i="40"/>
  <c r="V13" i="40"/>
  <c r="T13" i="40"/>
  <c r="R13" i="40"/>
  <c r="W12" i="40"/>
  <c r="U12" i="40"/>
  <c r="S12" i="40"/>
  <c r="Q12" i="40"/>
  <c r="V11" i="40"/>
  <c r="T11" i="40"/>
  <c r="R11" i="40"/>
  <c r="W10" i="40"/>
  <c r="U10" i="40"/>
  <c r="S10" i="40"/>
  <c r="Q10" i="40"/>
  <c r="V9" i="40"/>
  <c r="T9" i="40"/>
  <c r="R9" i="40"/>
  <c r="Q16" i="40"/>
  <c r="V14" i="40"/>
  <c r="T14" i="40"/>
  <c r="R14" i="40"/>
  <c r="W13" i="40"/>
  <c r="U13" i="40"/>
  <c r="S13" i="40"/>
  <c r="Q13" i="40"/>
  <c r="V12" i="40"/>
  <c r="T12" i="40"/>
  <c r="R12" i="40"/>
  <c r="W11" i="40"/>
  <c r="U11" i="40"/>
  <c r="S11" i="40"/>
  <c r="Q11" i="40"/>
  <c r="V10" i="40"/>
  <c r="T10" i="40"/>
  <c r="R10" i="40"/>
  <c r="W9" i="40"/>
  <c r="U9" i="40"/>
  <c r="S9" i="40"/>
  <c r="Q9" i="40"/>
  <c r="F59" i="39"/>
  <c r="D59" i="39"/>
  <c r="B59" i="39"/>
  <c r="F58" i="39"/>
  <c r="D58" i="39"/>
  <c r="B58" i="39"/>
  <c r="F57" i="39"/>
  <c r="D57" i="39"/>
  <c r="B57" i="39"/>
  <c r="F56" i="39"/>
  <c r="D56" i="39"/>
  <c r="B56" i="39"/>
  <c r="F55" i="39"/>
  <c r="D55" i="39"/>
  <c r="B55" i="39"/>
  <c r="F54" i="39"/>
  <c r="D54" i="39"/>
  <c r="B54" i="39"/>
  <c r="G59" i="39"/>
  <c r="E59" i="39"/>
  <c r="C59" i="39"/>
  <c r="A59" i="39"/>
  <c r="G58" i="39"/>
  <c r="E58" i="39"/>
  <c r="C58" i="39"/>
  <c r="A58" i="39"/>
  <c r="G57" i="39"/>
  <c r="E57" i="39"/>
  <c r="C57" i="39"/>
  <c r="A57" i="39"/>
  <c r="G56" i="39"/>
  <c r="E56" i="39"/>
  <c r="C56" i="39"/>
  <c r="A56" i="39"/>
  <c r="G55" i="39"/>
  <c r="E55" i="39"/>
  <c r="C55" i="39"/>
  <c r="A55" i="39"/>
  <c r="G54" i="39"/>
  <c r="E54" i="39"/>
  <c r="C54" i="39"/>
  <c r="A54" i="39"/>
  <c r="Q7" i="39"/>
  <c r="W14" i="38"/>
  <c r="U14" i="38"/>
  <c r="S14" i="38"/>
  <c r="Q14" i="38"/>
  <c r="V13" i="38"/>
  <c r="T13" i="38"/>
  <c r="R13" i="38"/>
  <c r="W12" i="38"/>
  <c r="U12" i="38"/>
  <c r="S12" i="38"/>
  <c r="Q12" i="38"/>
  <c r="V11" i="38"/>
  <c r="T11" i="38"/>
  <c r="R11" i="38"/>
  <c r="W10" i="38"/>
  <c r="U10" i="38"/>
  <c r="S10" i="38"/>
  <c r="Q10" i="38"/>
  <c r="V9" i="38"/>
  <c r="T9" i="38"/>
  <c r="R9" i="38"/>
  <c r="Q16" i="38"/>
  <c r="V14" i="38"/>
  <c r="T14" i="38"/>
  <c r="R14" i="38"/>
  <c r="W13" i="38"/>
  <c r="U13" i="38"/>
  <c r="S13" i="38"/>
  <c r="Q13" i="38"/>
  <c r="V12" i="38"/>
  <c r="T12" i="38"/>
  <c r="R12" i="38"/>
  <c r="W11" i="38"/>
  <c r="U11" i="38"/>
  <c r="S11" i="38"/>
  <c r="Q11" i="38"/>
  <c r="V10" i="38"/>
  <c r="T10" i="38"/>
  <c r="R10" i="38"/>
  <c r="W9" i="38"/>
  <c r="U9" i="38"/>
  <c r="S9" i="38"/>
  <c r="Q9" i="38"/>
  <c r="W14" i="37"/>
  <c r="U14" i="37"/>
  <c r="S14" i="37"/>
  <c r="Q14" i="37"/>
  <c r="V13" i="37"/>
  <c r="T13" i="37"/>
  <c r="R13" i="37"/>
  <c r="W12" i="37"/>
  <c r="U12" i="37"/>
  <c r="S12" i="37"/>
  <c r="Q12" i="37"/>
  <c r="V11" i="37"/>
  <c r="T11" i="37"/>
  <c r="R11" i="37"/>
  <c r="W10" i="37"/>
  <c r="U10" i="37"/>
  <c r="S10" i="37"/>
  <c r="Q10" i="37"/>
  <c r="V9" i="37"/>
  <c r="T9" i="37"/>
  <c r="R9" i="37"/>
  <c r="Q16" i="37"/>
  <c r="T14" i="37"/>
  <c r="W13" i="37"/>
  <c r="S13" i="37"/>
  <c r="V12" i="37"/>
  <c r="R12" i="37"/>
  <c r="U11" i="37"/>
  <c r="Q11" i="37"/>
  <c r="T10" i="37"/>
  <c r="W9" i="37"/>
  <c r="S9" i="37"/>
  <c r="V14" i="37"/>
  <c r="R14" i="37"/>
  <c r="U13" i="37"/>
  <c r="Q13" i="37"/>
  <c r="T12" i="37"/>
  <c r="W11" i="37"/>
  <c r="S11" i="37"/>
  <c r="V10" i="37"/>
  <c r="R10" i="37"/>
  <c r="U9" i="37"/>
  <c r="Q9" i="37"/>
  <c r="AC21" i="35"/>
  <c r="AC20" i="35"/>
  <c r="AC26" i="35"/>
  <c r="AC27" i="35"/>
  <c r="AC25" i="35"/>
  <c r="C10" i="35"/>
  <c r="Q25" i="40" l="1"/>
  <c r="V23" i="40"/>
  <c r="T23" i="40"/>
  <c r="R23" i="40"/>
  <c r="V22" i="40"/>
  <c r="T22" i="40"/>
  <c r="R22" i="40"/>
  <c r="W21" i="40"/>
  <c r="U21" i="40"/>
  <c r="S21" i="40"/>
  <c r="Q21" i="40"/>
  <c r="V20" i="40"/>
  <c r="T20" i="40"/>
  <c r="R20" i="40"/>
  <c r="W19" i="40"/>
  <c r="U19" i="40"/>
  <c r="S19" i="40"/>
  <c r="Q19" i="40"/>
  <c r="V18" i="40"/>
  <c r="T18" i="40"/>
  <c r="R18" i="40"/>
  <c r="W23" i="40"/>
  <c r="U23" i="40"/>
  <c r="S23" i="40"/>
  <c r="Q23" i="40"/>
  <c r="W22" i="40"/>
  <c r="U22" i="40"/>
  <c r="S22" i="40"/>
  <c r="Q22" i="40"/>
  <c r="V21" i="40"/>
  <c r="T21" i="40"/>
  <c r="R21" i="40"/>
  <c r="W20" i="40"/>
  <c r="U20" i="40"/>
  <c r="S20" i="40"/>
  <c r="Q20" i="40"/>
  <c r="V19" i="40"/>
  <c r="T19" i="40"/>
  <c r="R19" i="40"/>
  <c r="W18" i="40"/>
  <c r="U18" i="40"/>
  <c r="S18" i="40"/>
  <c r="Q18" i="40"/>
  <c r="Q16" i="39"/>
  <c r="V14" i="39"/>
  <c r="T14" i="39"/>
  <c r="R14" i="39"/>
  <c r="W13" i="39"/>
  <c r="U13" i="39"/>
  <c r="S13" i="39"/>
  <c r="Q13" i="39"/>
  <c r="V12" i="39"/>
  <c r="T12" i="39"/>
  <c r="R12" i="39"/>
  <c r="W11" i="39"/>
  <c r="U11" i="39"/>
  <c r="S11" i="39"/>
  <c r="Q11" i="39"/>
  <c r="V10" i="39"/>
  <c r="T10" i="39"/>
  <c r="R10" i="39"/>
  <c r="W9" i="39"/>
  <c r="U9" i="39"/>
  <c r="S9" i="39"/>
  <c r="Q9" i="39"/>
  <c r="W14" i="39"/>
  <c r="U14" i="39"/>
  <c r="S14" i="39"/>
  <c r="Q14" i="39"/>
  <c r="V13" i="39"/>
  <c r="T13" i="39"/>
  <c r="R13" i="39"/>
  <c r="W12" i="39"/>
  <c r="U12" i="39"/>
  <c r="S12" i="39"/>
  <c r="Q12" i="39"/>
  <c r="V11" i="39"/>
  <c r="T11" i="39"/>
  <c r="R11" i="39"/>
  <c r="W10" i="39"/>
  <c r="U10" i="39"/>
  <c r="S10" i="39"/>
  <c r="Q10" i="39"/>
  <c r="V9" i="39"/>
  <c r="T9" i="39"/>
  <c r="R9" i="39"/>
  <c r="Q25" i="38"/>
  <c r="V23" i="38"/>
  <c r="T23" i="38"/>
  <c r="R23" i="38"/>
  <c r="V22" i="38"/>
  <c r="T22" i="38"/>
  <c r="R22" i="38"/>
  <c r="W21" i="38"/>
  <c r="U21" i="38"/>
  <c r="S21" i="38"/>
  <c r="Q21" i="38"/>
  <c r="V20" i="38"/>
  <c r="T20" i="38"/>
  <c r="R20" i="38"/>
  <c r="W19" i="38"/>
  <c r="U19" i="38"/>
  <c r="S19" i="38"/>
  <c r="Q19" i="38"/>
  <c r="V18" i="38"/>
  <c r="T18" i="38"/>
  <c r="R18" i="38"/>
  <c r="W23" i="38"/>
  <c r="U23" i="38"/>
  <c r="S23" i="38"/>
  <c r="Q23" i="38"/>
  <c r="W22" i="38"/>
  <c r="U22" i="38"/>
  <c r="S22" i="38"/>
  <c r="Q22" i="38"/>
  <c r="V21" i="38"/>
  <c r="T21" i="38"/>
  <c r="R21" i="38"/>
  <c r="W20" i="38"/>
  <c r="U20" i="38"/>
  <c r="S20" i="38"/>
  <c r="Q20" i="38"/>
  <c r="V19" i="38"/>
  <c r="T19" i="38"/>
  <c r="R19" i="38"/>
  <c r="W18" i="38"/>
  <c r="U18" i="38"/>
  <c r="S18" i="38"/>
  <c r="Q18" i="38"/>
  <c r="Q25" i="37"/>
  <c r="V23" i="37"/>
  <c r="T23" i="37"/>
  <c r="R23" i="37"/>
  <c r="V22" i="37"/>
  <c r="T22" i="37"/>
  <c r="R22" i="37"/>
  <c r="W21" i="37"/>
  <c r="U21" i="37"/>
  <c r="S21" i="37"/>
  <c r="Q21" i="37"/>
  <c r="V20" i="37"/>
  <c r="T20" i="37"/>
  <c r="R20" i="37"/>
  <c r="W19" i="37"/>
  <c r="U19" i="37"/>
  <c r="S19" i="37"/>
  <c r="Q19" i="37"/>
  <c r="V18" i="37"/>
  <c r="T18" i="37"/>
  <c r="R18" i="37"/>
  <c r="V21" i="37"/>
  <c r="T21" i="37"/>
  <c r="R21" i="37"/>
  <c r="W20" i="37"/>
  <c r="U20" i="37"/>
  <c r="S20" i="37"/>
  <c r="Q20" i="37"/>
  <c r="V19" i="37"/>
  <c r="T19" i="37"/>
  <c r="R19" i="37"/>
  <c r="W18" i="37"/>
  <c r="U18" i="37"/>
  <c r="S18" i="37"/>
  <c r="Q18" i="37"/>
  <c r="W23" i="37"/>
  <c r="U23" i="37"/>
  <c r="S23" i="37"/>
  <c r="Q23" i="37"/>
  <c r="W22" i="37"/>
  <c r="U22" i="37"/>
  <c r="S22" i="37"/>
  <c r="Q22" i="37"/>
  <c r="AC29" i="35"/>
  <c r="AC19" i="35"/>
  <c r="G8" i="35"/>
  <c r="G26" i="35" s="1"/>
  <c r="F8" i="35"/>
  <c r="E8" i="35"/>
  <c r="E26" i="35" s="1"/>
  <c r="D8" i="35"/>
  <c r="C8" i="35"/>
  <c r="C26" i="35" s="1"/>
  <c r="B8" i="35"/>
  <c r="A8" i="35"/>
  <c r="A26" i="35" s="1"/>
  <c r="A7" i="35"/>
  <c r="A16" i="35" s="1"/>
  <c r="V32" i="40" l="1"/>
  <c r="T32" i="40"/>
  <c r="R32" i="40"/>
  <c r="V31" i="40"/>
  <c r="T31" i="40"/>
  <c r="R31" i="40"/>
  <c r="V30" i="40"/>
  <c r="T30" i="40"/>
  <c r="R30" i="40"/>
  <c r="W29" i="40"/>
  <c r="Q34" i="40"/>
  <c r="W32" i="40"/>
  <c r="U32" i="40"/>
  <c r="S32" i="40"/>
  <c r="Q32" i="40"/>
  <c r="W31" i="40"/>
  <c r="U31" i="40"/>
  <c r="S31" i="40"/>
  <c r="Q31" i="40"/>
  <c r="W30" i="40"/>
  <c r="U30" i="40"/>
  <c r="S30" i="40"/>
  <c r="Q30" i="40"/>
  <c r="V29" i="40"/>
  <c r="T29" i="40"/>
  <c r="R29" i="40"/>
  <c r="V28" i="40"/>
  <c r="T28" i="40"/>
  <c r="R28" i="40"/>
  <c r="W27" i="40"/>
  <c r="U27" i="40"/>
  <c r="S27" i="40"/>
  <c r="Q27" i="40"/>
  <c r="U29" i="40"/>
  <c r="S29" i="40"/>
  <c r="Q29" i="40"/>
  <c r="W28" i="40"/>
  <c r="U28" i="40"/>
  <c r="S28" i="40"/>
  <c r="Q28" i="40"/>
  <c r="V27" i="40"/>
  <c r="T27" i="40"/>
  <c r="R27" i="40"/>
  <c r="W23" i="39"/>
  <c r="U23" i="39"/>
  <c r="S23" i="39"/>
  <c r="Q23" i="39"/>
  <c r="W22" i="39"/>
  <c r="U22" i="39"/>
  <c r="S22" i="39"/>
  <c r="Q22" i="39"/>
  <c r="V21" i="39"/>
  <c r="T21" i="39"/>
  <c r="R21" i="39"/>
  <c r="W20" i="39"/>
  <c r="U20" i="39"/>
  <c r="S20" i="39"/>
  <c r="Q20" i="39"/>
  <c r="V19" i="39"/>
  <c r="T19" i="39"/>
  <c r="R19" i="39"/>
  <c r="W18" i="39"/>
  <c r="U18" i="39"/>
  <c r="S18" i="39"/>
  <c r="Q18" i="39"/>
  <c r="Q25" i="39"/>
  <c r="V23" i="39"/>
  <c r="T23" i="39"/>
  <c r="R23" i="39"/>
  <c r="V22" i="39"/>
  <c r="T22" i="39"/>
  <c r="R22" i="39"/>
  <c r="W21" i="39"/>
  <c r="U21" i="39"/>
  <c r="S21" i="39"/>
  <c r="Q21" i="39"/>
  <c r="V20" i="39"/>
  <c r="T20" i="39"/>
  <c r="R20" i="39"/>
  <c r="W19" i="39"/>
  <c r="U19" i="39"/>
  <c r="S19" i="39"/>
  <c r="Q19" i="39"/>
  <c r="V18" i="39"/>
  <c r="T18" i="39"/>
  <c r="R18" i="39"/>
  <c r="V32" i="38"/>
  <c r="T32" i="38"/>
  <c r="R32" i="38"/>
  <c r="V31" i="38"/>
  <c r="T31" i="38"/>
  <c r="R31" i="38"/>
  <c r="V30" i="38"/>
  <c r="T30" i="38"/>
  <c r="R30" i="38"/>
  <c r="Q34" i="38"/>
  <c r="W32" i="38"/>
  <c r="U32" i="38"/>
  <c r="S32" i="38"/>
  <c r="Q32" i="38"/>
  <c r="W31" i="38"/>
  <c r="U31" i="38"/>
  <c r="S31" i="38"/>
  <c r="Q31" i="38"/>
  <c r="W30" i="38"/>
  <c r="U30" i="38"/>
  <c r="S30" i="38"/>
  <c r="Q30" i="38"/>
  <c r="V29" i="38"/>
  <c r="T29" i="38"/>
  <c r="R29" i="38"/>
  <c r="V28" i="38"/>
  <c r="T28" i="38"/>
  <c r="R28" i="38"/>
  <c r="W27" i="38"/>
  <c r="U27" i="38"/>
  <c r="S27" i="38"/>
  <c r="Q27" i="38"/>
  <c r="W29" i="38"/>
  <c r="U29" i="38"/>
  <c r="S29" i="38"/>
  <c r="Q29" i="38"/>
  <c r="W28" i="38"/>
  <c r="U28" i="38"/>
  <c r="S28" i="38"/>
  <c r="Q28" i="38"/>
  <c r="V27" i="38"/>
  <c r="T27" i="38"/>
  <c r="R27" i="38"/>
  <c r="V32" i="37"/>
  <c r="T32" i="37"/>
  <c r="R32" i="37"/>
  <c r="V31" i="37"/>
  <c r="T31" i="37"/>
  <c r="R31" i="37"/>
  <c r="V30" i="37"/>
  <c r="T30" i="37"/>
  <c r="R30" i="37"/>
  <c r="Q34" i="37"/>
  <c r="W32" i="37"/>
  <c r="U32" i="37"/>
  <c r="S32" i="37"/>
  <c r="Q32" i="37"/>
  <c r="W31" i="37"/>
  <c r="U31" i="37"/>
  <c r="S31" i="37"/>
  <c r="Q31" i="37"/>
  <c r="W30" i="37"/>
  <c r="U30" i="37"/>
  <c r="S30" i="37"/>
  <c r="Q30" i="37"/>
  <c r="V29" i="37"/>
  <c r="T29" i="37"/>
  <c r="R29" i="37"/>
  <c r="V28" i="37"/>
  <c r="T28" i="37"/>
  <c r="R28" i="37"/>
  <c r="W27" i="37"/>
  <c r="U27" i="37"/>
  <c r="S27" i="37"/>
  <c r="Q27" i="37"/>
  <c r="W29" i="37"/>
  <c r="U29" i="37"/>
  <c r="S29" i="37"/>
  <c r="Q29" i="37"/>
  <c r="W28" i="37"/>
  <c r="U28" i="37"/>
  <c r="S28" i="37"/>
  <c r="Q28" i="37"/>
  <c r="V27" i="37"/>
  <c r="T27" i="37"/>
  <c r="R27" i="37"/>
  <c r="G23" i="35"/>
  <c r="E23" i="35"/>
  <c r="C23" i="35"/>
  <c r="A23" i="35"/>
  <c r="G22" i="35"/>
  <c r="E22" i="35"/>
  <c r="C22" i="35"/>
  <c r="A22" i="35"/>
  <c r="F21" i="35"/>
  <c r="D21" i="35"/>
  <c r="B21" i="35"/>
  <c r="G20" i="35"/>
  <c r="E20" i="35"/>
  <c r="C20" i="35"/>
  <c r="A20" i="35"/>
  <c r="F19" i="35"/>
  <c r="D19" i="35"/>
  <c r="B19" i="35"/>
  <c r="G18" i="35"/>
  <c r="E18" i="35"/>
  <c r="C18" i="35"/>
  <c r="A18" i="35"/>
  <c r="A25" i="35"/>
  <c r="F23" i="35"/>
  <c r="D23" i="35"/>
  <c r="B23" i="35"/>
  <c r="F22" i="35"/>
  <c r="D22" i="35"/>
  <c r="B22" i="35"/>
  <c r="G21" i="35"/>
  <c r="E21" i="35"/>
  <c r="C21" i="35"/>
  <c r="A21" i="35"/>
  <c r="F20" i="35"/>
  <c r="D20" i="35"/>
  <c r="B20" i="35"/>
  <c r="G19" i="35"/>
  <c r="E19" i="35"/>
  <c r="C19" i="35"/>
  <c r="A19" i="35"/>
  <c r="F18" i="35"/>
  <c r="D18" i="35"/>
  <c r="B18" i="35"/>
  <c r="B53" i="35"/>
  <c r="R53" i="35"/>
  <c r="B44" i="35"/>
  <c r="B35" i="35"/>
  <c r="R44" i="35"/>
  <c r="R35" i="35"/>
  <c r="D53" i="35"/>
  <c r="T53" i="35"/>
  <c r="D44" i="35"/>
  <c r="D35" i="35"/>
  <c r="T44" i="35"/>
  <c r="T35" i="35"/>
  <c r="F53" i="35"/>
  <c r="V53" i="35"/>
  <c r="F44" i="35"/>
  <c r="F35" i="35"/>
  <c r="V44" i="35"/>
  <c r="V35" i="35"/>
  <c r="Q8" i="35"/>
  <c r="S8" i="35"/>
  <c r="U8" i="35"/>
  <c r="W8" i="35"/>
  <c r="B9" i="35"/>
  <c r="D9" i="35"/>
  <c r="F9" i="35"/>
  <c r="A10" i="35"/>
  <c r="E10" i="35"/>
  <c r="G10" i="35"/>
  <c r="B11" i="35"/>
  <c r="D11" i="35"/>
  <c r="F11" i="35"/>
  <c r="A12" i="35"/>
  <c r="C12" i="35"/>
  <c r="E12" i="35"/>
  <c r="G12" i="35"/>
  <c r="B13" i="35"/>
  <c r="D13" i="35"/>
  <c r="F13" i="35"/>
  <c r="A14" i="35"/>
  <c r="C14" i="35"/>
  <c r="E14" i="35"/>
  <c r="G14" i="35"/>
  <c r="A17" i="35"/>
  <c r="C17" i="35"/>
  <c r="E17" i="35"/>
  <c r="G17" i="35"/>
  <c r="R17" i="35"/>
  <c r="T17" i="35"/>
  <c r="V17" i="35"/>
  <c r="R26" i="35"/>
  <c r="T26" i="35"/>
  <c r="V26" i="35"/>
  <c r="Q53" i="35"/>
  <c r="A53" i="35"/>
  <c r="Q44" i="35"/>
  <c r="Q35" i="35"/>
  <c r="A44" i="35"/>
  <c r="A35" i="35"/>
  <c r="S53" i="35"/>
  <c r="C53" i="35"/>
  <c r="S44" i="35"/>
  <c r="S35" i="35"/>
  <c r="C44" i="35"/>
  <c r="C35" i="35"/>
  <c r="U53" i="35"/>
  <c r="E53" i="35"/>
  <c r="U44" i="35"/>
  <c r="U35" i="35"/>
  <c r="E44" i="35"/>
  <c r="E35" i="35"/>
  <c r="W53" i="35"/>
  <c r="G53" i="35"/>
  <c r="W44" i="35"/>
  <c r="W35" i="35"/>
  <c r="G44" i="35"/>
  <c r="G35" i="35"/>
  <c r="R8" i="35"/>
  <c r="T8" i="35"/>
  <c r="V8" i="35"/>
  <c r="A9" i="35"/>
  <c r="C9" i="35"/>
  <c r="E9" i="35"/>
  <c r="G9" i="35"/>
  <c r="B10" i="35"/>
  <c r="D10" i="35"/>
  <c r="F10" i="35"/>
  <c r="A11" i="35"/>
  <c r="C11" i="35"/>
  <c r="E11" i="35"/>
  <c r="G11" i="35"/>
  <c r="B12" i="35"/>
  <c r="D12" i="35"/>
  <c r="F12" i="35"/>
  <c r="A13" i="35"/>
  <c r="C13" i="35"/>
  <c r="E13" i="35"/>
  <c r="G13" i="35"/>
  <c r="B14" i="35"/>
  <c r="D14" i="35"/>
  <c r="F14" i="35"/>
  <c r="B17" i="35"/>
  <c r="D17" i="35"/>
  <c r="F17" i="35"/>
  <c r="Q17" i="35"/>
  <c r="S17" i="35"/>
  <c r="U17" i="35"/>
  <c r="W17" i="35"/>
  <c r="B26" i="35"/>
  <c r="D26" i="35"/>
  <c r="F26" i="35"/>
  <c r="Q26" i="35"/>
  <c r="S26" i="35"/>
  <c r="U26" i="35"/>
  <c r="W26" i="35"/>
  <c r="F39" i="5"/>
  <c r="B49" i="5"/>
  <c r="V41" i="40" l="1"/>
  <c r="T41" i="40"/>
  <c r="R41" i="40"/>
  <c r="V40" i="40"/>
  <c r="T40" i="40"/>
  <c r="R40" i="40"/>
  <c r="V39" i="40"/>
  <c r="T39" i="40"/>
  <c r="R39" i="40"/>
  <c r="V38" i="40"/>
  <c r="T38" i="40"/>
  <c r="R38" i="40"/>
  <c r="V37" i="40"/>
  <c r="T37" i="40"/>
  <c r="R37" i="40"/>
  <c r="V36" i="40"/>
  <c r="T36" i="40"/>
  <c r="R36" i="40"/>
  <c r="Q43" i="40"/>
  <c r="W41" i="40"/>
  <c r="U41" i="40"/>
  <c r="S41" i="40"/>
  <c r="Q41" i="40"/>
  <c r="W40" i="40"/>
  <c r="U40" i="40"/>
  <c r="S40" i="40"/>
  <c r="Q40" i="40"/>
  <c r="W39" i="40"/>
  <c r="U39" i="40"/>
  <c r="S39" i="40"/>
  <c r="Q39" i="40"/>
  <c r="W38" i="40"/>
  <c r="U38" i="40"/>
  <c r="S38" i="40"/>
  <c r="Q38" i="40"/>
  <c r="W37" i="40"/>
  <c r="U37" i="40"/>
  <c r="S37" i="40"/>
  <c r="Q37" i="40"/>
  <c r="W36" i="40"/>
  <c r="U36" i="40"/>
  <c r="S36" i="40"/>
  <c r="Q36" i="40"/>
  <c r="V32" i="39"/>
  <c r="T32" i="39"/>
  <c r="R32" i="39"/>
  <c r="V31" i="39"/>
  <c r="T31" i="39"/>
  <c r="R31" i="39"/>
  <c r="V30" i="39"/>
  <c r="T30" i="39"/>
  <c r="R30" i="39"/>
  <c r="Q34" i="39"/>
  <c r="W32" i="39"/>
  <c r="U32" i="39"/>
  <c r="S32" i="39"/>
  <c r="Q32" i="39"/>
  <c r="W31" i="39"/>
  <c r="U31" i="39"/>
  <c r="S31" i="39"/>
  <c r="Q31" i="39"/>
  <c r="W30" i="39"/>
  <c r="U30" i="39"/>
  <c r="S30" i="39"/>
  <c r="Q30" i="39"/>
  <c r="W29" i="39"/>
  <c r="U29" i="39"/>
  <c r="S29" i="39"/>
  <c r="Q29" i="39"/>
  <c r="W28" i="39"/>
  <c r="U28" i="39"/>
  <c r="S28" i="39"/>
  <c r="Q28" i="39"/>
  <c r="V27" i="39"/>
  <c r="T27" i="39"/>
  <c r="R27" i="39"/>
  <c r="V29" i="39"/>
  <c r="T29" i="39"/>
  <c r="R29" i="39"/>
  <c r="V28" i="39"/>
  <c r="T28" i="39"/>
  <c r="R28" i="39"/>
  <c r="W27" i="39"/>
  <c r="U27" i="39"/>
  <c r="S27" i="39"/>
  <c r="Q27" i="39"/>
  <c r="V41" i="38"/>
  <c r="T41" i="38"/>
  <c r="R41" i="38"/>
  <c r="V40" i="38"/>
  <c r="T40" i="38"/>
  <c r="R40" i="38"/>
  <c r="V39" i="38"/>
  <c r="T39" i="38"/>
  <c r="R39" i="38"/>
  <c r="V38" i="38"/>
  <c r="T38" i="38"/>
  <c r="R38" i="38"/>
  <c r="V37" i="38"/>
  <c r="T37" i="38"/>
  <c r="R37" i="38"/>
  <c r="V36" i="38"/>
  <c r="T36" i="38"/>
  <c r="R36" i="38"/>
  <c r="Q43" i="38"/>
  <c r="W41" i="38"/>
  <c r="U41" i="38"/>
  <c r="S41" i="38"/>
  <c r="Q41" i="38"/>
  <c r="W40" i="38"/>
  <c r="U40" i="38"/>
  <c r="S40" i="38"/>
  <c r="Q40" i="38"/>
  <c r="W39" i="38"/>
  <c r="U39" i="38"/>
  <c r="S39" i="38"/>
  <c r="Q39" i="38"/>
  <c r="W38" i="38"/>
  <c r="U38" i="38"/>
  <c r="S38" i="38"/>
  <c r="Q38" i="38"/>
  <c r="W37" i="38"/>
  <c r="U37" i="38"/>
  <c r="S37" i="38"/>
  <c r="Q37" i="38"/>
  <c r="W36" i="38"/>
  <c r="U36" i="38"/>
  <c r="S36" i="38"/>
  <c r="Q36" i="38"/>
  <c r="V41" i="37"/>
  <c r="T41" i="37"/>
  <c r="R41" i="37"/>
  <c r="V40" i="37"/>
  <c r="T40" i="37"/>
  <c r="R40" i="37"/>
  <c r="V39" i="37"/>
  <c r="T39" i="37"/>
  <c r="R39" i="37"/>
  <c r="V38" i="37"/>
  <c r="T38" i="37"/>
  <c r="R38" i="37"/>
  <c r="V37" i="37"/>
  <c r="T37" i="37"/>
  <c r="R37" i="37"/>
  <c r="V36" i="37"/>
  <c r="T36" i="37"/>
  <c r="R36" i="37"/>
  <c r="Q43" i="37"/>
  <c r="W41" i="37"/>
  <c r="U41" i="37"/>
  <c r="S41" i="37"/>
  <c r="Q41" i="37"/>
  <c r="W40" i="37"/>
  <c r="U40" i="37"/>
  <c r="S40" i="37"/>
  <c r="Q40" i="37"/>
  <c r="W39" i="37"/>
  <c r="U39" i="37"/>
  <c r="S39" i="37"/>
  <c r="Q39" i="37"/>
  <c r="W38" i="37"/>
  <c r="U38" i="37"/>
  <c r="S38" i="37"/>
  <c r="Q38" i="37"/>
  <c r="W37" i="37"/>
  <c r="U37" i="37"/>
  <c r="S37" i="37"/>
  <c r="Q37" i="37"/>
  <c r="W36" i="37"/>
  <c r="U36" i="37"/>
  <c r="S36" i="37"/>
  <c r="Q36" i="37"/>
  <c r="F32" i="35"/>
  <c r="D32" i="35"/>
  <c r="B32" i="35"/>
  <c r="F31" i="35"/>
  <c r="D31" i="35"/>
  <c r="B31" i="35"/>
  <c r="F30" i="35"/>
  <c r="D30" i="35"/>
  <c r="B30" i="35"/>
  <c r="A34" i="35"/>
  <c r="G32" i="35"/>
  <c r="E32" i="35"/>
  <c r="C32" i="35"/>
  <c r="A32" i="35"/>
  <c r="G31" i="35"/>
  <c r="E31" i="35"/>
  <c r="C31" i="35"/>
  <c r="A31" i="35"/>
  <c r="G30" i="35"/>
  <c r="E30" i="35"/>
  <c r="C30" i="35"/>
  <c r="A30" i="35"/>
  <c r="F29" i="35"/>
  <c r="D29" i="35"/>
  <c r="B29" i="35"/>
  <c r="F28" i="35"/>
  <c r="D28" i="35"/>
  <c r="B28" i="35"/>
  <c r="F27" i="35"/>
  <c r="D27" i="35"/>
  <c r="B27" i="35"/>
  <c r="G29" i="35"/>
  <c r="E29" i="35"/>
  <c r="C29" i="35"/>
  <c r="A29" i="35"/>
  <c r="G28" i="35"/>
  <c r="E28" i="35"/>
  <c r="C28" i="35"/>
  <c r="A28" i="35"/>
  <c r="G27" i="35"/>
  <c r="E27" i="35"/>
  <c r="C27" i="35"/>
  <c r="A27" i="35"/>
  <c r="T29" i="34"/>
  <c r="Q27" i="34"/>
  <c r="T27" i="34" s="1"/>
  <c r="T25" i="34"/>
  <c r="T23" i="34"/>
  <c r="T21" i="34"/>
  <c r="T19" i="34"/>
  <c r="T17" i="34"/>
  <c r="T15" i="34"/>
  <c r="T13" i="34"/>
  <c r="T11" i="34"/>
  <c r="S5" i="34" l="1"/>
  <c r="T3" i="34"/>
  <c r="T1" i="34" s="1"/>
  <c r="Q52" i="40"/>
  <c r="W50" i="40"/>
  <c r="U50" i="40"/>
  <c r="S50" i="40"/>
  <c r="Q50" i="40"/>
  <c r="W49" i="40"/>
  <c r="U49" i="40"/>
  <c r="S49" i="40"/>
  <c r="Q49" i="40"/>
  <c r="W48" i="40"/>
  <c r="U48" i="40"/>
  <c r="S48" i="40"/>
  <c r="Q48" i="40"/>
  <c r="W47" i="40"/>
  <c r="U47" i="40"/>
  <c r="S47" i="40"/>
  <c r="Q47" i="40"/>
  <c r="W46" i="40"/>
  <c r="U46" i="40"/>
  <c r="S46" i="40"/>
  <c r="AC27" i="40" s="1"/>
  <c r="Q46" i="40"/>
  <c r="V50" i="40"/>
  <c r="T50" i="40"/>
  <c r="R50" i="40"/>
  <c r="V49" i="40"/>
  <c r="T49" i="40"/>
  <c r="R49" i="40"/>
  <c r="V48" i="40"/>
  <c r="T48" i="40"/>
  <c r="R48" i="40"/>
  <c r="V47" i="40"/>
  <c r="T47" i="40"/>
  <c r="R47" i="40"/>
  <c r="V46" i="40"/>
  <c r="AC29" i="40" s="1"/>
  <c r="T46" i="40"/>
  <c r="R46" i="40"/>
  <c r="V45" i="40"/>
  <c r="T45" i="40"/>
  <c r="R45" i="40"/>
  <c r="W45" i="40"/>
  <c r="U45" i="40"/>
  <c r="S45" i="40"/>
  <c r="AC18" i="40" s="1"/>
  <c r="Q45" i="40"/>
  <c r="AC14" i="40"/>
  <c r="V41" i="39"/>
  <c r="T41" i="39"/>
  <c r="R41" i="39"/>
  <c r="V40" i="39"/>
  <c r="T40" i="39"/>
  <c r="R40" i="39"/>
  <c r="V39" i="39"/>
  <c r="T39" i="39"/>
  <c r="R39" i="39"/>
  <c r="V38" i="39"/>
  <c r="T38" i="39"/>
  <c r="R38" i="39"/>
  <c r="V37" i="39"/>
  <c r="T37" i="39"/>
  <c r="R37" i="39"/>
  <c r="V36" i="39"/>
  <c r="T36" i="39"/>
  <c r="R36" i="39"/>
  <c r="Q43" i="39"/>
  <c r="W41" i="39"/>
  <c r="U41" i="39"/>
  <c r="S41" i="39"/>
  <c r="Q41" i="39"/>
  <c r="W40" i="39"/>
  <c r="U40" i="39"/>
  <c r="S40" i="39"/>
  <c r="Q40" i="39"/>
  <c r="W39" i="39"/>
  <c r="U39" i="39"/>
  <c r="S39" i="39"/>
  <c r="Q39" i="39"/>
  <c r="W38" i="39"/>
  <c r="U38" i="39"/>
  <c r="S38" i="39"/>
  <c r="Q38" i="39"/>
  <c r="W37" i="39"/>
  <c r="U37" i="39"/>
  <c r="S37" i="39"/>
  <c r="Q37" i="39"/>
  <c r="W36" i="39"/>
  <c r="U36" i="39"/>
  <c r="S36" i="39"/>
  <c r="Q36" i="39"/>
  <c r="Q52" i="38"/>
  <c r="W50" i="38"/>
  <c r="U50" i="38"/>
  <c r="S50" i="38"/>
  <c r="Q50" i="38"/>
  <c r="W49" i="38"/>
  <c r="U49" i="38"/>
  <c r="S49" i="38"/>
  <c r="Q49" i="38"/>
  <c r="W48" i="38"/>
  <c r="U48" i="38"/>
  <c r="S48" i="38"/>
  <c r="Q48" i="38"/>
  <c r="W47" i="38"/>
  <c r="U47" i="38"/>
  <c r="S47" i="38"/>
  <c r="Q47" i="38"/>
  <c r="W46" i="38"/>
  <c r="U46" i="38"/>
  <c r="S46" i="38"/>
  <c r="AC27" i="38" s="1"/>
  <c r="Q46" i="38"/>
  <c r="V50" i="38"/>
  <c r="T50" i="38"/>
  <c r="R50" i="38"/>
  <c r="V49" i="38"/>
  <c r="T49" i="38"/>
  <c r="R49" i="38"/>
  <c r="V48" i="38"/>
  <c r="T48" i="38"/>
  <c r="R48" i="38"/>
  <c r="V47" i="38"/>
  <c r="T47" i="38"/>
  <c r="R47" i="38"/>
  <c r="AC14" i="38" s="1"/>
  <c r="V46" i="38"/>
  <c r="AC29" i="38" s="1"/>
  <c r="T46" i="38"/>
  <c r="R46" i="38"/>
  <c r="V45" i="38"/>
  <c r="T45" i="38"/>
  <c r="R45" i="38"/>
  <c r="W45" i="38"/>
  <c r="U45" i="38"/>
  <c r="S45" i="38"/>
  <c r="Q45" i="38"/>
  <c r="AC25" i="38"/>
  <c r="Q52" i="37"/>
  <c r="W50" i="37"/>
  <c r="U50" i="37"/>
  <c r="S50" i="37"/>
  <c r="Q50" i="37"/>
  <c r="W49" i="37"/>
  <c r="U49" i="37"/>
  <c r="S49" i="37"/>
  <c r="Q49" i="37"/>
  <c r="W48" i="37"/>
  <c r="U48" i="37"/>
  <c r="S48" i="37"/>
  <c r="Q48" i="37"/>
  <c r="W47" i="37"/>
  <c r="U47" i="37"/>
  <c r="S47" i="37"/>
  <c r="Q47" i="37"/>
  <c r="W46" i="37"/>
  <c r="U46" i="37"/>
  <c r="S46" i="37"/>
  <c r="AC26" i="37" s="1"/>
  <c r="Q46" i="37"/>
  <c r="V50" i="37"/>
  <c r="T50" i="37"/>
  <c r="R50" i="37"/>
  <c r="V49" i="37"/>
  <c r="T49" i="37"/>
  <c r="R49" i="37"/>
  <c r="V48" i="37"/>
  <c r="T48" i="37"/>
  <c r="R48" i="37"/>
  <c r="V47" i="37"/>
  <c r="T47" i="37"/>
  <c r="R47" i="37"/>
  <c r="AC14" i="37" s="1"/>
  <c r="V46" i="37"/>
  <c r="AC29" i="37" s="1"/>
  <c r="T46" i="37"/>
  <c r="R46" i="37"/>
  <c r="V45" i="37"/>
  <c r="T45" i="37"/>
  <c r="R45" i="37"/>
  <c r="W45" i="37"/>
  <c r="U45" i="37"/>
  <c r="S45" i="37"/>
  <c r="Q45" i="37"/>
  <c r="AC27" i="37"/>
  <c r="F41" i="35"/>
  <c r="D41" i="35"/>
  <c r="B41" i="35"/>
  <c r="F40" i="35"/>
  <c r="D40" i="35"/>
  <c r="B40" i="35"/>
  <c r="F39" i="35"/>
  <c r="D39" i="35"/>
  <c r="B39" i="35"/>
  <c r="F38" i="35"/>
  <c r="D38" i="35"/>
  <c r="B38" i="35"/>
  <c r="F37" i="35"/>
  <c r="D37" i="35"/>
  <c r="B37" i="35"/>
  <c r="F36" i="35"/>
  <c r="D36" i="35"/>
  <c r="B36" i="35"/>
  <c r="A43" i="35"/>
  <c r="G41" i="35"/>
  <c r="E41" i="35"/>
  <c r="C41" i="35"/>
  <c r="A41" i="35"/>
  <c r="G40" i="35"/>
  <c r="E40" i="35"/>
  <c r="C40" i="35"/>
  <c r="A40" i="35"/>
  <c r="G39" i="35"/>
  <c r="E39" i="35"/>
  <c r="C39" i="35"/>
  <c r="A39" i="35"/>
  <c r="G38" i="35"/>
  <c r="E38" i="35"/>
  <c r="C38" i="35"/>
  <c r="A38" i="35"/>
  <c r="G37" i="35"/>
  <c r="E37" i="35"/>
  <c r="C37" i="35"/>
  <c r="A37" i="35"/>
  <c r="G36" i="35"/>
  <c r="E36" i="35"/>
  <c r="C36" i="35"/>
  <c r="A36" i="35"/>
  <c r="I10" i="34"/>
  <c r="I12" i="34"/>
  <c r="I14" i="34"/>
  <c r="I16" i="34"/>
  <c r="I18" i="34"/>
  <c r="I20" i="34"/>
  <c r="I22" i="34"/>
  <c r="I24" i="34"/>
  <c r="I26" i="34"/>
  <c r="I34" i="34"/>
  <c r="I36" i="34"/>
  <c r="I38" i="34"/>
  <c r="I40" i="34"/>
  <c r="I42" i="34"/>
  <c r="I44" i="34"/>
  <c r="I46" i="34"/>
  <c r="I48" i="34"/>
  <c r="I50" i="34"/>
  <c r="I52" i="34"/>
  <c r="I54" i="34"/>
  <c r="I64" i="34"/>
  <c r="I66" i="34"/>
  <c r="F70" i="34"/>
  <c r="I70" i="34" s="1"/>
  <c r="I72" i="34"/>
  <c r="H4" i="34" l="1"/>
  <c r="W59" i="40"/>
  <c r="U59" i="40"/>
  <c r="S59" i="40"/>
  <c r="Q59" i="40"/>
  <c r="W58" i="40"/>
  <c r="U58" i="40"/>
  <c r="S58" i="40"/>
  <c r="Q58" i="40"/>
  <c r="W57" i="40"/>
  <c r="U57" i="40"/>
  <c r="S57" i="40"/>
  <c r="Q57" i="40"/>
  <c r="W56" i="40"/>
  <c r="U56" i="40"/>
  <c r="S56" i="40"/>
  <c r="Q56" i="40"/>
  <c r="W55" i="40"/>
  <c r="U55" i="40"/>
  <c r="Q55" i="40"/>
  <c r="W54" i="40"/>
  <c r="U54" i="40"/>
  <c r="S54" i="40"/>
  <c r="Q54" i="40"/>
  <c r="V59" i="40"/>
  <c r="T59" i="40"/>
  <c r="R59" i="40"/>
  <c r="V58" i="40"/>
  <c r="T58" i="40"/>
  <c r="R58" i="40"/>
  <c r="V57" i="40"/>
  <c r="T57" i="40"/>
  <c r="R57" i="40"/>
  <c r="V56" i="40"/>
  <c r="T56" i="40"/>
  <c r="R56" i="40"/>
  <c r="V55" i="40"/>
  <c r="T55" i="40"/>
  <c r="R55" i="40"/>
  <c r="V54" i="40"/>
  <c r="T54" i="40"/>
  <c r="AC13" i="40" s="1"/>
  <c r="R54" i="40"/>
  <c r="AC21" i="40"/>
  <c r="AC25" i="40"/>
  <c r="AC23" i="40"/>
  <c r="AC19" i="40"/>
  <c r="AC12" i="40"/>
  <c r="AC10" i="40"/>
  <c r="AC20" i="40"/>
  <c r="AC26" i="40"/>
  <c r="AC11" i="40"/>
  <c r="AC9" i="40"/>
  <c r="Q52" i="39"/>
  <c r="W50" i="39"/>
  <c r="U50" i="39"/>
  <c r="S50" i="39"/>
  <c r="Q50" i="39"/>
  <c r="W49" i="39"/>
  <c r="U49" i="39"/>
  <c r="S49" i="39"/>
  <c r="Q49" i="39"/>
  <c r="W48" i="39"/>
  <c r="U48" i="39"/>
  <c r="S48" i="39"/>
  <c r="Q48" i="39"/>
  <c r="W47" i="39"/>
  <c r="U47" i="39"/>
  <c r="S47" i="39"/>
  <c r="Q47" i="39"/>
  <c r="W46" i="39"/>
  <c r="U46" i="39"/>
  <c r="S46" i="39"/>
  <c r="Q46" i="39"/>
  <c r="V50" i="39"/>
  <c r="T50" i="39"/>
  <c r="R50" i="39"/>
  <c r="V49" i="39"/>
  <c r="T49" i="39"/>
  <c r="R49" i="39"/>
  <c r="V48" i="39"/>
  <c r="T48" i="39"/>
  <c r="R48" i="39"/>
  <c r="V47" i="39"/>
  <c r="T47" i="39"/>
  <c r="R47" i="39"/>
  <c r="V46" i="39"/>
  <c r="T46" i="39"/>
  <c r="R46" i="39"/>
  <c r="V45" i="39"/>
  <c r="T45" i="39"/>
  <c r="R45" i="39"/>
  <c r="AC14" i="39" s="1"/>
  <c r="W45" i="39"/>
  <c r="U45" i="39"/>
  <c r="S45" i="39"/>
  <c r="Q45" i="39"/>
  <c r="AC29" i="39"/>
  <c r="AC25" i="39"/>
  <c r="AC26" i="39"/>
  <c r="AC18" i="39"/>
  <c r="AC18" i="38"/>
  <c r="W59" i="38"/>
  <c r="U59" i="38"/>
  <c r="S59" i="38"/>
  <c r="Q59" i="38"/>
  <c r="W58" i="38"/>
  <c r="U58" i="38"/>
  <c r="S58" i="38"/>
  <c r="Q58" i="38"/>
  <c r="W57" i="38"/>
  <c r="U57" i="38"/>
  <c r="S57" i="38"/>
  <c r="Q57" i="38"/>
  <c r="W56" i="38"/>
  <c r="U56" i="38"/>
  <c r="S56" i="38"/>
  <c r="Q56" i="38"/>
  <c r="W55" i="38"/>
  <c r="U55" i="38"/>
  <c r="S55" i="38"/>
  <c r="Q55" i="38"/>
  <c r="W54" i="38"/>
  <c r="U54" i="38"/>
  <c r="AC10" i="38" s="1"/>
  <c r="S54" i="38"/>
  <c r="Q54" i="38"/>
  <c r="V59" i="38"/>
  <c r="T59" i="38"/>
  <c r="R59" i="38"/>
  <c r="V58" i="38"/>
  <c r="T58" i="38"/>
  <c r="R58" i="38"/>
  <c r="V57" i="38"/>
  <c r="T57" i="38"/>
  <c r="R57" i="38"/>
  <c r="V56" i="38"/>
  <c r="T56" i="38"/>
  <c r="R56" i="38"/>
  <c r="V55" i="38"/>
  <c r="T55" i="38"/>
  <c r="R55" i="38"/>
  <c r="V54" i="38"/>
  <c r="T54" i="38"/>
  <c r="AC21" i="38" s="1"/>
  <c r="R54" i="38"/>
  <c r="AC26" i="38"/>
  <c r="AC23" i="38"/>
  <c r="AC20" i="38"/>
  <c r="AC25" i="37"/>
  <c r="W59" i="37"/>
  <c r="U59" i="37"/>
  <c r="S59" i="37"/>
  <c r="Q59" i="37"/>
  <c r="W58" i="37"/>
  <c r="U58" i="37"/>
  <c r="S58" i="37"/>
  <c r="Q58" i="37"/>
  <c r="W57" i="37"/>
  <c r="U57" i="37"/>
  <c r="S57" i="37"/>
  <c r="Q57" i="37"/>
  <c r="W56" i="37"/>
  <c r="U56" i="37"/>
  <c r="S56" i="37"/>
  <c r="Q56" i="37"/>
  <c r="W55" i="37"/>
  <c r="U55" i="37"/>
  <c r="S55" i="37"/>
  <c r="Q55" i="37"/>
  <c r="W54" i="37"/>
  <c r="U54" i="37"/>
  <c r="AC10" i="37" s="1"/>
  <c r="S54" i="37"/>
  <c r="Q54" i="37"/>
  <c r="V59" i="37"/>
  <c r="T59" i="37"/>
  <c r="R59" i="37"/>
  <c r="V58" i="37"/>
  <c r="T58" i="37"/>
  <c r="R58" i="37"/>
  <c r="V57" i="37"/>
  <c r="T57" i="37"/>
  <c r="R57" i="37"/>
  <c r="V56" i="37"/>
  <c r="T56" i="37"/>
  <c r="R56" i="37"/>
  <c r="V55" i="37"/>
  <c r="T55" i="37"/>
  <c r="R55" i="37"/>
  <c r="AC11" i="37" s="1"/>
  <c r="V54" i="37"/>
  <c r="T54" i="37"/>
  <c r="AC20" i="37" s="1"/>
  <c r="R54" i="37"/>
  <c r="AC23" i="37"/>
  <c r="AC18" i="37"/>
  <c r="F50" i="35"/>
  <c r="D50" i="35"/>
  <c r="B50" i="35"/>
  <c r="F49" i="35"/>
  <c r="D49" i="35"/>
  <c r="B49" i="35"/>
  <c r="F48" i="35"/>
  <c r="D48" i="35"/>
  <c r="B48" i="35"/>
  <c r="F47" i="35"/>
  <c r="D47" i="35"/>
  <c r="B47" i="35"/>
  <c r="F46" i="35"/>
  <c r="D46" i="35"/>
  <c r="B46" i="35"/>
  <c r="A52" i="35"/>
  <c r="G50" i="35"/>
  <c r="E50" i="35"/>
  <c r="C50" i="35"/>
  <c r="A50" i="35"/>
  <c r="G49" i="35"/>
  <c r="E49" i="35"/>
  <c r="C49" i="35"/>
  <c r="A49" i="35"/>
  <c r="G48" i="35"/>
  <c r="E48" i="35"/>
  <c r="C48" i="35"/>
  <c r="A48" i="35"/>
  <c r="G47" i="35"/>
  <c r="E47" i="35"/>
  <c r="C47" i="35"/>
  <c r="A47" i="35"/>
  <c r="G46" i="35"/>
  <c r="E46" i="35"/>
  <c r="C46" i="35"/>
  <c r="A46" i="35"/>
  <c r="F45" i="35"/>
  <c r="D45" i="35"/>
  <c r="B45" i="35"/>
  <c r="G45" i="35"/>
  <c r="E45" i="35"/>
  <c r="C45" i="35"/>
  <c r="A45" i="35"/>
  <c r="AC17" i="35"/>
  <c r="I2" i="34"/>
  <c r="I4" i="34" l="1"/>
  <c r="AC16" i="40"/>
  <c r="AC27" i="39"/>
  <c r="W59" i="39"/>
  <c r="U59" i="39"/>
  <c r="S59" i="39"/>
  <c r="Q59" i="39"/>
  <c r="W58" i="39"/>
  <c r="U58" i="39"/>
  <c r="S58" i="39"/>
  <c r="Q58" i="39"/>
  <c r="W57" i="39"/>
  <c r="U57" i="39"/>
  <c r="S57" i="39"/>
  <c r="Q57" i="39"/>
  <c r="W56" i="39"/>
  <c r="U56" i="39"/>
  <c r="S56" i="39"/>
  <c r="Q56" i="39"/>
  <c r="W55" i="39"/>
  <c r="U55" i="39"/>
  <c r="S55" i="39"/>
  <c r="Q55" i="39"/>
  <c r="W54" i="39"/>
  <c r="U54" i="39"/>
  <c r="S54" i="39"/>
  <c r="Q54" i="39"/>
  <c r="V59" i="39"/>
  <c r="T59" i="39"/>
  <c r="R59" i="39"/>
  <c r="V58" i="39"/>
  <c r="T58" i="39"/>
  <c r="R58" i="39"/>
  <c r="V57" i="39"/>
  <c r="T57" i="39"/>
  <c r="R57" i="39"/>
  <c r="V56" i="39"/>
  <c r="T56" i="39"/>
  <c r="R56" i="39"/>
  <c r="V55" i="39"/>
  <c r="T55" i="39"/>
  <c r="R55" i="39"/>
  <c r="V54" i="39"/>
  <c r="T54" i="39"/>
  <c r="R54" i="39"/>
  <c r="AC9" i="38"/>
  <c r="AC13" i="38"/>
  <c r="AC16" i="38"/>
  <c r="AC11" i="38"/>
  <c r="AC19" i="38"/>
  <c r="AC12" i="38"/>
  <c r="AC19" i="37"/>
  <c r="AC16" i="37"/>
  <c r="AC21" i="37"/>
  <c r="AC9" i="37"/>
  <c r="AC13" i="37"/>
  <c r="AC12" i="37"/>
  <c r="F59" i="35"/>
  <c r="D59" i="35"/>
  <c r="B59" i="35"/>
  <c r="F58" i="35"/>
  <c r="D58" i="35"/>
  <c r="B58" i="35"/>
  <c r="F57" i="35"/>
  <c r="D57" i="35"/>
  <c r="B57" i="35"/>
  <c r="F56" i="35"/>
  <c r="D56" i="35"/>
  <c r="B56" i="35"/>
  <c r="F55" i="35"/>
  <c r="D55" i="35"/>
  <c r="B55" i="35"/>
  <c r="F54" i="35"/>
  <c r="D54" i="35"/>
  <c r="B54" i="35"/>
  <c r="G59" i="35"/>
  <c r="E59" i="35"/>
  <c r="C59" i="35"/>
  <c r="A59" i="35"/>
  <c r="G58" i="35"/>
  <c r="E58" i="35"/>
  <c r="C58" i="35"/>
  <c r="A58" i="35"/>
  <c r="G57" i="35"/>
  <c r="E57" i="35"/>
  <c r="C57" i="35"/>
  <c r="A57" i="35"/>
  <c r="G56" i="35"/>
  <c r="E56" i="35"/>
  <c r="C56" i="35"/>
  <c r="A56" i="35"/>
  <c r="G55" i="35"/>
  <c r="E55" i="35"/>
  <c r="C55" i="35"/>
  <c r="A55" i="35"/>
  <c r="G54" i="35"/>
  <c r="E54" i="35"/>
  <c r="C54" i="35"/>
  <c r="A54" i="35"/>
  <c r="Q7" i="35"/>
  <c r="AC21" i="39" l="1"/>
  <c r="AC20" i="39"/>
  <c r="AC11" i="39"/>
  <c r="AC23" i="39"/>
  <c r="AC13" i="39"/>
  <c r="AC19" i="39"/>
  <c r="AC10" i="39"/>
  <c r="AC16" i="39"/>
  <c r="AC9" i="39"/>
  <c r="AC12" i="39"/>
  <c r="W14" i="35"/>
  <c r="U14" i="35"/>
  <c r="S14" i="35"/>
  <c r="Q14" i="35"/>
  <c r="V13" i="35"/>
  <c r="T13" i="35"/>
  <c r="R13" i="35"/>
  <c r="W12" i="35"/>
  <c r="U12" i="35"/>
  <c r="S12" i="35"/>
  <c r="Q12" i="35"/>
  <c r="V11" i="35"/>
  <c r="T11" i="35"/>
  <c r="R11" i="35"/>
  <c r="W10" i="35"/>
  <c r="U10" i="35"/>
  <c r="S10" i="35"/>
  <c r="Q10" i="35"/>
  <c r="V9" i="35"/>
  <c r="T9" i="35"/>
  <c r="R9" i="35"/>
  <c r="Q16" i="35"/>
  <c r="V14" i="35"/>
  <c r="T14" i="35"/>
  <c r="R14" i="35"/>
  <c r="W13" i="35"/>
  <c r="U13" i="35"/>
  <c r="S13" i="35"/>
  <c r="Q13" i="35"/>
  <c r="V12" i="35"/>
  <c r="T12" i="35"/>
  <c r="R12" i="35"/>
  <c r="W11" i="35"/>
  <c r="U11" i="35"/>
  <c r="S11" i="35"/>
  <c r="Q11" i="35"/>
  <c r="V10" i="35"/>
  <c r="T10" i="35"/>
  <c r="R10" i="35"/>
  <c r="W9" i="35"/>
  <c r="U9" i="35"/>
  <c r="S9" i="35"/>
  <c r="Q9" i="35"/>
  <c r="Q25" i="35" l="1"/>
  <c r="V23" i="35"/>
  <c r="T23" i="35"/>
  <c r="R23" i="35"/>
  <c r="V22" i="35"/>
  <c r="T22" i="35"/>
  <c r="R22" i="35"/>
  <c r="W21" i="35"/>
  <c r="U21" i="35"/>
  <c r="S21" i="35"/>
  <c r="Q21" i="35"/>
  <c r="V20" i="35"/>
  <c r="T20" i="35"/>
  <c r="R20" i="35"/>
  <c r="W19" i="35"/>
  <c r="U19" i="35"/>
  <c r="S19" i="35"/>
  <c r="Q19" i="35"/>
  <c r="V18" i="35"/>
  <c r="T18" i="35"/>
  <c r="R18" i="35"/>
  <c r="W23" i="35"/>
  <c r="U23" i="35"/>
  <c r="S23" i="35"/>
  <c r="Q23" i="35"/>
  <c r="W22" i="35"/>
  <c r="U22" i="35"/>
  <c r="S22" i="35"/>
  <c r="Q22" i="35"/>
  <c r="V21" i="35"/>
  <c r="T21" i="35"/>
  <c r="R21" i="35"/>
  <c r="W20" i="35"/>
  <c r="U20" i="35"/>
  <c r="S20" i="35"/>
  <c r="Q20" i="35"/>
  <c r="V19" i="35"/>
  <c r="T19" i="35"/>
  <c r="R19" i="35"/>
  <c r="W18" i="35"/>
  <c r="U18" i="35"/>
  <c r="S18" i="35"/>
  <c r="Q18" i="35"/>
  <c r="Q34" i="35" l="1"/>
  <c r="W32" i="35"/>
  <c r="U32" i="35"/>
  <c r="S32" i="35"/>
  <c r="Q32" i="35"/>
  <c r="W31" i="35"/>
  <c r="U31" i="35"/>
  <c r="S31" i="35"/>
  <c r="Q31" i="35"/>
  <c r="W30" i="35"/>
  <c r="U30" i="35"/>
  <c r="S30" i="35"/>
  <c r="Q30" i="35"/>
  <c r="W29" i="35"/>
  <c r="V32" i="35"/>
  <c r="T32" i="35"/>
  <c r="R32" i="35"/>
  <c r="V31" i="35"/>
  <c r="T31" i="35"/>
  <c r="R31" i="35"/>
  <c r="V30" i="35"/>
  <c r="T30" i="35"/>
  <c r="R30" i="35"/>
  <c r="U29" i="35"/>
  <c r="S29" i="35"/>
  <c r="Q29" i="35"/>
  <c r="W28" i="35"/>
  <c r="U28" i="35"/>
  <c r="S28" i="35"/>
  <c r="Q28" i="35"/>
  <c r="W27" i="35"/>
  <c r="U27" i="35"/>
  <c r="S27" i="35"/>
  <c r="Q27" i="35"/>
  <c r="V29" i="35"/>
  <c r="T29" i="35"/>
  <c r="R29" i="35"/>
  <c r="V28" i="35"/>
  <c r="T28" i="35"/>
  <c r="R28" i="35"/>
  <c r="V27" i="35"/>
  <c r="T27" i="35"/>
  <c r="R27" i="35"/>
  <c r="Q43" i="35" l="1"/>
  <c r="W41" i="35"/>
  <c r="U41" i="35"/>
  <c r="S41" i="35"/>
  <c r="Q41" i="35"/>
  <c r="W40" i="35"/>
  <c r="U40" i="35"/>
  <c r="S40" i="35"/>
  <c r="Q40" i="35"/>
  <c r="W39" i="35"/>
  <c r="U39" i="35"/>
  <c r="S39" i="35"/>
  <c r="Q39" i="35"/>
  <c r="W38" i="35"/>
  <c r="U38" i="35"/>
  <c r="S38" i="35"/>
  <c r="Q38" i="35"/>
  <c r="W37" i="35"/>
  <c r="U37" i="35"/>
  <c r="S37" i="35"/>
  <c r="Q37" i="35"/>
  <c r="W36" i="35"/>
  <c r="U36" i="35"/>
  <c r="S36" i="35"/>
  <c r="Q36" i="35"/>
  <c r="V41" i="35"/>
  <c r="T41" i="35"/>
  <c r="R41" i="35"/>
  <c r="V40" i="35"/>
  <c r="T40" i="35"/>
  <c r="R40" i="35"/>
  <c r="V39" i="35"/>
  <c r="T39" i="35"/>
  <c r="R39" i="35"/>
  <c r="V38" i="35"/>
  <c r="T38" i="35"/>
  <c r="R38" i="35"/>
  <c r="V37" i="35"/>
  <c r="T37" i="35"/>
  <c r="R37" i="35"/>
  <c r="V36" i="35"/>
  <c r="T36" i="35"/>
  <c r="R36" i="35"/>
  <c r="Q52" i="35" l="1"/>
  <c r="W50" i="35"/>
  <c r="U50" i="35"/>
  <c r="S50" i="35"/>
  <c r="Q50" i="35"/>
  <c r="W49" i="35"/>
  <c r="U49" i="35"/>
  <c r="S49" i="35"/>
  <c r="Q49" i="35"/>
  <c r="W48" i="35"/>
  <c r="U48" i="35"/>
  <c r="S48" i="35"/>
  <c r="Q48" i="35"/>
  <c r="W47" i="35"/>
  <c r="U47" i="35"/>
  <c r="S47" i="35"/>
  <c r="Q47" i="35"/>
  <c r="W46" i="35"/>
  <c r="U46" i="35"/>
  <c r="S46" i="35"/>
  <c r="Q46" i="35"/>
  <c r="V50" i="35"/>
  <c r="T50" i="35"/>
  <c r="R50" i="35"/>
  <c r="V49" i="35"/>
  <c r="T49" i="35"/>
  <c r="R49" i="35"/>
  <c r="V48" i="35"/>
  <c r="T48" i="35"/>
  <c r="R48" i="35"/>
  <c r="V47" i="35"/>
  <c r="T47" i="35"/>
  <c r="R47" i="35"/>
  <c r="V46" i="35"/>
  <c r="T46" i="35"/>
  <c r="R46" i="35"/>
  <c r="W45" i="35"/>
  <c r="U45" i="35"/>
  <c r="S45" i="35"/>
  <c r="Q45" i="35"/>
  <c r="V45" i="35"/>
  <c r="T45" i="35"/>
  <c r="R45" i="35"/>
  <c r="W59" i="35" l="1"/>
  <c r="U59" i="35"/>
  <c r="S59" i="35"/>
  <c r="Q59" i="35"/>
  <c r="W58" i="35"/>
  <c r="U58" i="35"/>
  <c r="S58" i="35"/>
  <c r="Q58" i="35"/>
  <c r="W57" i="35"/>
  <c r="U57" i="35"/>
  <c r="S57" i="35"/>
  <c r="Q57" i="35"/>
  <c r="W56" i="35"/>
  <c r="U56" i="35"/>
  <c r="S56" i="35"/>
  <c r="Q56" i="35"/>
  <c r="W55" i="35"/>
  <c r="U55" i="35"/>
  <c r="S55" i="35"/>
  <c r="AC23" i="35" s="1"/>
  <c r="Q55" i="35"/>
  <c r="W54" i="35"/>
  <c r="U54" i="35"/>
  <c r="S54" i="35"/>
  <c r="Q54" i="35"/>
  <c r="V59" i="35"/>
  <c r="T59" i="35"/>
  <c r="R59" i="35"/>
  <c r="V58" i="35"/>
  <c r="T58" i="35"/>
  <c r="R58" i="35"/>
  <c r="V57" i="35"/>
  <c r="T57" i="35"/>
  <c r="R57" i="35"/>
  <c r="V56" i="35"/>
  <c r="T56" i="35"/>
  <c r="R56" i="35"/>
  <c r="V55" i="35"/>
  <c r="T55" i="35"/>
  <c r="R55" i="35"/>
  <c r="V54" i="35"/>
  <c r="T54" i="35"/>
  <c r="R54" i="35"/>
  <c r="AC12" i="35"/>
  <c r="AC18" i="35"/>
  <c r="AC9" i="35"/>
  <c r="AC11" i="35"/>
  <c r="AC10" i="35"/>
  <c r="AC16" i="35"/>
  <c r="AC13" i="35" l="1"/>
  <c r="G8" i="5" l="1"/>
  <c r="F8" i="5"/>
  <c r="V26" i="5" s="1"/>
  <c r="E8" i="5"/>
  <c r="D8" i="5"/>
  <c r="T26" i="5" s="1"/>
  <c r="C8" i="5"/>
  <c r="B8" i="5"/>
  <c r="R26" i="5" s="1"/>
  <c r="A8" i="5"/>
  <c r="A7" i="5"/>
  <c r="A9" i="5" s="1"/>
  <c r="A14" i="5" l="1"/>
  <c r="C14" i="5"/>
  <c r="E14" i="5"/>
  <c r="G14" i="5"/>
  <c r="B14" i="5"/>
  <c r="D14" i="5"/>
  <c r="F14" i="5"/>
  <c r="Q53" i="5"/>
  <c r="A53" i="5"/>
  <c r="Q44" i="5"/>
  <c r="Q35" i="5"/>
  <c r="A44" i="5"/>
  <c r="A35" i="5"/>
  <c r="S53" i="5"/>
  <c r="C53" i="5"/>
  <c r="S44" i="5"/>
  <c r="S35" i="5"/>
  <c r="C44" i="5"/>
  <c r="C35" i="5"/>
  <c r="U53" i="5"/>
  <c r="E53" i="5"/>
  <c r="U44" i="5"/>
  <c r="U35" i="5"/>
  <c r="E44" i="5"/>
  <c r="E35" i="5"/>
  <c r="W53" i="5"/>
  <c r="G53" i="5"/>
  <c r="W44" i="5"/>
  <c r="W35" i="5"/>
  <c r="G44" i="5"/>
  <c r="G35" i="5"/>
  <c r="R8" i="5"/>
  <c r="T8" i="5"/>
  <c r="V8" i="5"/>
  <c r="C9" i="5"/>
  <c r="E9" i="5"/>
  <c r="G9" i="5"/>
  <c r="A10" i="5"/>
  <c r="C10" i="5"/>
  <c r="E10" i="5"/>
  <c r="G10" i="5"/>
  <c r="A11" i="5"/>
  <c r="C11" i="5"/>
  <c r="E11" i="5"/>
  <c r="G11" i="5"/>
  <c r="A12" i="5"/>
  <c r="C12" i="5"/>
  <c r="E12" i="5"/>
  <c r="G12" i="5"/>
  <c r="A13" i="5"/>
  <c r="C13" i="5"/>
  <c r="E13" i="5"/>
  <c r="G13" i="5"/>
  <c r="A16" i="5"/>
  <c r="A17" i="5"/>
  <c r="C17" i="5"/>
  <c r="E17" i="5"/>
  <c r="G17" i="5"/>
  <c r="R17" i="5"/>
  <c r="T17" i="5"/>
  <c r="V17" i="5"/>
  <c r="A26" i="5"/>
  <c r="C26" i="5"/>
  <c r="E26" i="5"/>
  <c r="G26" i="5"/>
  <c r="B53" i="5"/>
  <c r="R53" i="5"/>
  <c r="B44" i="5"/>
  <c r="B35" i="5"/>
  <c r="R44" i="5"/>
  <c r="R35" i="5"/>
  <c r="D53" i="5"/>
  <c r="T53" i="5"/>
  <c r="D44" i="5"/>
  <c r="D35" i="5"/>
  <c r="T44" i="5"/>
  <c r="T35" i="5"/>
  <c r="F53" i="5"/>
  <c r="V53" i="5"/>
  <c r="F44" i="5"/>
  <c r="F35" i="5"/>
  <c r="V44" i="5"/>
  <c r="V35" i="5"/>
  <c r="Q8" i="5"/>
  <c r="S8" i="5"/>
  <c r="U8" i="5"/>
  <c r="W8" i="5"/>
  <c r="B9" i="5"/>
  <c r="D9" i="5"/>
  <c r="F9" i="5"/>
  <c r="B10" i="5"/>
  <c r="D10" i="5"/>
  <c r="F10" i="5"/>
  <c r="B11" i="5"/>
  <c r="D11" i="5"/>
  <c r="F11" i="5"/>
  <c r="B12" i="5"/>
  <c r="D12" i="5"/>
  <c r="F12" i="5"/>
  <c r="B13" i="5"/>
  <c r="D13" i="5"/>
  <c r="F13" i="5"/>
  <c r="B17" i="5"/>
  <c r="D17" i="5"/>
  <c r="F17" i="5"/>
  <c r="Q17" i="5"/>
  <c r="S17" i="5"/>
  <c r="U17" i="5"/>
  <c r="W17" i="5"/>
  <c r="B26" i="5"/>
  <c r="D26" i="5"/>
  <c r="F26" i="5"/>
  <c r="Q26" i="5"/>
  <c r="S26" i="5"/>
  <c r="U26" i="5"/>
  <c r="W26" i="5"/>
  <c r="F23" i="5" l="1"/>
  <c r="D23" i="5"/>
  <c r="B23" i="5"/>
  <c r="F22" i="5"/>
  <c r="D22" i="5"/>
  <c r="B22" i="5"/>
  <c r="F21" i="5"/>
  <c r="D21" i="5"/>
  <c r="B21" i="5"/>
  <c r="F20" i="5"/>
  <c r="D20" i="5"/>
  <c r="B20" i="5"/>
  <c r="F19" i="5"/>
  <c r="D19" i="5"/>
  <c r="B19" i="5"/>
  <c r="F18" i="5"/>
  <c r="D18" i="5"/>
  <c r="B18" i="5"/>
  <c r="A25" i="5"/>
  <c r="G23" i="5"/>
  <c r="E23" i="5"/>
  <c r="C23" i="5"/>
  <c r="A23" i="5"/>
  <c r="G22" i="5"/>
  <c r="E22" i="5"/>
  <c r="C22" i="5"/>
  <c r="A22" i="5"/>
  <c r="G21" i="5"/>
  <c r="E21" i="5"/>
  <c r="C21" i="5"/>
  <c r="A21" i="5"/>
  <c r="G20" i="5"/>
  <c r="E20" i="5"/>
  <c r="C20" i="5"/>
  <c r="A20" i="5"/>
  <c r="G19" i="5"/>
  <c r="E19" i="5"/>
  <c r="C19" i="5"/>
  <c r="A19" i="5"/>
  <c r="G18" i="5"/>
  <c r="E18" i="5"/>
  <c r="C18" i="5"/>
  <c r="A18" i="5"/>
  <c r="F32" i="5" l="1"/>
  <c r="D32" i="5"/>
  <c r="B32" i="5"/>
  <c r="F31" i="5"/>
  <c r="D31" i="5"/>
  <c r="B31" i="5"/>
  <c r="F30" i="5"/>
  <c r="D30" i="5"/>
  <c r="A34" i="5"/>
  <c r="G32" i="5"/>
  <c r="E32" i="5"/>
  <c r="C32" i="5"/>
  <c r="A32" i="5"/>
  <c r="G31" i="5"/>
  <c r="E31" i="5"/>
  <c r="C31" i="5"/>
  <c r="A31" i="5"/>
  <c r="G30" i="5"/>
  <c r="E30" i="5"/>
  <c r="B30" i="5"/>
  <c r="F29" i="5"/>
  <c r="D29" i="5"/>
  <c r="B29" i="5"/>
  <c r="F28" i="5"/>
  <c r="D28" i="5"/>
  <c r="B28" i="5"/>
  <c r="F27" i="5"/>
  <c r="D27" i="5"/>
  <c r="B27" i="5"/>
  <c r="C30" i="5"/>
  <c r="A30" i="5"/>
  <c r="G29" i="5"/>
  <c r="E29" i="5"/>
  <c r="C29" i="5"/>
  <c r="A29" i="5"/>
  <c r="G28" i="5"/>
  <c r="E28" i="5"/>
  <c r="C28" i="5"/>
  <c r="A28" i="5"/>
  <c r="G27" i="5"/>
  <c r="E27" i="5"/>
  <c r="C27" i="5"/>
  <c r="A27" i="5"/>
  <c r="F41" i="5" l="1"/>
  <c r="D41" i="5"/>
  <c r="B41" i="5"/>
  <c r="F40" i="5"/>
  <c r="D40" i="5"/>
  <c r="B40" i="5"/>
  <c r="D39" i="5"/>
  <c r="B39" i="5"/>
  <c r="F38" i="5"/>
  <c r="D38" i="5"/>
  <c r="B38" i="5"/>
  <c r="F37" i="5"/>
  <c r="D37" i="5"/>
  <c r="B37" i="5"/>
  <c r="F36" i="5"/>
  <c r="D36" i="5"/>
  <c r="B36" i="5"/>
  <c r="A43" i="5"/>
  <c r="G41" i="5"/>
  <c r="E41" i="5"/>
  <c r="C41" i="5"/>
  <c r="A41" i="5"/>
  <c r="G40" i="5"/>
  <c r="E40" i="5"/>
  <c r="C40" i="5"/>
  <c r="A40" i="5"/>
  <c r="G39" i="5"/>
  <c r="E39" i="5"/>
  <c r="C39" i="5"/>
  <c r="A39" i="5"/>
  <c r="G38" i="5"/>
  <c r="E38" i="5"/>
  <c r="C38" i="5"/>
  <c r="A38" i="5"/>
  <c r="G37" i="5"/>
  <c r="E37" i="5"/>
  <c r="C37" i="5"/>
  <c r="A37" i="5"/>
  <c r="G36" i="5"/>
  <c r="E36" i="5"/>
  <c r="C36" i="5"/>
  <c r="A36" i="5"/>
  <c r="F50" i="5" l="1"/>
  <c r="D50" i="5"/>
  <c r="B50" i="5"/>
  <c r="F49" i="5"/>
  <c r="D49" i="5"/>
  <c r="F48" i="5"/>
  <c r="D48" i="5"/>
  <c r="B48" i="5"/>
  <c r="F47" i="5"/>
  <c r="D47" i="5"/>
  <c r="B47" i="5"/>
  <c r="F46" i="5"/>
  <c r="D46" i="5"/>
  <c r="B46" i="5"/>
  <c r="A52" i="5"/>
  <c r="G50" i="5"/>
  <c r="E50" i="5"/>
  <c r="C50" i="5"/>
  <c r="A50" i="5"/>
  <c r="G49" i="5"/>
  <c r="E49" i="5"/>
  <c r="C49" i="5"/>
  <c r="A49" i="5"/>
  <c r="G48" i="5"/>
  <c r="E48" i="5"/>
  <c r="C48" i="5"/>
  <c r="A48" i="5"/>
  <c r="G47" i="5"/>
  <c r="E47" i="5"/>
  <c r="C47" i="5"/>
  <c r="A47" i="5"/>
  <c r="G46" i="5"/>
  <c r="C46" i="5"/>
  <c r="F45" i="5"/>
  <c r="D45" i="5"/>
  <c r="B45" i="5"/>
  <c r="E46" i="5"/>
  <c r="A46" i="5"/>
  <c r="G45" i="5"/>
  <c r="E45" i="5"/>
  <c r="C45" i="5"/>
  <c r="A45" i="5"/>
  <c r="F59" i="5" l="1"/>
  <c r="D59" i="5"/>
  <c r="B59" i="5"/>
  <c r="F58" i="5"/>
  <c r="D58" i="5"/>
  <c r="B58" i="5"/>
  <c r="F57" i="5"/>
  <c r="D57" i="5"/>
  <c r="B57" i="5"/>
  <c r="F56" i="5"/>
  <c r="D56" i="5"/>
  <c r="B56" i="5"/>
  <c r="F55" i="5"/>
  <c r="D55" i="5"/>
  <c r="B55" i="5"/>
  <c r="F54" i="5"/>
  <c r="D54" i="5"/>
  <c r="B54" i="5"/>
  <c r="G59" i="5"/>
  <c r="E59" i="5"/>
  <c r="C59" i="5"/>
  <c r="A59" i="5"/>
  <c r="G58" i="5"/>
  <c r="E58" i="5"/>
  <c r="C58" i="5"/>
  <c r="A58" i="5"/>
  <c r="G57" i="5"/>
  <c r="E57" i="5"/>
  <c r="C57" i="5"/>
  <c r="A57" i="5"/>
  <c r="G56" i="5"/>
  <c r="E56" i="5"/>
  <c r="C56" i="5"/>
  <c r="A56" i="5"/>
  <c r="G55" i="5"/>
  <c r="E55" i="5"/>
  <c r="C55" i="5"/>
  <c r="A55" i="5"/>
  <c r="G54" i="5"/>
  <c r="E54" i="5"/>
  <c r="C54" i="5"/>
  <c r="A54" i="5"/>
  <c r="Q7" i="5"/>
  <c r="R14" i="5" l="1"/>
  <c r="T14" i="5"/>
  <c r="V14" i="5"/>
  <c r="W14" i="5"/>
  <c r="Q14" i="5"/>
  <c r="S14" i="5"/>
  <c r="U14" i="5"/>
  <c r="Q16" i="5"/>
  <c r="W13" i="5"/>
  <c r="U13" i="5"/>
  <c r="S13" i="5"/>
  <c r="Q13" i="5"/>
  <c r="W12" i="5"/>
  <c r="U12" i="5"/>
  <c r="S12" i="5"/>
  <c r="Q12" i="5"/>
  <c r="W11" i="5"/>
  <c r="U11" i="5"/>
  <c r="S11" i="5"/>
  <c r="Q11" i="5"/>
  <c r="W10" i="5"/>
  <c r="U10" i="5"/>
  <c r="S10" i="5"/>
  <c r="Q10" i="5"/>
  <c r="W9" i="5"/>
  <c r="U9" i="5"/>
  <c r="S9" i="5"/>
  <c r="Q9" i="5"/>
  <c r="V13" i="5"/>
  <c r="T13" i="5"/>
  <c r="R13" i="5"/>
  <c r="V12" i="5"/>
  <c r="T12" i="5"/>
  <c r="R12" i="5"/>
  <c r="V11" i="5"/>
  <c r="T11" i="5"/>
  <c r="R11" i="5"/>
  <c r="V10" i="5"/>
  <c r="T10" i="5"/>
  <c r="R10" i="5"/>
  <c r="V9" i="5"/>
  <c r="T9" i="5"/>
  <c r="R9" i="5"/>
  <c r="Q25" i="5" l="1"/>
  <c r="W23" i="5"/>
  <c r="U23" i="5"/>
  <c r="S23" i="5"/>
  <c r="Q23" i="5"/>
  <c r="W22" i="5"/>
  <c r="U22" i="5"/>
  <c r="S22" i="5"/>
  <c r="Q22" i="5"/>
  <c r="W21" i="5"/>
  <c r="U21" i="5"/>
  <c r="S21" i="5"/>
  <c r="Q21" i="5"/>
  <c r="W20" i="5"/>
  <c r="U20" i="5"/>
  <c r="S20" i="5"/>
  <c r="Q20" i="5"/>
  <c r="W19" i="5"/>
  <c r="U19" i="5"/>
  <c r="S19" i="5"/>
  <c r="Q19" i="5"/>
  <c r="W18" i="5"/>
  <c r="U18" i="5"/>
  <c r="S18" i="5"/>
  <c r="Q18" i="5"/>
  <c r="V23" i="5"/>
  <c r="T23" i="5"/>
  <c r="R23" i="5"/>
  <c r="V22" i="5"/>
  <c r="T22" i="5"/>
  <c r="R22" i="5"/>
  <c r="V21" i="5"/>
  <c r="T21" i="5"/>
  <c r="R21" i="5"/>
  <c r="V20" i="5"/>
  <c r="T20" i="5"/>
  <c r="R20" i="5"/>
  <c r="V19" i="5"/>
  <c r="T19" i="5"/>
  <c r="R19" i="5"/>
  <c r="V18" i="5"/>
  <c r="T18" i="5"/>
  <c r="R18" i="5"/>
  <c r="Q34" i="5" l="1"/>
  <c r="W32" i="5"/>
  <c r="U32" i="5"/>
  <c r="S32" i="5"/>
  <c r="Q32" i="5"/>
  <c r="W31" i="5"/>
  <c r="U31" i="5"/>
  <c r="S31" i="5"/>
  <c r="Q31" i="5"/>
  <c r="W30" i="5"/>
  <c r="U30" i="5"/>
  <c r="S30" i="5"/>
  <c r="Q30" i="5"/>
  <c r="V32" i="5"/>
  <c r="T32" i="5"/>
  <c r="R32" i="5"/>
  <c r="V31" i="5"/>
  <c r="T31" i="5"/>
  <c r="R31" i="5"/>
  <c r="V30" i="5"/>
  <c r="T30" i="5"/>
  <c r="R30" i="5"/>
  <c r="W29" i="5"/>
  <c r="U29" i="5"/>
  <c r="S29" i="5"/>
  <c r="Q29" i="5"/>
  <c r="W28" i="5"/>
  <c r="U28" i="5"/>
  <c r="S28" i="5"/>
  <c r="Q28" i="5"/>
  <c r="W27" i="5"/>
  <c r="U27" i="5"/>
  <c r="S27" i="5"/>
  <c r="Q27" i="5"/>
  <c r="V29" i="5"/>
  <c r="T29" i="5"/>
  <c r="R29" i="5"/>
  <c r="V28" i="5"/>
  <c r="T28" i="5"/>
  <c r="R28" i="5"/>
  <c r="V27" i="5"/>
  <c r="T27" i="5"/>
  <c r="R27" i="5"/>
  <c r="Q43" i="5" l="1"/>
  <c r="W41" i="5"/>
  <c r="U41" i="5"/>
  <c r="S41" i="5"/>
  <c r="Q41" i="5"/>
  <c r="W40" i="5"/>
  <c r="U40" i="5"/>
  <c r="S40" i="5"/>
  <c r="Q40" i="5"/>
  <c r="W39" i="5"/>
  <c r="U39" i="5"/>
  <c r="S39" i="5"/>
  <c r="Q39" i="5"/>
  <c r="W38" i="5"/>
  <c r="U38" i="5"/>
  <c r="S38" i="5"/>
  <c r="Q38" i="5"/>
  <c r="W37" i="5"/>
  <c r="U37" i="5"/>
  <c r="S37" i="5"/>
  <c r="Q37" i="5"/>
  <c r="W36" i="5"/>
  <c r="U36" i="5"/>
  <c r="S36" i="5"/>
  <c r="Q36" i="5"/>
  <c r="V41" i="5"/>
  <c r="T41" i="5"/>
  <c r="R41" i="5"/>
  <c r="V40" i="5"/>
  <c r="T40" i="5"/>
  <c r="R40" i="5"/>
  <c r="V39" i="5"/>
  <c r="T39" i="5"/>
  <c r="R39" i="5"/>
  <c r="V38" i="5"/>
  <c r="T38" i="5"/>
  <c r="R38" i="5"/>
  <c r="V37" i="5"/>
  <c r="T37" i="5"/>
  <c r="R37" i="5"/>
  <c r="V36" i="5"/>
  <c r="T36" i="5"/>
  <c r="R36" i="5"/>
  <c r="Q52" i="5" l="1"/>
  <c r="W50" i="5"/>
  <c r="U50" i="5"/>
  <c r="S50" i="5"/>
  <c r="Q50" i="5"/>
  <c r="W49" i="5"/>
  <c r="U49" i="5"/>
  <c r="S49" i="5"/>
  <c r="Q49" i="5"/>
  <c r="W48" i="5"/>
  <c r="U48" i="5"/>
  <c r="S48" i="5"/>
  <c r="Q48" i="5"/>
  <c r="W47" i="5"/>
  <c r="U47" i="5"/>
  <c r="S47" i="5"/>
  <c r="Q47" i="5"/>
  <c r="W46" i="5"/>
  <c r="U46" i="5"/>
  <c r="S46" i="5"/>
  <c r="Q46" i="5"/>
  <c r="V50" i="5"/>
  <c r="T50" i="5"/>
  <c r="R50" i="5"/>
  <c r="V49" i="5"/>
  <c r="T49" i="5"/>
  <c r="R49" i="5"/>
  <c r="V48" i="5"/>
  <c r="T48" i="5"/>
  <c r="R48" i="5"/>
  <c r="V47" i="5"/>
  <c r="T47" i="5"/>
  <c r="R47" i="5"/>
  <c r="V46" i="5"/>
  <c r="T46" i="5"/>
  <c r="R46" i="5"/>
  <c r="W45" i="5"/>
  <c r="U45" i="5"/>
  <c r="S45" i="5"/>
  <c r="Q45" i="5"/>
  <c r="V45" i="5"/>
  <c r="T45" i="5"/>
  <c r="R45" i="5"/>
  <c r="R57" i="5" l="1"/>
  <c r="V57" i="5"/>
  <c r="S57" i="5"/>
  <c r="W57" i="5"/>
  <c r="T57" i="5"/>
  <c r="Q57" i="5"/>
  <c r="U57" i="5"/>
  <c r="W59" i="5"/>
  <c r="U59" i="5"/>
  <c r="S59" i="5"/>
  <c r="Q59" i="5"/>
  <c r="W58" i="5"/>
  <c r="U58" i="5"/>
  <c r="S58" i="5"/>
  <c r="Q58" i="5"/>
  <c r="W56" i="5"/>
  <c r="U56" i="5"/>
  <c r="S56" i="5"/>
  <c r="Q56" i="5"/>
  <c r="W55" i="5"/>
  <c r="U55" i="5"/>
  <c r="S55" i="5"/>
  <c r="Q55" i="5"/>
  <c r="W54" i="5"/>
  <c r="U54" i="5"/>
  <c r="S54" i="5"/>
  <c r="Q54" i="5"/>
  <c r="V59" i="5"/>
  <c r="T59" i="5"/>
  <c r="R59" i="5"/>
  <c r="V58" i="5"/>
  <c r="T58" i="5"/>
  <c r="R58" i="5"/>
  <c r="V56" i="5"/>
  <c r="T56" i="5"/>
  <c r="R56" i="5"/>
  <c r="V55" i="5"/>
  <c r="T55" i="5"/>
  <c r="R55" i="5"/>
  <c r="V54" i="5"/>
  <c r="T54" i="5"/>
  <c r="R54" i="5"/>
</calcChain>
</file>

<file path=xl/comments1.xml><?xml version="1.0" encoding="utf-8"?>
<comments xmlns="http://schemas.openxmlformats.org/spreadsheetml/2006/main">
  <authors>
    <author>Jon</author>
    <author>Folino, Clara</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B10" authorId="1">
      <text>
        <r>
          <rPr>
            <b/>
            <sz val="9"/>
            <color indexed="81"/>
            <rFont val="Tahoma"/>
            <family val="2"/>
          </rPr>
          <t>Folino, Clara:</t>
        </r>
        <r>
          <rPr>
            <sz val="9"/>
            <color indexed="81"/>
            <rFont val="Tahoma"/>
            <family val="2"/>
          </rPr>
          <t xml:space="preserve">
Christy no AM intermediate class
No knox</t>
        </r>
      </text>
    </comment>
    <comment ref="C10" authorId="1">
      <text>
        <r>
          <rPr>
            <b/>
            <sz val="9"/>
            <color indexed="81"/>
            <rFont val="Tahoma"/>
            <family val="2"/>
          </rPr>
          <t>Folino, Clara:</t>
        </r>
        <r>
          <rPr>
            <sz val="9"/>
            <color indexed="81"/>
            <rFont val="Tahoma"/>
            <family val="2"/>
          </rPr>
          <t xml:space="preserve">
Class eve cancel--water
</t>
        </r>
      </text>
    </comment>
    <comment ref="D10" authorId="1">
      <text>
        <r>
          <rPr>
            <b/>
            <sz val="9"/>
            <color indexed="81"/>
            <rFont val="Tahoma"/>
            <family val="2"/>
          </rPr>
          <t>Folino, Clara:</t>
        </r>
        <r>
          <rPr>
            <sz val="9"/>
            <color indexed="81"/>
            <rFont val="Tahoma"/>
            <family val="2"/>
          </rPr>
          <t xml:space="preserve">
no knox</t>
        </r>
      </text>
    </comment>
    <comment ref="F10" authorId="1">
      <text>
        <r>
          <rPr>
            <b/>
            <sz val="9"/>
            <color indexed="81"/>
            <rFont val="Tahoma"/>
            <family val="2"/>
          </rPr>
          <t>Folino, Clara:</t>
        </r>
        <r>
          <rPr>
            <sz val="9"/>
            <color indexed="81"/>
            <rFont val="Tahoma"/>
            <family val="2"/>
          </rPr>
          <t xml:space="preserve">
no knox</t>
        </r>
      </text>
    </comment>
    <comment ref="D11" authorId="1">
      <text>
        <r>
          <rPr>
            <b/>
            <sz val="9"/>
            <color indexed="81"/>
            <rFont val="Tahoma"/>
            <family val="2"/>
          </rPr>
          <t>Folino, Clara:</t>
        </r>
        <r>
          <rPr>
            <sz val="9"/>
            <color indexed="81"/>
            <rFont val="Tahoma"/>
            <family val="2"/>
          </rPr>
          <t xml:space="preserve">
Class eve cancel--water</t>
        </r>
      </text>
    </comment>
    <comment ref="B12" authorId="1">
      <text>
        <r>
          <rPr>
            <b/>
            <sz val="9"/>
            <color indexed="81"/>
            <rFont val="Tahoma"/>
            <family val="2"/>
          </rPr>
          <t>Folino, Clara:</t>
        </r>
        <r>
          <rPr>
            <sz val="9"/>
            <color indexed="81"/>
            <rFont val="Tahoma"/>
            <family val="2"/>
          </rPr>
          <t xml:space="preserve">
NO PM ABE</t>
        </r>
      </text>
    </comment>
    <comment ref="D13" authorId="1">
      <text>
        <r>
          <rPr>
            <b/>
            <sz val="9"/>
            <color indexed="81"/>
            <rFont val="Tahoma"/>
            <family val="2"/>
          </rPr>
          <t>Folino, Clara:</t>
        </r>
        <r>
          <rPr>
            <sz val="9"/>
            <color indexed="81"/>
            <rFont val="Tahoma"/>
            <family val="2"/>
          </rPr>
          <t xml:space="preserve">
NO ABE</t>
        </r>
      </text>
    </comment>
  </commentList>
</comments>
</file>

<file path=xl/comments2.xml><?xml version="1.0" encoding="utf-8"?>
<comments xmlns="http://schemas.openxmlformats.org/spreadsheetml/2006/main">
  <authors>
    <author>Jon</author>
    <author>Folino, Clara</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B10" authorId="1">
      <text>
        <r>
          <rPr>
            <b/>
            <sz val="9"/>
            <color indexed="81"/>
            <rFont val="Tahoma"/>
            <family val="2"/>
          </rPr>
          <t>Folino, Clara:</t>
        </r>
        <r>
          <rPr>
            <sz val="9"/>
            <color indexed="81"/>
            <rFont val="Tahoma"/>
            <family val="2"/>
          </rPr>
          <t xml:space="preserve">
Christy no AM intermediate class
No knox</t>
        </r>
      </text>
    </comment>
    <comment ref="C10" authorId="1">
      <text>
        <r>
          <rPr>
            <b/>
            <sz val="9"/>
            <color indexed="81"/>
            <rFont val="Tahoma"/>
            <family val="2"/>
          </rPr>
          <t>Folino, Clara:</t>
        </r>
        <r>
          <rPr>
            <sz val="9"/>
            <color indexed="81"/>
            <rFont val="Tahoma"/>
            <family val="2"/>
          </rPr>
          <t xml:space="preserve">
Class eve cancel--water
</t>
        </r>
      </text>
    </comment>
    <comment ref="D10" authorId="1">
      <text>
        <r>
          <rPr>
            <b/>
            <sz val="9"/>
            <color indexed="81"/>
            <rFont val="Tahoma"/>
            <family val="2"/>
          </rPr>
          <t>Folino, Clara:</t>
        </r>
        <r>
          <rPr>
            <sz val="9"/>
            <color indexed="81"/>
            <rFont val="Tahoma"/>
            <family val="2"/>
          </rPr>
          <t xml:space="preserve">
no knox</t>
        </r>
      </text>
    </comment>
    <comment ref="F10" authorId="1">
      <text>
        <r>
          <rPr>
            <b/>
            <sz val="9"/>
            <color indexed="81"/>
            <rFont val="Tahoma"/>
            <family val="2"/>
          </rPr>
          <t>Folino, Clara:</t>
        </r>
        <r>
          <rPr>
            <sz val="9"/>
            <color indexed="81"/>
            <rFont val="Tahoma"/>
            <family val="2"/>
          </rPr>
          <t xml:space="preserve">
no knox</t>
        </r>
      </text>
    </comment>
    <comment ref="D11" authorId="1">
      <text>
        <r>
          <rPr>
            <b/>
            <sz val="9"/>
            <color indexed="81"/>
            <rFont val="Tahoma"/>
            <family val="2"/>
          </rPr>
          <t>Folino, Clara:</t>
        </r>
        <r>
          <rPr>
            <sz val="9"/>
            <color indexed="81"/>
            <rFont val="Tahoma"/>
            <family val="2"/>
          </rPr>
          <t xml:space="preserve">
Class eve cancel--water</t>
        </r>
      </text>
    </comment>
    <comment ref="B12" authorId="1">
      <text>
        <r>
          <rPr>
            <b/>
            <sz val="9"/>
            <color indexed="81"/>
            <rFont val="Tahoma"/>
            <family val="2"/>
          </rPr>
          <t>Folino, Clara:</t>
        </r>
        <r>
          <rPr>
            <sz val="9"/>
            <color indexed="81"/>
            <rFont val="Tahoma"/>
            <family val="2"/>
          </rPr>
          <t xml:space="preserve">
NO PM ABE</t>
        </r>
      </text>
    </comment>
    <comment ref="D13" authorId="1">
      <text>
        <r>
          <rPr>
            <b/>
            <sz val="9"/>
            <color indexed="81"/>
            <rFont val="Tahoma"/>
            <family val="2"/>
          </rPr>
          <t>Folino, Clara:</t>
        </r>
        <r>
          <rPr>
            <sz val="9"/>
            <color indexed="81"/>
            <rFont val="Tahoma"/>
            <family val="2"/>
          </rPr>
          <t xml:space="preserve">
NO ABE</t>
        </r>
      </text>
    </comment>
  </commentList>
</comments>
</file>

<file path=xl/comments3.xml><?xml version="1.0" encoding="utf-8"?>
<comments xmlns="http://schemas.openxmlformats.org/spreadsheetml/2006/main">
  <authors>
    <author>Jon</author>
    <author>Folino, Clara</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B10" authorId="1">
      <text>
        <r>
          <rPr>
            <b/>
            <sz val="9"/>
            <color indexed="81"/>
            <rFont val="Tahoma"/>
            <family val="2"/>
          </rPr>
          <t>Folino, Clara:</t>
        </r>
        <r>
          <rPr>
            <sz val="9"/>
            <color indexed="81"/>
            <rFont val="Tahoma"/>
            <family val="2"/>
          </rPr>
          <t xml:space="preserve">
Christy no AM intermediate class
No knox</t>
        </r>
      </text>
    </comment>
    <comment ref="C10" authorId="1">
      <text>
        <r>
          <rPr>
            <b/>
            <sz val="9"/>
            <color indexed="81"/>
            <rFont val="Tahoma"/>
            <family val="2"/>
          </rPr>
          <t>Folino, Clara:</t>
        </r>
        <r>
          <rPr>
            <sz val="9"/>
            <color indexed="81"/>
            <rFont val="Tahoma"/>
            <family val="2"/>
          </rPr>
          <t xml:space="preserve">
Class eve cancel--water
</t>
        </r>
      </text>
    </comment>
    <comment ref="D10" authorId="1">
      <text>
        <r>
          <rPr>
            <b/>
            <sz val="9"/>
            <color indexed="81"/>
            <rFont val="Tahoma"/>
            <family val="2"/>
          </rPr>
          <t>Folino, Clara:</t>
        </r>
        <r>
          <rPr>
            <sz val="9"/>
            <color indexed="81"/>
            <rFont val="Tahoma"/>
            <family val="2"/>
          </rPr>
          <t xml:space="preserve">
no knox</t>
        </r>
      </text>
    </comment>
    <comment ref="F10" authorId="1">
      <text>
        <r>
          <rPr>
            <b/>
            <sz val="9"/>
            <color indexed="81"/>
            <rFont val="Tahoma"/>
            <family val="2"/>
          </rPr>
          <t>Folino, Clara:</t>
        </r>
        <r>
          <rPr>
            <sz val="9"/>
            <color indexed="81"/>
            <rFont val="Tahoma"/>
            <family val="2"/>
          </rPr>
          <t xml:space="preserve">
no knox</t>
        </r>
      </text>
    </comment>
    <comment ref="D11" authorId="1">
      <text>
        <r>
          <rPr>
            <b/>
            <sz val="9"/>
            <color indexed="81"/>
            <rFont val="Tahoma"/>
            <family val="2"/>
          </rPr>
          <t>Folino, Clara:</t>
        </r>
        <r>
          <rPr>
            <sz val="9"/>
            <color indexed="81"/>
            <rFont val="Tahoma"/>
            <family val="2"/>
          </rPr>
          <t xml:space="preserve">
Class eve cancel--water</t>
        </r>
      </text>
    </comment>
    <comment ref="B12" authorId="1">
      <text>
        <r>
          <rPr>
            <b/>
            <sz val="9"/>
            <color indexed="81"/>
            <rFont val="Tahoma"/>
            <family val="2"/>
          </rPr>
          <t>Folino, Clara:</t>
        </r>
        <r>
          <rPr>
            <sz val="9"/>
            <color indexed="81"/>
            <rFont val="Tahoma"/>
            <family val="2"/>
          </rPr>
          <t xml:space="preserve">
NO PM ABE</t>
        </r>
      </text>
    </comment>
    <comment ref="D13" authorId="1">
      <text>
        <r>
          <rPr>
            <b/>
            <sz val="9"/>
            <color indexed="81"/>
            <rFont val="Tahoma"/>
            <family val="2"/>
          </rPr>
          <t>Folino, Clara:</t>
        </r>
        <r>
          <rPr>
            <sz val="9"/>
            <color indexed="81"/>
            <rFont val="Tahoma"/>
            <family val="2"/>
          </rPr>
          <t xml:space="preserve">
NO ABE</t>
        </r>
      </text>
    </comment>
  </commentList>
</comments>
</file>

<file path=xl/comments4.xml><?xml version="1.0" encoding="utf-8"?>
<comments xmlns="http://schemas.openxmlformats.org/spreadsheetml/2006/main">
  <authors>
    <author>Jon</author>
    <author>Folino, Clara</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B10" authorId="1">
      <text>
        <r>
          <rPr>
            <b/>
            <sz val="9"/>
            <color indexed="81"/>
            <rFont val="Tahoma"/>
            <family val="2"/>
          </rPr>
          <t>Folino, Clara:</t>
        </r>
        <r>
          <rPr>
            <sz val="9"/>
            <color indexed="81"/>
            <rFont val="Tahoma"/>
            <family val="2"/>
          </rPr>
          <t xml:space="preserve">
Christy no AM intermediate class
No knox</t>
        </r>
      </text>
    </comment>
    <comment ref="C10" authorId="1">
      <text>
        <r>
          <rPr>
            <b/>
            <sz val="9"/>
            <color indexed="81"/>
            <rFont val="Tahoma"/>
            <family val="2"/>
          </rPr>
          <t>Folino, Clara:</t>
        </r>
        <r>
          <rPr>
            <sz val="9"/>
            <color indexed="81"/>
            <rFont val="Tahoma"/>
            <family val="2"/>
          </rPr>
          <t xml:space="preserve">
Class eve cancel--water
</t>
        </r>
      </text>
    </comment>
    <comment ref="D10" authorId="1">
      <text>
        <r>
          <rPr>
            <b/>
            <sz val="9"/>
            <color indexed="81"/>
            <rFont val="Tahoma"/>
            <family val="2"/>
          </rPr>
          <t>Folino, Clara:</t>
        </r>
        <r>
          <rPr>
            <sz val="9"/>
            <color indexed="81"/>
            <rFont val="Tahoma"/>
            <family val="2"/>
          </rPr>
          <t xml:space="preserve">
no knox</t>
        </r>
      </text>
    </comment>
    <comment ref="F10" authorId="1">
      <text>
        <r>
          <rPr>
            <b/>
            <sz val="9"/>
            <color indexed="81"/>
            <rFont val="Tahoma"/>
            <family val="2"/>
          </rPr>
          <t>Folino, Clara:</t>
        </r>
        <r>
          <rPr>
            <sz val="9"/>
            <color indexed="81"/>
            <rFont val="Tahoma"/>
            <family val="2"/>
          </rPr>
          <t xml:space="preserve">
no knox</t>
        </r>
      </text>
    </comment>
    <comment ref="D11" authorId="1">
      <text>
        <r>
          <rPr>
            <b/>
            <sz val="9"/>
            <color indexed="81"/>
            <rFont val="Tahoma"/>
            <family val="2"/>
          </rPr>
          <t>Folino, Clara:</t>
        </r>
        <r>
          <rPr>
            <sz val="9"/>
            <color indexed="81"/>
            <rFont val="Tahoma"/>
            <family val="2"/>
          </rPr>
          <t xml:space="preserve">
Class eve cancel--water</t>
        </r>
      </text>
    </comment>
    <comment ref="B12" authorId="1">
      <text>
        <r>
          <rPr>
            <b/>
            <sz val="9"/>
            <color indexed="81"/>
            <rFont val="Tahoma"/>
            <family val="2"/>
          </rPr>
          <t>Folino, Clara:</t>
        </r>
        <r>
          <rPr>
            <sz val="9"/>
            <color indexed="81"/>
            <rFont val="Tahoma"/>
            <family val="2"/>
          </rPr>
          <t xml:space="preserve">
NO PM ABE</t>
        </r>
      </text>
    </comment>
    <comment ref="D13" authorId="1">
      <text>
        <r>
          <rPr>
            <b/>
            <sz val="9"/>
            <color indexed="81"/>
            <rFont val="Tahoma"/>
            <family val="2"/>
          </rPr>
          <t>Folino, Clara:</t>
        </r>
        <r>
          <rPr>
            <sz val="9"/>
            <color indexed="81"/>
            <rFont val="Tahoma"/>
            <family val="2"/>
          </rPr>
          <t xml:space="preserve">
NO ABE</t>
        </r>
      </text>
    </comment>
  </commentList>
</comments>
</file>

<file path=xl/comments5.xml><?xml version="1.0" encoding="utf-8"?>
<comments xmlns="http://schemas.openxmlformats.org/spreadsheetml/2006/main">
  <authors>
    <author>Jon</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comments6.xml><?xml version="1.0" encoding="utf-8"?>
<comments xmlns="http://schemas.openxmlformats.org/spreadsheetml/2006/main">
  <authors>
    <author>Jon</author>
    <author>Folino, Clara</author>
  </authors>
  <commentList>
    <comment ref="R2" authorId="0">
      <text>
        <r>
          <rPr>
            <b/>
            <u/>
            <sz val="8"/>
            <color indexed="81"/>
            <rFont val="Tahoma"/>
            <family val="2"/>
          </rPr>
          <t xml:space="preserve">Limited Use Policy
</t>
        </r>
        <r>
          <rPr>
            <sz val="8"/>
            <color indexed="81"/>
            <rFont val="Tahoma"/>
            <family val="2"/>
          </rPr>
          <t xml:space="preserve">You may make archival copies and customize the template (the "Software") for personal use only. This template or any document including or derived from this template </t>
        </r>
        <r>
          <rPr>
            <b/>
            <sz val="8"/>
            <color indexed="81"/>
            <rFont val="Tahoma"/>
            <family val="2"/>
          </rPr>
          <t>may NOT be sold, distributed, or placed on a public server such as the internet</t>
        </r>
        <r>
          <rPr>
            <sz val="8"/>
            <color indexed="81"/>
            <rFont val="Tahoma"/>
            <family val="2"/>
          </rPr>
          <t xml:space="preserve"> without the express written permission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B10" authorId="1">
      <text>
        <r>
          <rPr>
            <b/>
            <sz val="9"/>
            <color indexed="81"/>
            <rFont val="Tahoma"/>
            <family val="2"/>
          </rPr>
          <t>Folino, Clara:</t>
        </r>
        <r>
          <rPr>
            <sz val="9"/>
            <color indexed="81"/>
            <rFont val="Tahoma"/>
            <family val="2"/>
          </rPr>
          <t xml:space="preserve">
Christy no AM intermediate class
No knox</t>
        </r>
      </text>
    </comment>
    <comment ref="C10" authorId="1">
      <text>
        <r>
          <rPr>
            <b/>
            <sz val="9"/>
            <color indexed="81"/>
            <rFont val="Tahoma"/>
            <family val="2"/>
          </rPr>
          <t>Folino, Clara:</t>
        </r>
        <r>
          <rPr>
            <sz val="9"/>
            <color indexed="81"/>
            <rFont val="Tahoma"/>
            <family val="2"/>
          </rPr>
          <t xml:space="preserve">
Class eve cancel--water
</t>
        </r>
      </text>
    </comment>
    <comment ref="D10" authorId="1">
      <text>
        <r>
          <rPr>
            <b/>
            <sz val="9"/>
            <color indexed="81"/>
            <rFont val="Tahoma"/>
            <family val="2"/>
          </rPr>
          <t>Folino, Clara:</t>
        </r>
        <r>
          <rPr>
            <sz val="9"/>
            <color indexed="81"/>
            <rFont val="Tahoma"/>
            <family val="2"/>
          </rPr>
          <t xml:space="preserve">
no knox</t>
        </r>
      </text>
    </comment>
    <comment ref="F10" authorId="1">
      <text>
        <r>
          <rPr>
            <b/>
            <sz val="9"/>
            <color indexed="81"/>
            <rFont val="Tahoma"/>
            <family val="2"/>
          </rPr>
          <t>Folino, Clara:</t>
        </r>
        <r>
          <rPr>
            <sz val="9"/>
            <color indexed="81"/>
            <rFont val="Tahoma"/>
            <family val="2"/>
          </rPr>
          <t xml:space="preserve">
no knox</t>
        </r>
      </text>
    </comment>
    <comment ref="D11" authorId="1">
      <text>
        <r>
          <rPr>
            <b/>
            <sz val="9"/>
            <color indexed="81"/>
            <rFont val="Tahoma"/>
            <family val="2"/>
          </rPr>
          <t>Folino, Clara:</t>
        </r>
        <r>
          <rPr>
            <sz val="9"/>
            <color indexed="81"/>
            <rFont val="Tahoma"/>
            <family val="2"/>
          </rPr>
          <t xml:space="preserve">
Class eve cancel--water</t>
        </r>
      </text>
    </comment>
    <comment ref="B12" authorId="1">
      <text>
        <r>
          <rPr>
            <b/>
            <sz val="9"/>
            <color indexed="81"/>
            <rFont val="Tahoma"/>
            <family val="2"/>
          </rPr>
          <t>Folino, Clara:</t>
        </r>
        <r>
          <rPr>
            <sz val="9"/>
            <color indexed="81"/>
            <rFont val="Tahoma"/>
            <family val="2"/>
          </rPr>
          <t xml:space="preserve">
NO PM ABE</t>
        </r>
      </text>
    </comment>
    <comment ref="D13" authorId="1">
      <text>
        <r>
          <rPr>
            <b/>
            <sz val="9"/>
            <color indexed="81"/>
            <rFont val="Tahoma"/>
            <family val="2"/>
          </rPr>
          <t>Folino, Clara:</t>
        </r>
        <r>
          <rPr>
            <sz val="9"/>
            <color indexed="81"/>
            <rFont val="Tahoma"/>
            <family val="2"/>
          </rPr>
          <t xml:space="preserve">
NO ABE</t>
        </r>
      </text>
    </comment>
  </commentList>
</comments>
</file>

<file path=xl/sharedStrings.xml><?xml version="1.0" encoding="utf-8"?>
<sst xmlns="http://schemas.openxmlformats.org/spreadsheetml/2006/main" count="1340" uniqueCount="497">
  <si>
    <t>Foundations</t>
  </si>
  <si>
    <t>GED</t>
  </si>
  <si>
    <t>Civics</t>
  </si>
  <si>
    <t>Transitions</t>
  </si>
  <si>
    <t>ABE</t>
  </si>
  <si>
    <t>Grant</t>
  </si>
  <si>
    <t>Adv Eve</t>
  </si>
  <si>
    <t>Emily Shultz</t>
  </si>
  <si>
    <t>Deb Warren</t>
  </si>
  <si>
    <t>Elaine Hrivnak</t>
  </si>
  <si>
    <t>Kristin Daniels</t>
  </si>
  <si>
    <t>Christy Vanpoolen</t>
  </si>
  <si>
    <t>Christine Telfer</t>
  </si>
  <si>
    <t>Pauline Walsh</t>
  </si>
  <si>
    <t>Support</t>
  </si>
  <si>
    <t>Data</t>
  </si>
  <si>
    <t>Vanessa Garcia</t>
  </si>
  <si>
    <t>Lea Havas</t>
  </si>
  <si>
    <t>Tricia leonard Briceno</t>
  </si>
  <si>
    <t>Yearly Calendar</t>
  </si>
  <si>
    <t>www.vertex42.com/calendars</t>
  </si>
  <si>
    <t>© 2005-2009 Vertex42 LLC</t>
  </si>
  <si>
    <t>Year</t>
  </si>
  <si>
    <t>Month</t>
  </si>
  <si>
    <t>Start Day</t>
  </si>
  <si>
    <t>1: Sunday, 2: Monday</t>
  </si>
  <si>
    <t>This Calendar is subject to change</t>
  </si>
  <si>
    <t>Holiday/school closed</t>
  </si>
  <si>
    <t>Adds for new and returning students</t>
  </si>
  <si>
    <t xml:space="preserve"> </t>
  </si>
  <si>
    <t>Nick Cielieski</t>
  </si>
  <si>
    <t>Tutor Training</t>
  </si>
  <si>
    <t>Case Management</t>
  </si>
  <si>
    <t>TOTAL</t>
  </si>
  <si>
    <t>Sept</t>
  </si>
  <si>
    <t>Oct</t>
  </si>
  <si>
    <t>Carrick</t>
  </si>
  <si>
    <t>Clara Folino</t>
  </si>
  <si>
    <t>Aimee Firtz</t>
  </si>
  <si>
    <t>Laura mares</t>
  </si>
  <si>
    <t>Travel</t>
  </si>
  <si>
    <t>Laura Mares</t>
  </si>
  <si>
    <t>Date</t>
  </si>
  <si>
    <t>Transitions Eve</t>
  </si>
  <si>
    <t>May</t>
  </si>
  <si>
    <t>Jul</t>
  </si>
  <si>
    <t>Aug</t>
  </si>
  <si>
    <t>Nov</t>
  </si>
  <si>
    <t>Dec</t>
  </si>
  <si>
    <t>Jan</t>
  </si>
  <si>
    <t>Feb</t>
  </si>
  <si>
    <t>Mar</t>
  </si>
  <si>
    <t>Christine Burton</t>
  </si>
  <si>
    <t>Deborah Warren</t>
  </si>
  <si>
    <t>July</t>
  </si>
  <si>
    <t>April</t>
  </si>
  <si>
    <t>June</t>
  </si>
  <si>
    <t>TOTALS</t>
  </si>
  <si>
    <t>version July 1,2015</t>
  </si>
  <si>
    <t>Adv</t>
  </si>
  <si>
    <t>Knox</t>
  </si>
  <si>
    <t>CCAC</t>
  </si>
  <si>
    <t>Overflow</t>
  </si>
  <si>
    <t>Civics Carrick</t>
  </si>
  <si>
    <t>GED Lab</t>
  </si>
  <si>
    <t>PLC 3 11:30-2:30</t>
  </si>
  <si>
    <t xml:space="preserve">1= evening;  2=Off Site;  3=Workplace </t>
  </si>
  <si>
    <t>weeks</t>
  </si>
  <si>
    <t>hrs/wk</t>
  </si>
  <si>
    <t>*2 classes</t>
  </si>
  <si>
    <t>Teacher/Curriculum</t>
  </si>
  <si>
    <t>ACJ</t>
  </si>
  <si>
    <t>months</t>
  </si>
  <si>
    <t>Teacher/Curriculum - ACJ</t>
  </si>
  <si>
    <t>Myrna Schwartz</t>
  </si>
  <si>
    <t>ABE CCAC</t>
  </si>
  <si>
    <t>TBA</t>
  </si>
  <si>
    <t>ABE Duq</t>
  </si>
  <si>
    <t>Art Dickter</t>
  </si>
  <si>
    <t>ABE Homestead</t>
  </si>
  <si>
    <t>ABE Northside</t>
  </si>
  <si>
    <t>Basic ESL Knoxville</t>
  </si>
  <si>
    <t>Int Eve</t>
  </si>
  <si>
    <t>ABE Trans</t>
  </si>
  <si>
    <t>Mine</t>
  </si>
  <si>
    <t xml:space="preserve">Basic ESL </t>
  </si>
  <si>
    <t>Edata/Registrar</t>
  </si>
  <si>
    <t>Christy Van Poolen</t>
  </si>
  <si>
    <t xml:space="preserve">CaseMgmt </t>
  </si>
  <si>
    <t>Tricia Leonard Briceno</t>
  </si>
  <si>
    <t>All staff - PD</t>
  </si>
  <si>
    <t>Tutor Trainer</t>
  </si>
  <si>
    <t>Christine Van Poolen</t>
  </si>
  <si>
    <t>ESL Mid</t>
  </si>
  <si>
    <t>Int</t>
  </si>
  <si>
    <t>2.25 hrs prep</t>
  </si>
  <si>
    <t>COST</t>
  </si>
  <si>
    <t>WEEK</t>
  </si>
  <si>
    <t>RATE</t>
  </si>
  <si>
    <t>TITLE</t>
  </si>
  <si>
    <t>PER</t>
  </si>
  <si>
    <t>WAGE</t>
  </si>
  <si>
    <t>PROGRAM</t>
  </si>
  <si>
    <t>POSITION OR</t>
  </si>
  <si>
    <t>ESTIMATED</t>
  </si>
  <si>
    <t>MONTHS</t>
  </si>
  <si>
    <t>HOURS.</t>
  </si>
  <si>
    <t>MONTHLY</t>
  </si>
  <si>
    <t>HOURLY</t>
  </si>
  <si>
    <t>TIME</t>
  </si>
  <si>
    <t>AVG.</t>
  </si>
  <si>
    <t>% OF</t>
  </si>
  <si>
    <t>%  Funding Agency</t>
  </si>
  <si>
    <t>SALARIES-STAFF</t>
  </si>
  <si>
    <t>15-16</t>
  </si>
  <si>
    <t>Christine Weaver</t>
  </si>
  <si>
    <t>All Day staff meeting 9-2, PLC 11:30-2:30 as noted</t>
  </si>
  <si>
    <t>#classes</t>
  </si>
  <si>
    <t>GEDLab</t>
  </si>
  <si>
    <t>Class Planning Hours</t>
  </si>
  <si>
    <t>PD hours</t>
  </si>
  <si>
    <t>TH eve</t>
  </si>
  <si>
    <t>MWF AM</t>
  </si>
  <si>
    <t xml:space="preserve">Class </t>
  </si>
  <si>
    <t>Orientation dates</t>
  </si>
  <si>
    <t>Goals classes</t>
  </si>
  <si>
    <t>TS due to office</t>
  </si>
  <si>
    <t>CivicKnox</t>
  </si>
  <si>
    <t>CivicCarrick</t>
  </si>
  <si>
    <t>TWH PM</t>
  </si>
  <si>
    <t>need</t>
  </si>
  <si>
    <t xml:space="preserve">TRAINING </t>
  </si>
  <si>
    <t>AM</t>
  </si>
  <si>
    <t>Knoxville</t>
  </si>
  <si>
    <t>Various</t>
  </si>
  <si>
    <t>PD Coord.</t>
  </si>
  <si>
    <t>Case Mgr - Barriers</t>
  </si>
  <si>
    <t>Case Mgr - Testing</t>
  </si>
  <si>
    <t>Coordinator/Supervisor</t>
  </si>
  <si>
    <t>(Clara)</t>
  </si>
  <si>
    <t>Chris Matasich</t>
  </si>
  <si>
    <t>Tutor training</t>
  </si>
  <si>
    <t>Cmeve</t>
  </si>
  <si>
    <t>160hrs</t>
  </si>
  <si>
    <t>200 hours</t>
  </si>
  <si>
    <t>1250 hours</t>
  </si>
  <si>
    <t>850 hours</t>
  </si>
  <si>
    <t>CM OS</t>
  </si>
  <si>
    <t>30hrs</t>
  </si>
  <si>
    <t>Cmcivics</t>
  </si>
  <si>
    <t>34hours</t>
  </si>
  <si>
    <t>Orientation/goals</t>
  </si>
  <si>
    <t>CMDay</t>
  </si>
  <si>
    <t>100 hours</t>
  </si>
  <si>
    <t>175 hours</t>
  </si>
  <si>
    <t>550 hours</t>
  </si>
  <si>
    <t>TWH eve</t>
  </si>
  <si>
    <t>MTWeve</t>
  </si>
  <si>
    <t>Northside mw</t>
  </si>
  <si>
    <t>Duquesne th</t>
  </si>
  <si>
    <t>Staff meeting</t>
  </si>
  <si>
    <t>Off site orientation dates</t>
  </si>
  <si>
    <t xml:space="preserve">Classes </t>
  </si>
  <si>
    <t xml:space="preserve"> M 5:30-8:30</t>
  </si>
  <si>
    <t>Name</t>
  </si>
  <si>
    <t>Amount</t>
  </si>
  <si>
    <t>kristy Decola</t>
  </si>
  <si>
    <t>civics</t>
  </si>
  <si>
    <t>Lynn Leclaire</t>
  </si>
  <si>
    <t>admin meeting(july)</t>
  </si>
  <si>
    <t>P-card</t>
  </si>
  <si>
    <t>federal</t>
  </si>
  <si>
    <t>Aimee Firtz August</t>
  </si>
  <si>
    <t>Summer Inst (Aug)</t>
  </si>
  <si>
    <t>Class</t>
  </si>
  <si>
    <t>Basic ESL AM</t>
  </si>
  <si>
    <t>Basic ESL Eve</t>
  </si>
  <si>
    <t>CCAC ABE</t>
  </si>
  <si>
    <t>Advance AM</t>
  </si>
  <si>
    <t>Advance Eve</t>
  </si>
  <si>
    <t>Intermediate AM</t>
  </si>
  <si>
    <t>Intermediate Eve</t>
  </si>
  <si>
    <t>Basic knoxville</t>
  </si>
  <si>
    <t>ABE Duquesne</t>
  </si>
  <si>
    <t>edata/registrar</t>
  </si>
  <si>
    <t>civics AM</t>
  </si>
  <si>
    <t>Civics Knoxville</t>
  </si>
  <si>
    <t>Citizenship AM</t>
  </si>
  <si>
    <t>Transitions PM</t>
  </si>
  <si>
    <t>July-Aug classes offered</t>
  </si>
  <si>
    <t>September classes offered</t>
  </si>
  <si>
    <t>October classes offered</t>
  </si>
  <si>
    <t>nov classes</t>
  </si>
  <si>
    <t>dec classes</t>
  </si>
  <si>
    <t>jan classes</t>
  </si>
  <si>
    <t>Feb classes</t>
  </si>
  <si>
    <t>Civics Case Management</t>
  </si>
  <si>
    <t>PD/Projects</t>
  </si>
  <si>
    <t>Over/under</t>
  </si>
  <si>
    <t>Latara jones</t>
  </si>
  <si>
    <t>Supplies</t>
  </si>
  <si>
    <t>6.5 hours(3.25 CM /3.25 clerical)</t>
  </si>
  <si>
    <t>per class</t>
  </si>
  <si>
    <t>Classes (3.25)</t>
  </si>
  <si>
    <t>clerical days</t>
  </si>
  <si>
    <t>version October 19,2015</t>
  </si>
  <si>
    <t>Adult ED 059/210</t>
  </si>
  <si>
    <t>Adult Ed 061/241</t>
  </si>
  <si>
    <t>Registrar 209</t>
  </si>
  <si>
    <t>Registrar 210</t>
  </si>
  <si>
    <t>Data Entry/Clerical 209</t>
  </si>
  <si>
    <t>Data Entry/Clerical 210</t>
  </si>
  <si>
    <t>Data Entry/Clerical 241</t>
  </si>
  <si>
    <t>Citizenship 966</t>
  </si>
  <si>
    <t>Staff name</t>
  </si>
  <si>
    <t>Timesheet Date</t>
  </si>
  <si>
    <t>Christine telfer</t>
  </si>
  <si>
    <t>move hours</t>
  </si>
  <si>
    <t xml:space="preserve">Move hours to ex.  </t>
  </si>
  <si>
    <t>059 reported 22.75, but should be 13 and 9.75 in 041</t>
  </si>
  <si>
    <t>Adult Ed 041/209</t>
  </si>
  <si>
    <t>Tricia Leonard briceno</t>
  </si>
  <si>
    <t>tutor training 059</t>
  </si>
  <si>
    <t>lea havas</t>
  </si>
  <si>
    <t>elaine hrivnak</t>
  </si>
  <si>
    <t>Chris Matich</t>
  </si>
  <si>
    <t>please check that this was submitted!  Thanks</t>
  </si>
  <si>
    <t>these were swapped out accidentally</t>
  </si>
  <si>
    <t>Mine Kara</t>
  </si>
  <si>
    <t>Amal Manar</t>
  </si>
  <si>
    <t>corrected listed</t>
  </si>
  <si>
    <t>these were swapped out</t>
  </si>
  <si>
    <t>Christine vanpoolen</t>
  </si>
  <si>
    <t>Reg 209</t>
  </si>
  <si>
    <t>Reg 210</t>
  </si>
  <si>
    <t>Christine Vanpoolen</t>
  </si>
  <si>
    <t>Overflow Basic AM</t>
  </si>
  <si>
    <t>Planned Hours Offered Per Class per Month (plus prep by timesheet due dates)</t>
  </si>
  <si>
    <t>Jul Class</t>
  </si>
  <si>
    <t>Aug Class</t>
  </si>
  <si>
    <t>Sept Class</t>
  </si>
  <si>
    <t>Total budgeted hours</t>
  </si>
  <si>
    <t>Total planned  calendar hours</t>
  </si>
  <si>
    <t>Totals YTD</t>
  </si>
  <si>
    <t>Real Amount hours</t>
  </si>
  <si>
    <t>O&amp;T
CM209</t>
  </si>
  <si>
    <t>O&amp;T
CM210</t>
  </si>
  <si>
    <t>OB
CM209</t>
  </si>
  <si>
    <t>OB
CM210</t>
  </si>
  <si>
    <t>Total Hours:</t>
  </si>
  <si>
    <t>Fed ESL        53%</t>
  </si>
  <si>
    <t>Fed ESL        14%</t>
  </si>
  <si>
    <t>State ESL      2.5%</t>
  </si>
  <si>
    <t>State ESL        16.5%</t>
  </si>
  <si>
    <t>State ESL         4%</t>
  </si>
  <si>
    <t>Civics              .9%</t>
  </si>
  <si>
    <t>Civics              .33%</t>
  </si>
  <si>
    <t>Civics              .77%</t>
  </si>
  <si>
    <t>Citizenship        8%</t>
  </si>
  <si>
    <t>supervising instruction</t>
  </si>
  <si>
    <t xml:space="preserve">Data,IHPDs,recruit </t>
  </si>
  <si>
    <t>tutor train</t>
  </si>
  <si>
    <t>admin/grant/planning</t>
  </si>
  <si>
    <t>Responsibilities Descriptions</t>
  </si>
  <si>
    <t>Total Budgeted</t>
  </si>
  <si>
    <t>Total used</t>
  </si>
  <si>
    <t>Category</t>
  </si>
  <si>
    <t>Civ-Supplies</t>
  </si>
  <si>
    <t>Civ-books</t>
  </si>
  <si>
    <t>Civ-admin supplies</t>
  </si>
  <si>
    <t>State-supplies</t>
  </si>
  <si>
    <t>state-software</t>
  </si>
  <si>
    <t>state books</t>
  </si>
  <si>
    <t>state-tutor supplies</t>
  </si>
  <si>
    <t>see above</t>
  </si>
  <si>
    <t>state</t>
  </si>
  <si>
    <t>Yasmin Dada</t>
  </si>
  <si>
    <t>average instructional salary</t>
  </si>
  <si>
    <t>total instructional/CM hours hours</t>
  </si>
  <si>
    <t>Orientation</t>
  </si>
  <si>
    <t>state hours</t>
  </si>
  <si>
    <t>federal hours</t>
  </si>
  <si>
    <t>submitted with 11/5 TS</t>
  </si>
  <si>
    <t>Diana Aschner</t>
  </si>
  <si>
    <t>OT CM241</t>
  </si>
  <si>
    <t>OB
CM241</t>
  </si>
  <si>
    <t>Case Manager 209-OB</t>
  </si>
  <si>
    <t>Case Manager 210-OB</t>
  </si>
  <si>
    <t>Case Manager 209-OT</t>
  </si>
  <si>
    <t>Case Manager 210-OT</t>
  </si>
  <si>
    <t>Case Manager 241-OB</t>
  </si>
  <si>
    <t>Case Manager 241-OT</t>
  </si>
  <si>
    <t>Apr</t>
  </si>
  <si>
    <t>Jun</t>
  </si>
  <si>
    <t>YTD Actuals</t>
  </si>
  <si>
    <t>Balance remaining</t>
  </si>
  <si>
    <t>federal- supplies</t>
  </si>
  <si>
    <t>federal-software</t>
  </si>
  <si>
    <t>federal--books</t>
  </si>
  <si>
    <t>jfcs citizenship</t>
  </si>
  <si>
    <t>state tutor</t>
  </si>
  <si>
    <t>state other admin</t>
  </si>
  <si>
    <t>civics admin</t>
  </si>
  <si>
    <t>tax presentation 22nd</t>
  </si>
  <si>
    <t>No carrick classes 3rd</t>
  </si>
  <si>
    <t>Note: This does not include CCAC, Duquesne, Northside,Overflow,Civics, or Citizenship classes</t>
  </si>
  <si>
    <t>T&amp;H Duquesne 9:30-12:00</t>
  </si>
  <si>
    <t>Classes M &amp; W northside 9:00-11:30</t>
  </si>
  <si>
    <t>orientation/testing at duquesne</t>
  </si>
  <si>
    <t>R1601263</t>
  </si>
  <si>
    <t>R1601283</t>
  </si>
  <si>
    <t>R1600894</t>
  </si>
  <si>
    <t>R1600898</t>
  </si>
  <si>
    <t>R1601021</t>
  </si>
  <si>
    <t>R1601053</t>
  </si>
  <si>
    <t>R1601076</t>
  </si>
  <si>
    <t>R1601186</t>
  </si>
  <si>
    <t>R1601206</t>
  </si>
  <si>
    <t>R1601277</t>
  </si>
  <si>
    <t>R1601293</t>
  </si>
  <si>
    <t>R1601295</t>
  </si>
  <si>
    <t>10/05/2015</t>
  </si>
  <si>
    <t>10/06/2015</t>
  </si>
  <si>
    <t>10/28/2015</t>
  </si>
  <si>
    <t>11/06/2015</t>
  </si>
  <si>
    <t>11/11/2015</t>
  </si>
  <si>
    <t>12/04/2015</t>
  </si>
  <si>
    <t>12/10/2015</t>
  </si>
  <si>
    <t>01/04/2016</t>
  </si>
  <si>
    <t>01/07/2016</t>
  </si>
  <si>
    <t>01/08/2016</t>
  </si>
  <si>
    <t>gen supplies</t>
  </si>
  <si>
    <t>books</t>
  </si>
  <si>
    <t>general supplies</t>
  </si>
  <si>
    <t>Cycle Spring 2016</t>
  </si>
  <si>
    <t>Cycle SpringII 2016</t>
  </si>
  <si>
    <t>new cycle Summer starts July 5th-Sept</t>
  </si>
  <si>
    <t>Cycle Fall 2015</t>
  </si>
  <si>
    <t>State Account</t>
  </si>
  <si>
    <t>Civics Account</t>
  </si>
  <si>
    <t>24123900-16100</t>
  </si>
  <si>
    <t>24116900-16100</t>
  </si>
  <si>
    <t>24116900-16400</t>
  </si>
  <si>
    <t>federal account</t>
  </si>
  <si>
    <t>citizenship account</t>
  </si>
  <si>
    <t>21016900-16100</t>
  </si>
  <si>
    <t>21016900-16180</t>
  </si>
  <si>
    <t>21016900-16400</t>
  </si>
  <si>
    <t>21016920-16100</t>
  </si>
  <si>
    <t>r1601330</t>
  </si>
  <si>
    <t>cit</t>
  </si>
  <si>
    <t>Balance Remaining</t>
  </si>
  <si>
    <t>gen supplies--tutor</t>
  </si>
  <si>
    <t>best plus tests</t>
  </si>
  <si>
    <t>Clara Folino (Pcard)</t>
  </si>
  <si>
    <t>Dec--phone</t>
  </si>
  <si>
    <t>fed admin supplies</t>
  </si>
  <si>
    <t>TABE</t>
  </si>
  <si>
    <t>Note:  Not sure where to charge best plus/TABE?</t>
  </si>
  <si>
    <t>Look at books:  split?</t>
  </si>
  <si>
    <t>added 3 hours late for meet.</t>
  </si>
  <si>
    <t>Helena Duncan</t>
  </si>
  <si>
    <t>Kristy Decola</t>
  </si>
  <si>
    <t>was accidentally marked in 209.</t>
  </si>
  <si>
    <t>Total Actuals</t>
  </si>
  <si>
    <t>Benchmark Planned Hours used</t>
  </si>
  <si>
    <t>Targeted Totals</t>
  </si>
  <si>
    <t>moved to instruction</t>
  </si>
  <si>
    <t>Notes</t>
  </si>
  <si>
    <t>Professional Development</t>
  </si>
  <si>
    <t>Citizenship Knox</t>
  </si>
  <si>
    <t>added another section</t>
  </si>
  <si>
    <t>Totals Federal Classes</t>
  </si>
  <si>
    <t>TOTALS State Classes</t>
  </si>
  <si>
    <t>TOTALS Federal Grant</t>
  </si>
  <si>
    <t>Citizenship eve</t>
  </si>
  <si>
    <t xml:space="preserve">  </t>
  </si>
  <si>
    <t>march classes Feb 24-Mar24</t>
  </si>
  <si>
    <t>april classes Mar 25-apr 22</t>
  </si>
  <si>
    <t>may classes Apr 25-May 24</t>
  </si>
  <si>
    <t>june classes May 25-Jun 30</t>
  </si>
  <si>
    <t>Civics Support(edata)</t>
  </si>
  <si>
    <t>changed teacher/curriculum to dispurse in 3 classes.</t>
  </si>
  <si>
    <t>added 8 hours to make up difference in planned--error is in that it was listed as support which should be data (requires move of hours from the line items)</t>
  </si>
  <si>
    <t>Christine Weaver/Mine Kara</t>
  </si>
  <si>
    <t>Case Mgmt</t>
  </si>
  <si>
    <t>Support (edata)</t>
  </si>
  <si>
    <t>Changes</t>
  </si>
  <si>
    <t>State/Fed</t>
  </si>
  <si>
    <t>hours</t>
  </si>
  <si>
    <t>Myrna Schwartz
Helena Duncan</t>
  </si>
  <si>
    <t>classes when added up on original totaled only 23888, on spreadsheet the hourly employees line11220 is 26513? (2625)</t>
  </si>
  <si>
    <t>tutor amount was 3500 on sheet--but 4550 on state 16920 122? Difference of 1050</t>
  </si>
  <si>
    <t>difference</t>
  </si>
  <si>
    <t>?</t>
  </si>
  <si>
    <t>State 210</t>
  </si>
  <si>
    <t>teachers16900   11220</t>
  </si>
  <si>
    <t>tutor 16920   11220</t>
  </si>
  <si>
    <t>clerical  16920   11520</t>
  </si>
  <si>
    <t>CM 21200   11220</t>
  </si>
  <si>
    <t>CM 29100   11220</t>
  </si>
  <si>
    <t>Data  29100   11420</t>
  </si>
  <si>
    <t>Federal 210</t>
  </si>
  <si>
    <t>teachers1690   122</t>
  </si>
  <si>
    <t>sec extra 151-152</t>
  </si>
  <si>
    <t>clerical 1690   152</t>
  </si>
  <si>
    <t>CM 21200122</t>
  </si>
  <si>
    <t>CM 2900122</t>
  </si>
  <si>
    <t>Data 29000142</t>
  </si>
  <si>
    <t>July-Aug est. hours</t>
  </si>
  <si>
    <t>September est. hours</t>
  </si>
  <si>
    <t>October est. hours</t>
  </si>
  <si>
    <t>November est. hours</t>
  </si>
  <si>
    <t>Decmber est. hours</t>
  </si>
  <si>
    <t>January est. hours</t>
  </si>
  <si>
    <t>February est. hours</t>
  </si>
  <si>
    <t>march est. hours</t>
  </si>
  <si>
    <t>April est. hours</t>
  </si>
  <si>
    <t>May est. hours</t>
  </si>
  <si>
    <t>June est. hours</t>
  </si>
  <si>
    <t>CP Workshops</t>
  </si>
  <si>
    <t>136 hours</t>
  </si>
  <si>
    <t>Tutor Trainer ACJ</t>
  </si>
  <si>
    <t>Targets  State 210</t>
  </si>
  <si>
    <t>240CE+40ACJ</t>
  </si>
  <si>
    <t>Basic AM</t>
  </si>
  <si>
    <t>Basic eve</t>
  </si>
  <si>
    <t>March</t>
  </si>
  <si>
    <t>YTD hours turned in</t>
  </si>
  <si>
    <t>budgeted amount</t>
  </si>
  <si>
    <t>Budgeted hours</t>
  </si>
  <si>
    <t>Total planned amount</t>
  </si>
  <si>
    <t>this add the wkshop</t>
  </si>
  <si>
    <t>Projections for Classes</t>
  </si>
  <si>
    <t>Low Workshop?????</t>
  </si>
  <si>
    <t>Christine Burton
Diana Aschner</t>
  </si>
  <si>
    <t>Transitions eve</t>
  </si>
  <si>
    <t>BCC eve</t>
  </si>
  <si>
    <t>BCC AM</t>
  </si>
  <si>
    <t>trans eve</t>
  </si>
  <si>
    <t>trans AM</t>
  </si>
  <si>
    <t>int AM</t>
  </si>
  <si>
    <t>Adv AM</t>
  </si>
  <si>
    <t>northside</t>
  </si>
  <si>
    <t>Lab</t>
  </si>
  <si>
    <t>wkplace</t>
  </si>
  <si>
    <t>workplace</t>
  </si>
  <si>
    <t>overflow</t>
  </si>
  <si>
    <t>adv eve</t>
  </si>
  <si>
    <t>int eve</t>
  </si>
  <si>
    <t>knox basic</t>
  </si>
  <si>
    <t>Duquesne</t>
  </si>
  <si>
    <t>Timesheets Actuals</t>
  </si>
  <si>
    <t>Projections</t>
  </si>
  <si>
    <t>Int AM</t>
  </si>
  <si>
    <t>Trans AM</t>
  </si>
  <si>
    <t>Northside</t>
  </si>
  <si>
    <t>Adv eve</t>
  </si>
  <si>
    <t>workshop pilot A</t>
  </si>
  <si>
    <t>workshop pilot B</t>
  </si>
  <si>
    <t>minus ACJ in budgeted hours</t>
  </si>
  <si>
    <t>ACJ Added (est)</t>
  </si>
  <si>
    <t>Planned Amount</t>
  </si>
  <si>
    <t>Planned hours+PD Hours+Actuals *17.50</t>
  </si>
  <si>
    <t>add planned amount???</t>
  </si>
  <si>
    <t>YTD Budget spent</t>
  </si>
  <si>
    <t>PD Hours</t>
  </si>
  <si>
    <t>Total budget Balance</t>
  </si>
  <si>
    <t>Planned Class/PD hours</t>
  </si>
  <si>
    <t>YTD Budget Spent</t>
  </si>
  <si>
    <t>Planned Class hours/PD hours</t>
  </si>
  <si>
    <t>Total Budget Balance</t>
  </si>
  <si>
    <t>Target Federal 209</t>
  </si>
  <si>
    <t>Timesheet Actuals</t>
  </si>
  <si>
    <t>clerical 90 days for 540 hours total</t>
  </si>
  <si>
    <t>405 fed</t>
  </si>
  <si>
    <t>135 state</t>
  </si>
  <si>
    <t>150 hours @17.50</t>
  </si>
  <si>
    <t>96 fed</t>
  </si>
  <si>
    <t>32 state</t>
  </si>
  <si>
    <t>data 16 hrs/week x 8 weeks for 128 hours total</t>
  </si>
  <si>
    <t>-</t>
  </si>
  <si>
    <t>clerical</t>
  </si>
  <si>
    <t>added to fed hours for sake of math</t>
  </si>
  <si>
    <t>case management</t>
  </si>
  <si>
    <t>Obfed</t>
  </si>
  <si>
    <t>Obstate</t>
  </si>
  <si>
    <t>Goals--19.5 hours total</t>
  </si>
  <si>
    <t>Orientations--26 hours total</t>
  </si>
  <si>
    <t>CVP--10 wk/14wks</t>
  </si>
  <si>
    <t>KD-5 wk/14 wks</t>
  </si>
  <si>
    <t>Tran state</t>
  </si>
  <si>
    <t>total hours</t>
  </si>
  <si>
    <t>Tran fed</t>
  </si>
  <si>
    <t>Yes</t>
  </si>
  <si>
    <t>pauline</t>
  </si>
  <si>
    <t>DA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</si>
</sst>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quot;#,##0.00_);\(&quot;$&quot;#,##0.00\)"/>
    <numFmt numFmtId="44" formatCode="_(&quot;$&quot;* #,##0.00_);_(&quot;$&quot;* \(#,##0.00\);_(&quot;$&quot;* &quot;-&quot;??_);_(@_)"/>
    <numFmt numFmtId="164" formatCode="&quot;$&quot;#,##0.00"/>
    <numFmt numFmtId="165" formatCode="mmmm\ \'yy"/>
    <numFmt numFmtId="166" formatCode="d"/>
    <numFmt numFmtId="167" formatCode="0.0"/>
    <numFmt numFmtId="168" formatCode="0.0%"/>
    <numFmt numFmtId="169" formatCode="_([$$-409]* #,##0.00_);_([$$-409]* \(#,##0.00\);_([$$-409]* &quot;-&quot;??_);_(@_)"/>
  </numFmts>
  <fonts count="82">
    <font>
      <sz val="11"/>
      <color theme="1"/>
      <name val="Calibri"/>
      <family val="2"/>
      <scheme val="minor"/>
    </font>
    <font>
      <sz val="1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u/>
      <sz val="11"/>
      <color theme="10"/>
      <name val="Calibri"/>
      <family val="2"/>
      <scheme val="minor"/>
    </font>
    <font>
      <b/>
      <sz val="16"/>
      <color indexed="60"/>
      <name val="Arial"/>
      <family val="2"/>
    </font>
    <font>
      <u/>
      <sz val="8"/>
      <color indexed="12"/>
      <name val="Verdana"/>
      <family val="2"/>
    </font>
    <font>
      <sz val="8"/>
      <name val="Arial"/>
      <family val="2"/>
    </font>
    <font>
      <b/>
      <sz val="10"/>
      <name val="Verdana"/>
      <family val="2"/>
    </font>
    <font>
      <sz val="8"/>
      <name val="Verdana"/>
      <family val="2"/>
    </font>
    <font>
      <sz val="10"/>
      <name val="Verdana"/>
      <family val="2"/>
    </font>
    <font>
      <i/>
      <sz val="8"/>
      <name val="Arial"/>
      <family val="2"/>
    </font>
    <font>
      <b/>
      <sz val="18"/>
      <name val="Arial"/>
      <family val="2"/>
    </font>
    <font>
      <b/>
      <sz val="10"/>
      <name val="Arial"/>
      <family val="2"/>
    </font>
    <font>
      <b/>
      <sz val="8"/>
      <name val="Arial"/>
      <family val="2"/>
    </font>
    <font>
      <b/>
      <sz val="14"/>
      <name val="Verdana"/>
      <family val="2"/>
    </font>
    <font>
      <b/>
      <sz val="12"/>
      <color indexed="9"/>
      <name val="Century Gothic"/>
      <family val="2"/>
    </font>
    <font>
      <sz val="10"/>
      <name val="Arial"/>
      <family val="2"/>
    </font>
    <font>
      <b/>
      <u/>
      <sz val="10"/>
      <name val="Arial"/>
      <family val="2"/>
    </font>
    <font>
      <sz val="9"/>
      <name val="Arial"/>
      <family val="2"/>
    </font>
    <font>
      <sz val="9"/>
      <color theme="0" tint="-0.14999847407452621"/>
      <name val="Arial"/>
      <family val="2"/>
    </font>
    <font>
      <sz val="9"/>
      <color theme="0" tint="-0.249977111117893"/>
      <name val="Arial"/>
      <family val="2"/>
    </font>
    <font>
      <sz val="10"/>
      <color rgb="FFFF0000"/>
      <name val="Arial"/>
      <family val="2"/>
    </font>
    <font>
      <sz val="10"/>
      <color rgb="FF00B050"/>
      <name val="Arial"/>
      <family val="2"/>
    </font>
    <font>
      <sz val="10"/>
      <color rgb="FFCC00CC"/>
      <name val="Arial"/>
      <family val="2"/>
    </font>
    <font>
      <b/>
      <u/>
      <sz val="8"/>
      <color indexed="81"/>
      <name val="Tahoma"/>
      <family val="2"/>
    </font>
    <font>
      <sz val="8"/>
      <color indexed="81"/>
      <name val="Tahoma"/>
      <family val="2"/>
    </font>
    <font>
      <b/>
      <sz val="8"/>
      <color indexed="81"/>
      <name val="Tahoma"/>
      <family val="2"/>
    </font>
    <font>
      <sz val="9"/>
      <color theme="0"/>
      <name val="Arial"/>
      <family val="2"/>
    </font>
    <font>
      <sz val="9"/>
      <color theme="0" tint="-0.34998626667073579"/>
      <name val="Arial"/>
      <family val="2"/>
    </font>
    <font>
      <sz val="11"/>
      <color theme="0"/>
      <name val="Calibri"/>
      <family val="2"/>
      <scheme val="minor"/>
    </font>
    <font>
      <b/>
      <u/>
      <sz val="10"/>
      <color theme="0"/>
      <name val="Arial"/>
      <family val="2"/>
    </font>
    <font>
      <sz val="10"/>
      <color theme="0"/>
      <name val="Arial"/>
      <family val="2"/>
    </font>
    <font>
      <b/>
      <sz val="8"/>
      <name val="Verdana"/>
      <family val="2"/>
    </font>
    <font>
      <b/>
      <sz val="12"/>
      <name val="Arial"/>
      <family val="2"/>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0"/>
      <name val="Calibri"/>
      <family val="2"/>
      <scheme val="minor"/>
    </font>
    <font>
      <sz val="10"/>
      <color rgb="FFCC00CC"/>
      <name val="Calibri"/>
      <family val="2"/>
      <scheme val="minor"/>
    </font>
    <font>
      <sz val="12"/>
      <name val="Arial"/>
      <family val="2"/>
    </font>
    <font>
      <b/>
      <i/>
      <sz val="12"/>
      <name val="Arial"/>
      <family val="2"/>
    </font>
    <font>
      <sz val="12"/>
      <color indexed="10"/>
      <name val="Arial"/>
      <family val="2"/>
    </font>
    <font>
      <b/>
      <sz val="10"/>
      <color indexed="10"/>
      <name val="Arial"/>
      <family val="2"/>
    </font>
    <font>
      <sz val="8"/>
      <color indexed="10"/>
      <name val="Arial"/>
      <family val="2"/>
    </font>
    <font>
      <sz val="12"/>
      <color rgb="FFFF0000"/>
      <name val="Arial"/>
      <family val="2"/>
    </font>
    <font>
      <sz val="10"/>
      <color indexed="10"/>
      <name val="Arial"/>
      <family val="2"/>
    </font>
    <font>
      <b/>
      <sz val="10"/>
      <color rgb="FFFF0000"/>
      <name val="Arial"/>
      <family val="2"/>
    </font>
    <font>
      <sz val="8"/>
      <color rgb="FFFF0000"/>
      <name val="Arial"/>
      <family val="2"/>
    </font>
    <font>
      <sz val="6"/>
      <name val="Arial"/>
      <family val="2"/>
    </font>
    <font>
      <sz val="6"/>
      <color rgb="FFFF0000"/>
      <name val="Arial"/>
      <family val="2"/>
    </font>
    <font>
      <sz val="7"/>
      <name val="Arial"/>
      <family val="2"/>
    </font>
    <font>
      <sz val="7"/>
      <color rgb="FFFF0000"/>
      <name val="Arial"/>
      <family val="2"/>
    </font>
    <font>
      <sz val="7"/>
      <color indexed="10"/>
      <name val="Arial"/>
      <family val="2"/>
    </font>
    <font>
      <b/>
      <sz val="9.5"/>
      <name val="Arial"/>
      <family val="2"/>
    </font>
    <font>
      <sz val="11"/>
      <color indexed="10"/>
      <name val="Arial"/>
      <family val="2"/>
    </font>
    <font>
      <b/>
      <u/>
      <sz val="12"/>
      <name val="Arial"/>
      <family val="2"/>
    </font>
    <font>
      <b/>
      <sz val="12"/>
      <color rgb="FFFF0000"/>
      <name val="Arial"/>
      <family val="2"/>
    </font>
    <font>
      <b/>
      <sz val="12"/>
      <color indexed="48"/>
      <name val="Arial"/>
      <family val="2"/>
    </font>
    <font>
      <sz val="12"/>
      <color indexed="48"/>
      <name val="Arial"/>
      <family val="2"/>
    </font>
    <font>
      <b/>
      <sz val="12"/>
      <color indexed="10"/>
      <name val="Arial"/>
      <family val="2"/>
    </font>
    <font>
      <u/>
      <sz val="12"/>
      <name val="Arial"/>
      <family val="2"/>
    </font>
    <font>
      <b/>
      <sz val="18"/>
      <color rgb="FFFF0000"/>
      <name val="Arial"/>
      <family val="2"/>
    </font>
    <font>
      <sz val="11"/>
      <color rgb="FF00B050"/>
      <name val="Calibri"/>
      <family val="2"/>
      <scheme val="minor"/>
    </font>
    <font>
      <sz val="9"/>
      <color rgb="FF00B050"/>
      <name val="Arial"/>
      <family val="2"/>
    </font>
    <font>
      <sz val="10"/>
      <color rgb="FF00B050"/>
      <name val="Calibri"/>
      <family val="2"/>
      <scheme val="minor"/>
    </font>
    <font>
      <b/>
      <sz val="9"/>
      <color rgb="FF00B050"/>
      <name val="Arial"/>
      <family val="2"/>
    </font>
    <font>
      <b/>
      <sz val="10"/>
      <color rgb="FF00B050"/>
      <name val="Calibri"/>
      <family val="2"/>
      <scheme val="minor"/>
    </font>
    <font>
      <sz val="20"/>
      <color theme="1"/>
      <name val="Calibri"/>
      <family val="2"/>
      <scheme val="minor"/>
    </font>
    <font>
      <sz val="11"/>
      <color rgb="FF1F497D"/>
      <name val="Calibri"/>
      <family val="2"/>
      <scheme val="minor"/>
    </font>
    <font>
      <sz val="11"/>
      <color rgb="FF92D050"/>
      <name val="Calibri"/>
      <family val="2"/>
      <scheme val="minor"/>
    </font>
    <font>
      <b/>
      <sz val="8"/>
      <name val="Arrus BT"/>
    </font>
    <font>
      <sz val="26"/>
      <color theme="1"/>
      <name val="Calibri"/>
      <family val="2"/>
      <scheme val="minor"/>
    </font>
    <font>
      <sz val="10"/>
      <color theme="4"/>
      <name val="Arial"/>
      <family val="2"/>
    </font>
    <font>
      <b/>
      <sz val="11"/>
      <color rgb="FF1F497D"/>
      <name val="Calibri"/>
      <family val="2"/>
      <scheme val="minor"/>
    </font>
    <font>
      <b/>
      <u/>
      <sz val="26"/>
      <color theme="1"/>
      <name val="Calibri"/>
      <family val="2"/>
      <scheme val="minor"/>
    </font>
    <font>
      <b/>
      <u/>
      <sz val="11"/>
      <color rgb="FF000000"/>
      <name val="Calibri"/>
      <family val="2"/>
      <scheme val="minor"/>
    </font>
    <font>
      <sz val="11"/>
      <color rgb="FF000000"/>
      <name val="Calibri"/>
      <family val="2"/>
      <scheme val="minor"/>
    </font>
    <font>
      <sz val="8"/>
      <color theme="1"/>
      <name val="Calibri"/>
      <family val="2"/>
      <scheme val="minor"/>
    </font>
  </fonts>
  <fills count="26">
    <fill>
      <patternFill patternType="none"/>
    </fill>
    <fill>
      <patternFill patternType="gray125"/>
    </fill>
    <fill>
      <patternFill patternType="solid">
        <fgColor rgb="FFFF000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4"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rgb="FFFFC000"/>
        <bgColor indexed="64"/>
      </patternFill>
    </fill>
    <fill>
      <patternFill patternType="solid">
        <fgColor indexed="51"/>
        <bgColor indexed="64"/>
      </patternFill>
    </fill>
    <fill>
      <patternFill patternType="solid">
        <fgColor indexed="42"/>
        <bgColor indexed="64"/>
      </patternFill>
    </fill>
    <fill>
      <patternFill patternType="solid">
        <fgColor indexed="41"/>
        <bgColor indexed="64"/>
      </patternFill>
    </fill>
    <fill>
      <patternFill patternType="solid">
        <fgColor indexed="11"/>
        <bgColor indexed="64"/>
      </patternFill>
    </fill>
    <fill>
      <patternFill patternType="solid">
        <fgColor indexed="43"/>
        <bgColor indexed="64"/>
      </patternFill>
    </fill>
    <fill>
      <patternFill patternType="solid">
        <fgColor theme="7" tint="0.79998168889431442"/>
        <bgColor indexed="64"/>
      </patternFill>
    </fill>
    <fill>
      <patternFill patternType="solid">
        <fgColor rgb="FFFFFF66"/>
        <bgColor indexed="64"/>
      </patternFill>
    </fill>
    <fill>
      <patternFill patternType="solid">
        <fgColor theme="4"/>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7" tint="0.39997558519241921"/>
        <bgColor indexed="64"/>
      </patternFill>
    </fill>
  </fills>
  <borders count="48">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bottom/>
      <diagonal/>
    </border>
    <border>
      <left/>
      <right style="thin">
        <color indexed="55"/>
      </right>
      <top/>
      <bottom/>
      <diagonal/>
    </border>
    <border>
      <left style="thin">
        <color indexed="64"/>
      </left>
      <right style="thin">
        <color indexed="64"/>
      </right>
      <top style="thin">
        <color indexed="64"/>
      </top>
      <bottom/>
      <diagonal/>
    </border>
    <border>
      <left style="thin">
        <color indexed="55"/>
      </left>
      <right/>
      <top/>
      <bottom style="thin">
        <color indexed="55"/>
      </bottom>
      <diagonal/>
    </border>
    <border>
      <left/>
      <right style="thin">
        <color indexed="55"/>
      </right>
      <top/>
      <bottom style="thin">
        <color indexed="55"/>
      </bottom>
      <diagonal/>
    </border>
    <border>
      <left/>
      <right/>
      <top/>
      <bottom style="thin">
        <color indexed="55"/>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double">
        <color indexed="8"/>
      </top>
      <bottom style="thin">
        <color indexed="8"/>
      </bottom>
      <diagonal/>
    </border>
    <border>
      <left/>
      <right/>
      <top style="double">
        <color indexed="8"/>
      </top>
      <bottom style="thin">
        <color indexed="8"/>
      </bottom>
      <diagonal/>
    </border>
    <border>
      <left style="thin">
        <color indexed="8"/>
      </left>
      <right/>
      <top style="double">
        <color indexed="8"/>
      </top>
      <bottom style="thin">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style="double">
        <color indexed="8"/>
      </top>
      <bottom style="thin">
        <color indexed="8"/>
      </bottom>
      <diagonal/>
    </border>
    <border>
      <left/>
      <right style="thin">
        <color indexed="8"/>
      </right>
      <top/>
      <bottom/>
      <diagonal/>
    </border>
    <border>
      <left/>
      <right style="thin">
        <color indexed="8"/>
      </right>
      <top style="thin">
        <color indexed="8"/>
      </top>
      <bottom style="double">
        <color indexed="8"/>
      </bottom>
      <diagonal/>
    </border>
    <border>
      <left/>
      <right style="thin">
        <color indexed="8"/>
      </right>
      <top style="thin">
        <color indexed="8"/>
      </top>
      <bottom style="thin">
        <color indexed="8"/>
      </bottom>
      <diagonal/>
    </border>
    <border>
      <left/>
      <right/>
      <top style="thin">
        <color indexed="8"/>
      </top>
      <bottom style="double">
        <color indexed="8"/>
      </bottom>
      <diagonal/>
    </border>
    <border>
      <left style="double">
        <color indexed="8"/>
      </left>
      <right style="double">
        <color indexed="8"/>
      </right>
      <top/>
      <bottom style="double">
        <color indexed="8"/>
      </bottom>
      <diagonal/>
    </border>
    <border>
      <left style="double">
        <color indexed="8"/>
      </left>
      <right style="double">
        <color indexed="8"/>
      </right>
      <top/>
      <bottom/>
      <diagonal/>
    </border>
    <border>
      <left style="double">
        <color indexed="8"/>
      </left>
      <right style="double">
        <color indexed="8"/>
      </right>
      <top style="double">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4">
    <xf numFmtId="0" fontId="0" fillId="0" borderId="0"/>
    <xf numFmtId="0" fontId="5" fillId="0" borderId="0" applyNumberForma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621">
    <xf numFmtId="0" fontId="0" fillId="0" borderId="0" xfId="0"/>
    <xf numFmtId="0" fontId="0" fillId="4" borderId="0" xfId="0" applyFill="1"/>
    <xf numFmtId="0" fontId="0" fillId="5" borderId="0" xfId="0" applyFill="1" applyBorder="1"/>
    <xf numFmtId="0" fontId="0" fillId="5" borderId="0" xfId="0" applyFill="1"/>
    <xf numFmtId="0" fontId="2" fillId="0" borderId="0" xfId="0" applyFont="1"/>
    <xf numFmtId="0" fontId="0" fillId="0" borderId="0" xfId="0" applyAlignment="1">
      <alignment wrapText="1"/>
    </xf>
    <xf numFmtId="0" fontId="0" fillId="0" borderId="0" xfId="0" applyFont="1"/>
    <xf numFmtId="0" fontId="3" fillId="0" borderId="0" xfId="0" applyFont="1"/>
    <xf numFmtId="0" fontId="6" fillId="6" borderId="3" xfId="0" applyFont="1" applyFill="1" applyBorder="1" applyAlignment="1" applyProtection="1">
      <alignment vertical="center"/>
    </xf>
    <xf numFmtId="49" fontId="6" fillId="6" borderId="3" xfId="0" applyNumberFormat="1" applyFont="1" applyFill="1" applyBorder="1" applyAlignment="1" applyProtection="1">
      <alignment vertical="center"/>
    </xf>
    <xf numFmtId="49" fontId="0" fillId="0" borderId="0" xfId="0" applyNumberFormat="1"/>
    <xf numFmtId="0" fontId="0" fillId="0" borderId="0" xfId="0" applyFill="1" applyBorder="1"/>
    <xf numFmtId="49" fontId="0" fillId="0" borderId="0" xfId="0" applyNumberFormat="1" applyFill="1" applyBorder="1"/>
    <xf numFmtId="0" fontId="0" fillId="0" borderId="0" xfId="0" applyFill="1"/>
    <xf numFmtId="0" fontId="12" fillId="0" borderId="0" xfId="0" applyFont="1" applyFill="1" applyBorder="1"/>
    <xf numFmtId="0" fontId="16" fillId="0" borderId="3" xfId="0" applyFont="1" applyFill="1" applyBorder="1" applyAlignment="1"/>
    <xf numFmtId="49" fontId="18" fillId="0" borderId="0" xfId="0" applyNumberFormat="1" applyFont="1" applyAlignment="1">
      <alignment horizontal="center"/>
    </xf>
    <xf numFmtId="0" fontId="0" fillId="0" borderId="0" xfId="0" applyNumberFormat="1"/>
    <xf numFmtId="0" fontId="20" fillId="6" borderId="9" xfId="0" applyFont="1" applyFill="1" applyBorder="1" applyAlignment="1">
      <alignment horizontal="center"/>
    </xf>
    <xf numFmtId="49" fontId="18" fillId="0" borderId="0" xfId="0" applyNumberFormat="1" applyFont="1" applyBorder="1" applyAlignment="1">
      <alignment horizontal="center"/>
    </xf>
    <xf numFmtId="0" fontId="20" fillId="6" borderId="0" xfId="0" applyFont="1" applyFill="1" applyBorder="1" applyAlignment="1">
      <alignment horizontal="center"/>
    </xf>
    <xf numFmtId="0" fontId="20" fillId="6" borderId="10" xfId="0" applyFont="1" applyFill="1" applyBorder="1" applyAlignment="1">
      <alignment horizontal="center"/>
    </xf>
    <xf numFmtId="49" fontId="18" fillId="0" borderId="0" xfId="0" applyNumberFormat="1" applyFont="1"/>
    <xf numFmtId="49" fontId="18" fillId="5" borderId="0" xfId="0" applyNumberFormat="1" applyFont="1" applyFill="1"/>
    <xf numFmtId="0" fontId="0" fillId="5" borderId="0" xfId="0" applyNumberFormat="1" applyFill="1"/>
    <xf numFmtId="0" fontId="18" fillId="0" borderId="0" xfId="0" applyFont="1"/>
    <xf numFmtId="166" fontId="20" fillId="0" borderId="0" xfId="0" applyNumberFormat="1" applyFont="1" applyBorder="1" applyAlignment="1">
      <alignment horizontal="center"/>
    </xf>
    <xf numFmtId="49" fontId="23" fillId="0" borderId="0" xfId="0" applyNumberFormat="1" applyFont="1"/>
    <xf numFmtId="0" fontId="23" fillId="0" borderId="0" xfId="0" applyNumberFormat="1" applyFont="1"/>
    <xf numFmtId="0" fontId="8" fillId="0" borderId="0" xfId="0" applyFont="1" applyAlignment="1">
      <alignment horizontal="right"/>
    </xf>
    <xf numFmtId="0" fontId="7" fillId="0" borderId="0" xfId="1" applyFont="1" applyAlignment="1" applyProtection="1"/>
    <xf numFmtId="167" fontId="0" fillId="0" borderId="0" xfId="0" applyNumberFormat="1"/>
    <xf numFmtId="49" fontId="0" fillId="5" borderId="0" xfId="0" applyNumberFormat="1" applyFill="1"/>
    <xf numFmtId="166" fontId="20" fillId="0" borderId="0" xfId="0" applyNumberFormat="1" applyFont="1" applyFill="1" applyBorder="1" applyAlignment="1">
      <alignment horizontal="center"/>
    </xf>
    <xf numFmtId="0" fontId="34" fillId="9" borderId="3" xfId="0" applyFont="1" applyFill="1" applyBorder="1" applyAlignment="1"/>
    <xf numFmtId="0" fontId="16" fillId="9" borderId="3" xfId="0" applyFont="1" applyFill="1" applyBorder="1" applyAlignment="1"/>
    <xf numFmtId="0" fontId="0" fillId="9" borderId="3" xfId="0" applyFill="1" applyBorder="1"/>
    <xf numFmtId="0" fontId="14" fillId="9" borderId="0" xfId="0" applyFont="1" applyFill="1" applyBorder="1"/>
    <xf numFmtId="0" fontId="14" fillId="9" borderId="0" xfId="0" applyFont="1" applyFill="1" applyBorder="1" applyAlignment="1">
      <alignment horizontal="center"/>
    </xf>
    <xf numFmtId="0" fontId="15" fillId="9" borderId="0" xfId="0" applyFont="1" applyFill="1" applyBorder="1" applyAlignment="1">
      <alignment horizontal="left"/>
    </xf>
    <xf numFmtId="49" fontId="13" fillId="9" borderId="0" xfId="0" applyNumberFormat="1" applyFont="1" applyFill="1" applyBorder="1" applyAlignment="1">
      <alignment horizontal="centerContinuous"/>
    </xf>
    <xf numFmtId="0" fontId="0" fillId="9" borderId="0" xfId="0" applyFill="1" applyBorder="1"/>
    <xf numFmtId="0" fontId="0" fillId="9" borderId="0" xfId="0" applyFill="1"/>
    <xf numFmtId="167" fontId="16" fillId="9" borderId="3" xfId="0" applyNumberFormat="1" applyFont="1" applyFill="1" applyBorder="1" applyAlignment="1"/>
    <xf numFmtId="0" fontId="0" fillId="4" borderId="11" xfId="0" applyFill="1" applyBorder="1"/>
    <xf numFmtId="0" fontId="0" fillId="5" borderId="2" xfId="0" applyFill="1" applyBorder="1"/>
    <xf numFmtId="49" fontId="0" fillId="0" borderId="1" xfId="0" applyNumberFormat="1" applyBorder="1"/>
    <xf numFmtId="0" fontId="0" fillId="0" borderId="1" xfId="0" applyNumberFormat="1" applyBorder="1"/>
    <xf numFmtId="0" fontId="0" fillId="0" borderId="1" xfId="0" applyBorder="1"/>
    <xf numFmtId="166" fontId="20" fillId="5" borderId="1" xfId="0" applyNumberFormat="1" applyFont="1" applyFill="1" applyBorder="1" applyAlignment="1">
      <alignment horizontal="center"/>
    </xf>
    <xf numFmtId="49" fontId="0" fillId="5" borderId="1" xfId="0" applyNumberFormat="1" applyFill="1" applyBorder="1"/>
    <xf numFmtId="0" fontId="0" fillId="5" borderId="1" xfId="0" applyNumberFormat="1" applyFill="1" applyBorder="1"/>
    <xf numFmtId="167" fontId="31" fillId="5" borderId="0" xfId="0" applyNumberFormat="1" applyFont="1" applyFill="1"/>
    <xf numFmtId="49" fontId="33" fillId="5" borderId="0" xfId="0" applyNumberFormat="1" applyFont="1" applyFill="1" applyBorder="1"/>
    <xf numFmtId="0" fontId="31" fillId="5" borderId="0" xfId="0" applyNumberFormat="1" applyFont="1" applyFill="1" applyBorder="1"/>
    <xf numFmtId="0" fontId="31" fillId="5" borderId="0" xfId="0" applyFont="1" applyFill="1" applyBorder="1"/>
    <xf numFmtId="0" fontId="33" fillId="5" borderId="0" xfId="0" applyNumberFormat="1" applyFont="1" applyFill="1" applyBorder="1"/>
    <xf numFmtId="49" fontId="31" fillId="5" borderId="0" xfId="0" applyNumberFormat="1" applyFont="1" applyFill="1" applyBorder="1"/>
    <xf numFmtId="0" fontId="0" fillId="0" borderId="4" xfId="0" applyBorder="1"/>
    <xf numFmtId="0" fontId="19" fillId="5" borderId="0" xfId="0" applyFont="1" applyFill="1" applyBorder="1"/>
    <xf numFmtId="0" fontId="0" fillId="10" borderId="0" xfId="0" applyFill="1"/>
    <xf numFmtId="14" fontId="0" fillId="0" borderId="0" xfId="0" applyNumberFormat="1"/>
    <xf numFmtId="0" fontId="0" fillId="0" borderId="5" xfId="0" applyBorder="1"/>
    <xf numFmtId="0" fontId="0" fillId="4" borderId="5" xfId="0" applyFill="1" applyBorder="1"/>
    <xf numFmtId="0" fontId="0" fillId="5" borderId="5" xfId="0" applyFill="1" applyBorder="1"/>
    <xf numFmtId="0" fontId="0" fillId="10" borderId="0" xfId="0" applyFill="1" applyBorder="1"/>
    <xf numFmtId="0" fontId="40" fillId="0" borderId="0" xfId="0" applyFont="1"/>
    <xf numFmtId="0" fontId="0" fillId="0" borderId="0" xfId="0" applyBorder="1"/>
    <xf numFmtId="0" fontId="2" fillId="5" borderId="0" xfId="0" applyFont="1" applyFill="1" applyBorder="1"/>
    <xf numFmtId="0" fontId="2" fillId="0" borderId="0" xfId="0" applyFont="1" applyAlignment="1">
      <alignment wrapText="1"/>
    </xf>
    <xf numFmtId="0" fontId="36" fillId="0" borderId="0" xfId="0" applyFont="1"/>
    <xf numFmtId="0" fontId="36" fillId="5" borderId="0" xfId="0" applyFont="1" applyFill="1" applyBorder="1"/>
    <xf numFmtId="49" fontId="36" fillId="0" borderId="0" xfId="0" applyNumberFormat="1" applyFont="1"/>
    <xf numFmtId="167" fontId="36" fillId="0" borderId="0" xfId="0" applyNumberFormat="1" applyFont="1"/>
    <xf numFmtId="0" fontId="36" fillId="5" borderId="0" xfId="0" applyFont="1" applyFill="1"/>
    <xf numFmtId="49" fontId="41" fillId="0" borderId="0" xfId="0" applyNumberFormat="1" applyFont="1" applyFill="1" applyBorder="1" applyAlignment="1">
      <alignment horizontal="left"/>
    </xf>
    <xf numFmtId="0" fontId="41" fillId="0" borderId="0" xfId="0" applyFont="1"/>
    <xf numFmtId="0" fontId="42" fillId="0" borderId="0" xfId="0" applyFont="1"/>
    <xf numFmtId="0" fontId="0" fillId="5" borderId="0" xfId="0" applyFill="1" applyBorder="1" applyAlignment="1">
      <alignment horizontal="center" vertical="center"/>
    </xf>
    <xf numFmtId="16" fontId="0" fillId="0" borderId="5" xfId="0" applyNumberFormat="1" applyBorder="1"/>
    <xf numFmtId="167" fontId="1" fillId="5" borderId="0" xfId="0" applyNumberFormat="1" applyFont="1" applyFill="1"/>
    <xf numFmtId="166" fontId="20" fillId="4" borderId="5" xfId="0" applyNumberFormat="1" applyFont="1" applyFill="1" applyBorder="1" applyAlignment="1">
      <alignment horizontal="center"/>
    </xf>
    <xf numFmtId="166" fontId="20" fillId="5" borderId="5" xfId="0" applyNumberFormat="1" applyFont="1" applyFill="1" applyBorder="1" applyAlignment="1">
      <alignment horizontal="center"/>
    </xf>
    <xf numFmtId="166" fontId="29" fillId="4" borderId="5" xfId="0" applyNumberFormat="1" applyFont="1" applyFill="1" applyBorder="1" applyAlignment="1">
      <alignment horizontal="center"/>
    </xf>
    <xf numFmtId="166" fontId="22" fillId="5" borderId="5" xfId="0" applyNumberFormat="1" applyFont="1" applyFill="1" applyBorder="1" applyAlignment="1">
      <alignment horizontal="center"/>
    </xf>
    <xf numFmtId="167" fontId="31" fillId="5" borderId="0" xfId="0" applyNumberFormat="1" applyFont="1" applyFill="1" applyBorder="1"/>
    <xf numFmtId="0" fontId="32" fillId="5" borderId="0" xfId="0" applyFont="1" applyFill="1" applyBorder="1"/>
    <xf numFmtId="0" fontId="18" fillId="5" borderId="0" xfId="0" applyFont="1" applyFill="1" applyBorder="1"/>
    <xf numFmtId="0" fontId="18" fillId="5" borderId="0" xfId="0" applyNumberFormat="1" applyFont="1" applyFill="1" applyBorder="1"/>
    <xf numFmtId="49" fontId="1" fillId="5" borderId="0" xfId="0" applyNumberFormat="1" applyFont="1" applyFill="1" applyBorder="1"/>
    <xf numFmtId="166" fontId="29" fillId="5" borderId="5" xfId="0" applyNumberFormat="1" applyFont="1" applyFill="1" applyBorder="1" applyAlignment="1">
      <alignment horizontal="center"/>
    </xf>
    <xf numFmtId="166" fontId="30" fillId="7" borderId="5" xfId="0" applyNumberFormat="1" applyFont="1" applyFill="1" applyBorder="1" applyAlignment="1">
      <alignment horizontal="center"/>
    </xf>
    <xf numFmtId="166" fontId="30" fillId="4" borderId="5" xfId="0" applyNumberFormat="1" applyFont="1" applyFill="1" applyBorder="1" applyAlignment="1">
      <alignment horizontal="center"/>
    </xf>
    <xf numFmtId="166" fontId="21" fillId="4" borderId="5" xfId="0" applyNumberFormat="1" applyFont="1" applyFill="1" applyBorder="1" applyAlignment="1">
      <alignment horizontal="center"/>
    </xf>
    <xf numFmtId="166" fontId="20" fillId="2" borderId="5" xfId="0" applyNumberFormat="1" applyFont="1" applyFill="1" applyBorder="1" applyAlignment="1">
      <alignment horizontal="center"/>
    </xf>
    <xf numFmtId="0" fontId="0" fillId="5" borderId="5" xfId="0" applyFill="1" applyBorder="1" applyAlignment="1">
      <alignment wrapText="1"/>
    </xf>
    <xf numFmtId="167" fontId="1" fillId="5" borderId="0" xfId="0" applyNumberFormat="1" applyFont="1" applyFill="1" applyBorder="1"/>
    <xf numFmtId="0" fontId="1" fillId="5" borderId="0" xfId="0" applyNumberFormat="1" applyFont="1" applyFill="1" applyBorder="1"/>
    <xf numFmtId="166" fontId="22" fillId="4" borderId="5" xfId="0" applyNumberFormat="1" applyFont="1" applyFill="1" applyBorder="1" applyAlignment="1">
      <alignment horizontal="center"/>
    </xf>
    <xf numFmtId="0" fontId="1" fillId="5" borderId="0" xfId="0" applyFont="1" applyFill="1" applyBorder="1"/>
    <xf numFmtId="49" fontId="14" fillId="5" borderId="0" xfId="0" applyNumberFormat="1" applyFont="1" applyFill="1" applyBorder="1"/>
    <xf numFmtId="167" fontId="18" fillId="5" borderId="0" xfId="0" applyNumberFormat="1" applyFont="1" applyFill="1" applyBorder="1"/>
    <xf numFmtId="0" fontId="1" fillId="5" borderId="0" xfId="0" applyFont="1" applyFill="1"/>
    <xf numFmtId="49" fontId="19" fillId="5" borderId="0" xfId="0" applyNumberFormat="1" applyFont="1" applyFill="1" applyBorder="1"/>
    <xf numFmtId="49" fontId="18" fillId="5" borderId="0" xfId="0" applyNumberFormat="1" applyFont="1" applyFill="1" applyBorder="1"/>
    <xf numFmtId="49" fontId="1" fillId="0" borderId="0" xfId="0" applyNumberFormat="1" applyFont="1"/>
    <xf numFmtId="0" fontId="1" fillId="0" borderId="0" xfId="0" applyFont="1"/>
    <xf numFmtId="167" fontId="33" fillId="5" borderId="0" xfId="0" applyNumberFormat="1" applyFont="1" applyFill="1" applyBorder="1"/>
    <xf numFmtId="0" fontId="31" fillId="0" borderId="0" xfId="0" applyNumberFormat="1" applyFont="1"/>
    <xf numFmtId="0" fontId="33" fillId="5" borderId="0" xfId="0" applyNumberFormat="1" applyFont="1" applyFill="1" applyBorder="1" applyAlignment="1"/>
    <xf numFmtId="167" fontId="31" fillId="5" borderId="0" xfId="0" applyNumberFormat="1" applyFont="1" applyFill="1" applyAlignment="1">
      <alignment horizontal="left"/>
    </xf>
    <xf numFmtId="166" fontId="20" fillId="5" borderId="18" xfId="0" applyNumberFormat="1" applyFont="1" applyFill="1" applyBorder="1" applyAlignment="1">
      <alignment horizontal="center"/>
    </xf>
    <xf numFmtId="166" fontId="20" fillId="5" borderId="15" xfId="0" applyNumberFormat="1" applyFont="1" applyFill="1" applyBorder="1" applyAlignment="1">
      <alignment horizontal="center"/>
    </xf>
    <xf numFmtId="166" fontId="22" fillId="4" borderId="11" xfId="0" applyNumberFormat="1" applyFont="1" applyFill="1" applyBorder="1" applyAlignment="1">
      <alignment horizontal="center"/>
    </xf>
    <xf numFmtId="166" fontId="20" fillId="5" borderId="11" xfId="0" applyNumberFormat="1" applyFont="1" applyFill="1" applyBorder="1" applyAlignment="1">
      <alignment horizontal="center"/>
    </xf>
    <xf numFmtId="166" fontId="20" fillId="5" borderId="19" xfId="0" applyNumberFormat="1" applyFont="1" applyFill="1" applyBorder="1" applyAlignment="1">
      <alignment horizontal="center"/>
    </xf>
    <xf numFmtId="166" fontId="20" fillId="5" borderId="20" xfId="0" applyNumberFormat="1" applyFont="1" applyFill="1" applyBorder="1" applyAlignment="1">
      <alignment horizontal="center"/>
    </xf>
    <xf numFmtId="166" fontId="20" fillId="5" borderId="21" xfId="0" applyNumberFormat="1" applyFont="1" applyFill="1" applyBorder="1" applyAlignment="1">
      <alignment horizontal="center"/>
    </xf>
    <xf numFmtId="166" fontId="20" fillId="5" borderId="17" xfId="0" applyNumberFormat="1" applyFont="1" applyFill="1" applyBorder="1" applyAlignment="1">
      <alignment horizontal="center"/>
    </xf>
    <xf numFmtId="166" fontId="20" fillId="12" borderId="5" xfId="0" applyNumberFormat="1" applyFont="1" applyFill="1" applyBorder="1" applyAlignment="1">
      <alignment horizontal="center"/>
    </xf>
    <xf numFmtId="166" fontId="20" fillId="13" borderId="5" xfId="0" applyNumberFormat="1" applyFont="1" applyFill="1" applyBorder="1" applyAlignment="1">
      <alignment horizontal="center"/>
    </xf>
    <xf numFmtId="166" fontId="20" fillId="12" borderId="11" xfId="0" applyNumberFormat="1" applyFont="1" applyFill="1" applyBorder="1" applyAlignment="1">
      <alignment horizontal="center"/>
    </xf>
    <xf numFmtId="166" fontId="20" fillId="13" borderId="19" xfId="0" applyNumberFormat="1" applyFont="1" applyFill="1" applyBorder="1" applyAlignment="1">
      <alignment horizontal="center"/>
    </xf>
    <xf numFmtId="166" fontId="20" fillId="13" borderId="22" xfId="0" applyNumberFormat="1" applyFont="1" applyFill="1" applyBorder="1" applyAlignment="1">
      <alignment horizontal="center"/>
    </xf>
    <xf numFmtId="166" fontId="20" fillId="5" borderId="22" xfId="0" applyNumberFormat="1" applyFont="1" applyFill="1" applyBorder="1" applyAlignment="1">
      <alignment horizontal="center"/>
    </xf>
    <xf numFmtId="166" fontId="22" fillId="4" borderId="19" xfId="0" applyNumberFormat="1" applyFont="1" applyFill="1" applyBorder="1" applyAlignment="1">
      <alignment horizontal="center"/>
    </xf>
    <xf numFmtId="166" fontId="20" fillId="5" borderId="2" xfId="0" applyNumberFormat="1" applyFont="1" applyFill="1" applyBorder="1" applyAlignment="1">
      <alignment horizontal="center"/>
    </xf>
    <xf numFmtId="166" fontId="21" fillId="5" borderId="11" xfId="0" applyNumberFormat="1" applyFont="1" applyFill="1" applyBorder="1" applyAlignment="1">
      <alignment horizontal="center"/>
    </xf>
    <xf numFmtId="166" fontId="21" fillId="4" borderId="11" xfId="0" applyNumberFormat="1" applyFont="1" applyFill="1" applyBorder="1" applyAlignment="1">
      <alignment horizontal="center"/>
    </xf>
    <xf numFmtId="166" fontId="29" fillId="4" borderId="20" xfId="0" applyNumberFormat="1" applyFont="1" applyFill="1" applyBorder="1" applyAlignment="1">
      <alignment horizontal="center"/>
    </xf>
    <xf numFmtId="166" fontId="29" fillId="4" borderId="11" xfId="0" applyNumberFormat="1" applyFont="1" applyFill="1" applyBorder="1" applyAlignment="1">
      <alignment horizontal="center"/>
    </xf>
    <xf numFmtId="166" fontId="20" fillId="4" borderId="19" xfId="0" applyNumberFormat="1" applyFont="1" applyFill="1" applyBorder="1" applyAlignment="1">
      <alignment horizontal="center"/>
    </xf>
    <xf numFmtId="166" fontId="20" fillId="2" borderId="21" xfId="0" applyNumberFormat="1" applyFont="1" applyFill="1" applyBorder="1" applyAlignment="1">
      <alignment horizontal="center"/>
    </xf>
    <xf numFmtId="166" fontId="20" fillId="12" borderId="22" xfId="0" applyNumberFormat="1" applyFont="1" applyFill="1" applyBorder="1" applyAlignment="1">
      <alignment horizontal="center"/>
    </xf>
    <xf numFmtId="166" fontId="20" fillId="12" borderId="17" xfId="0" applyNumberFormat="1" applyFont="1" applyFill="1" applyBorder="1" applyAlignment="1">
      <alignment horizontal="center"/>
    </xf>
    <xf numFmtId="166" fontId="20" fillId="12" borderId="2" xfId="0" applyNumberFormat="1" applyFont="1" applyFill="1" applyBorder="1" applyAlignment="1">
      <alignment horizontal="center"/>
    </xf>
    <xf numFmtId="166" fontId="20" fillId="12" borderId="20" xfId="0" applyNumberFormat="1" applyFont="1" applyFill="1" applyBorder="1" applyAlignment="1">
      <alignment horizontal="center"/>
    </xf>
    <xf numFmtId="166" fontId="20" fillId="12" borderId="21" xfId="0" applyNumberFormat="1" applyFont="1" applyFill="1" applyBorder="1" applyAlignment="1">
      <alignment horizontal="center"/>
    </xf>
    <xf numFmtId="166" fontId="20" fillId="12" borderId="19" xfId="0" applyNumberFormat="1" applyFont="1" applyFill="1" applyBorder="1" applyAlignment="1">
      <alignment horizontal="center"/>
    </xf>
    <xf numFmtId="166" fontId="20" fillId="13" borderId="17" xfId="0" applyNumberFormat="1" applyFont="1" applyFill="1" applyBorder="1" applyAlignment="1">
      <alignment horizontal="center"/>
    </xf>
    <xf numFmtId="166" fontId="20" fillId="2" borderId="19" xfId="0" applyNumberFormat="1" applyFont="1" applyFill="1" applyBorder="1" applyAlignment="1">
      <alignment horizontal="center"/>
    </xf>
    <xf numFmtId="0" fontId="43" fillId="0" borderId="24" xfId="0" applyFont="1" applyBorder="1" applyProtection="1"/>
    <xf numFmtId="0" fontId="43" fillId="0" borderId="25" xfId="0" applyFont="1" applyBorder="1" applyProtection="1"/>
    <xf numFmtId="7" fontId="43" fillId="0" borderId="25" xfId="0" applyNumberFormat="1" applyFont="1" applyBorder="1" applyProtection="1"/>
    <xf numFmtId="0" fontId="43" fillId="0" borderId="0" xfId="0" applyFont="1" applyProtection="1"/>
    <xf numFmtId="7" fontId="43" fillId="0" borderId="29" xfId="0" applyNumberFormat="1" applyFont="1" applyBorder="1" applyProtection="1"/>
    <xf numFmtId="0" fontId="43" fillId="0" borderId="29" xfId="0" applyFont="1" applyFill="1" applyBorder="1" applyAlignment="1" applyProtection="1">
      <alignment horizontal="center"/>
    </xf>
    <xf numFmtId="7" fontId="43" fillId="0" borderId="29" xfId="0" applyNumberFormat="1" applyFont="1" applyBorder="1" applyAlignment="1" applyProtection="1">
      <alignment horizontal="center"/>
    </xf>
    <xf numFmtId="9" fontId="43" fillId="0" borderId="29" xfId="0" applyNumberFormat="1" applyFont="1" applyBorder="1" applyProtection="1"/>
    <xf numFmtId="0" fontId="14" fillId="0" borderId="29" xfId="0" applyFont="1" applyFill="1" applyBorder="1" applyAlignment="1" applyProtection="1">
      <alignment horizontal="center"/>
    </xf>
    <xf numFmtId="0" fontId="8" fillId="0" borderId="0" xfId="0" applyFont="1" applyFill="1" applyBorder="1" applyAlignment="1" applyProtection="1">
      <alignment horizontal="right"/>
    </xf>
    <xf numFmtId="7" fontId="43" fillId="0" borderId="30" xfId="0" applyNumberFormat="1" applyFont="1" applyFill="1" applyBorder="1" applyProtection="1"/>
    <xf numFmtId="0" fontId="43" fillId="0" borderId="25" xfId="0" applyFont="1" applyFill="1" applyBorder="1" applyAlignment="1" applyProtection="1">
      <alignment horizontal="center"/>
    </xf>
    <xf numFmtId="2" fontId="43" fillId="0" borderId="25" xfId="0" applyNumberFormat="1" applyFont="1" applyBorder="1" applyAlignment="1" applyProtection="1">
      <alignment horizontal="center"/>
    </xf>
    <xf numFmtId="0" fontId="43" fillId="0" borderId="0" xfId="0" applyFont="1" applyFill="1"/>
    <xf numFmtId="9" fontId="43" fillId="0" borderId="25" xfId="0" applyNumberFormat="1" applyFont="1" applyBorder="1" applyProtection="1"/>
    <xf numFmtId="9" fontId="43" fillId="0" borderId="25" xfId="0" applyNumberFormat="1" applyFont="1" applyBorder="1" applyAlignment="1" applyProtection="1">
      <alignment horizontal="center"/>
    </xf>
    <xf numFmtId="0" fontId="18" fillId="4" borderId="25" xfId="0" applyFont="1" applyFill="1" applyBorder="1" applyAlignment="1" applyProtection="1">
      <alignment horizontal="left"/>
    </xf>
    <xf numFmtId="0" fontId="43" fillId="0" borderId="0" xfId="0" applyFont="1" applyFill="1" applyProtection="1"/>
    <xf numFmtId="7" fontId="45" fillId="0" borderId="29" xfId="0" applyNumberFormat="1" applyFont="1" applyFill="1" applyBorder="1" applyProtection="1"/>
    <xf numFmtId="0" fontId="45" fillId="0" borderId="29" xfId="0" applyFont="1" applyBorder="1" applyAlignment="1" applyProtection="1">
      <alignment horizontal="center"/>
    </xf>
    <xf numFmtId="7" fontId="45" fillId="0" borderId="29" xfId="0" applyNumberFormat="1" applyFont="1" applyBorder="1" applyAlignment="1" applyProtection="1">
      <alignment horizontal="center"/>
    </xf>
    <xf numFmtId="7" fontId="45" fillId="0" borderId="29" xfId="0" applyNumberFormat="1" applyFont="1" applyBorder="1" applyProtection="1"/>
    <xf numFmtId="9" fontId="45" fillId="0" borderId="29" xfId="0" applyNumberFormat="1" applyFont="1" applyBorder="1" applyProtection="1"/>
    <xf numFmtId="0" fontId="46" fillId="0" borderId="29" xfId="0" applyFont="1" applyBorder="1" applyAlignment="1" applyProtection="1">
      <alignment horizontal="center"/>
    </xf>
    <xf numFmtId="0" fontId="47" fillId="0" borderId="31" xfId="0" applyFont="1" applyFill="1" applyBorder="1" applyAlignment="1" applyProtection="1">
      <alignment horizontal="right"/>
    </xf>
    <xf numFmtId="7" fontId="48" fillId="0" borderId="30" xfId="0" applyNumberFormat="1" applyFont="1" applyFill="1" applyBorder="1" applyProtection="1"/>
    <xf numFmtId="0" fontId="48" fillId="0" borderId="30" xfId="0" applyFont="1" applyBorder="1" applyAlignment="1" applyProtection="1">
      <alignment horizontal="center"/>
    </xf>
    <xf numFmtId="7" fontId="48" fillId="0" borderId="30" xfId="0" applyNumberFormat="1" applyFont="1" applyBorder="1" applyProtection="1"/>
    <xf numFmtId="164" fontId="48" fillId="0" borderId="30" xfId="0" applyNumberFormat="1" applyFont="1" applyFill="1" applyBorder="1" applyProtection="1"/>
    <xf numFmtId="7" fontId="45" fillId="0" borderId="25" xfId="0" applyNumberFormat="1" applyFont="1" applyBorder="1" applyProtection="1"/>
    <xf numFmtId="9" fontId="45" fillId="0" borderId="25" xfId="0" applyNumberFormat="1" applyFont="1" applyBorder="1" applyProtection="1"/>
    <xf numFmtId="9" fontId="45" fillId="0" borderId="25" xfId="0" applyNumberFormat="1" applyFont="1" applyBorder="1" applyAlignment="1" applyProtection="1">
      <alignment horizontal="center"/>
    </xf>
    <xf numFmtId="0" fontId="49" fillId="15" borderId="25" xfId="0" applyFont="1" applyFill="1" applyBorder="1" applyAlignment="1" applyProtection="1">
      <alignment horizontal="left"/>
    </xf>
    <xf numFmtId="7" fontId="48" fillId="0" borderId="29" xfId="0" applyNumberFormat="1" applyFont="1" applyFill="1" applyBorder="1" applyProtection="1"/>
    <xf numFmtId="0" fontId="48" fillId="0" borderId="29" xfId="0" applyFont="1" applyFill="1" applyBorder="1" applyAlignment="1" applyProtection="1">
      <alignment horizontal="center"/>
    </xf>
    <xf numFmtId="7" fontId="48" fillId="0" borderId="29" xfId="0" applyNumberFormat="1" applyFont="1" applyBorder="1" applyAlignment="1" applyProtection="1">
      <alignment horizontal="center"/>
    </xf>
    <xf numFmtId="7" fontId="48" fillId="0" borderId="29" xfId="0" applyNumberFormat="1" applyFont="1" applyBorder="1" applyProtection="1"/>
    <xf numFmtId="9" fontId="48" fillId="0" borderId="29" xfId="0" applyNumberFormat="1" applyFont="1" applyBorder="1" applyProtection="1"/>
    <xf numFmtId="0" fontId="50" fillId="0" borderId="29" xfId="0" applyFont="1" applyBorder="1" applyAlignment="1" applyProtection="1">
      <alignment horizontal="center"/>
    </xf>
    <xf numFmtId="0" fontId="51" fillId="0" borderId="31" xfId="0" applyFont="1" applyFill="1" applyBorder="1" applyAlignment="1" applyProtection="1">
      <alignment horizontal="right"/>
    </xf>
    <xf numFmtId="0" fontId="48" fillId="0" borderId="25" xfId="0" applyFont="1" applyFill="1" applyBorder="1" applyAlignment="1" applyProtection="1">
      <alignment horizontal="center"/>
    </xf>
    <xf numFmtId="2" fontId="48" fillId="0" borderId="25" xfId="0" applyNumberFormat="1" applyFont="1" applyBorder="1" applyAlignment="1" applyProtection="1">
      <alignment horizontal="center"/>
    </xf>
    <xf numFmtId="0" fontId="48" fillId="0" borderId="0" xfId="0" applyFont="1" applyFill="1"/>
    <xf numFmtId="7" fontId="48" fillId="0" borderId="25" xfId="0" applyNumberFormat="1" applyFont="1" applyBorder="1" applyProtection="1"/>
    <xf numFmtId="9" fontId="48" fillId="0" borderId="25" xfId="0" applyNumberFormat="1" applyFont="1" applyBorder="1" applyProtection="1"/>
    <xf numFmtId="9" fontId="48" fillId="0" borderId="25" xfId="0" applyNumberFormat="1" applyFont="1" applyBorder="1" applyAlignment="1" applyProtection="1">
      <alignment horizontal="center"/>
    </xf>
    <xf numFmtId="0" fontId="23" fillId="16" borderId="25" xfId="0" applyFont="1" applyFill="1" applyBorder="1" applyAlignment="1" applyProtection="1">
      <alignment horizontal="left"/>
    </xf>
    <xf numFmtId="0" fontId="48" fillId="0" borderId="0" xfId="0" applyFont="1" applyFill="1" applyProtection="1"/>
    <xf numFmtId="7" fontId="43" fillId="0" borderId="29" xfId="0" applyNumberFormat="1" applyFont="1" applyFill="1" applyBorder="1" applyProtection="1"/>
    <xf numFmtId="0" fontId="14" fillId="0" borderId="29" xfId="0" applyFont="1" applyBorder="1" applyAlignment="1" applyProtection="1">
      <alignment horizontal="center"/>
    </xf>
    <xf numFmtId="0" fontId="52" fillId="0" borderId="31" xfId="0" applyFont="1" applyFill="1" applyBorder="1" applyAlignment="1" applyProtection="1">
      <alignment horizontal="right"/>
    </xf>
    <xf numFmtId="0" fontId="18" fillId="16" borderId="25" xfId="0" applyFont="1" applyFill="1" applyBorder="1" applyAlignment="1" applyProtection="1">
      <alignment horizontal="left"/>
    </xf>
    <xf numFmtId="0" fontId="53" fillId="0" borderId="31" xfId="0" applyFont="1" applyFill="1" applyBorder="1" applyAlignment="1" applyProtection="1">
      <alignment horizontal="right"/>
    </xf>
    <xf numFmtId="0" fontId="43" fillId="0" borderId="29" xfId="0" applyFont="1" applyBorder="1" applyAlignment="1" applyProtection="1">
      <alignment horizontal="center"/>
    </xf>
    <xf numFmtId="0" fontId="54" fillId="0" borderId="31" xfId="0" applyFont="1" applyFill="1" applyBorder="1" applyAlignment="1" applyProtection="1">
      <alignment horizontal="right"/>
    </xf>
    <xf numFmtId="0" fontId="43" fillId="0" borderId="25" xfId="0" applyFont="1" applyBorder="1" applyAlignment="1" applyProtection="1">
      <alignment horizontal="center"/>
    </xf>
    <xf numFmtId="0" fontId="8" fillId="4" borderId="31" xfId="0" applyFont="1" applyFill="1" applyBorder="1" applyAlignment="1" applyProtection="1">
      <alignment horizontal="right"/>
    </xf>
    <xf numFmtId="0" fontId="43" fillId="17" borderId="29" xfId="0" applyFont="1" applyFill="1" applyBorder="1" applyAlignment="1" applyProtection="1">
      <alignment horizontal="center"/>
    </xf>
    <xf numFmtId="7" fontId="43" fillId="17" borderId="29" xfId="0" applyNumberFormat="1" applyFont="1" applyFill="1" applyBorder="1" applyAlignment="1" applyProtection="1">
      <alignment horizontal="center"/>
    </xf>
    <xf numFmtId="7" fontId="43" fillId="17" borderId="29" xfId="0" applyNumberFormat="1" applyFont="1" applyFill="1" applyBorder="1" applyProtection="1"/>
    <xf numFmtId="9" fontId="43" fillId="17" borderId="29" xfId="0" applyNumberFormat="1" applyFont="1" applyFill="1" applyBorder="1" applyProtection="1"/>
    <xf numFmtId="0" fontId="48" fillId="17" borderId="29" xfId="0" applyFont="1" applyFill="1" applyBorder="1" applyAlignment="1" applyProtection="1">
      <alignment horizontal="center"/>
    </xf>
    <xf numFmtId="7" fontId="48" fillId="17" borderId="29" xfId="0" applyNumberFormat="1" applyFont="1" applyFill="1" applyBorder="1" applyAlignment="1" applyProtection="1">
      <alignment horizontal="center"/>
    </xf>
    <xf numFmtId="7" fontId="48" fillId="17" borderId="29" xfId="0" applyNumberFormat="1" applyFont="1" applyFill="1" applyBorder="1" applyProtection="1"/>
    <xf numFmtId="9" fontId="48" fillId="17" borderId="29" xfId="0" applyNumberFormat="1" applyFont="1" applyFill="1" applyBorder="1" applyProtection="1"/>
    <xf numFmtId="0" fontId="50" fillId="0" borderId="29" xfId="0" applyFont="1" applyFill="1" applyBorder="1" applyAlignment="1" applyProtection="1">
      <alignment horizontal="center"/>
    </xf>
    <xf numFmtId="0" fontId="55" fillId="4" borderId="31" xfId="0" applyFont="1" applyFill="1" applyBorder="1" applyAlignment="1" applyProtection="1">
      <alignment horizontal="right"/>
    </xf>
    <xf numFmtId="0" fontId="48" fillId="0" borderId="25" xfId="0" applyFont="1" applyBorder="1" applyAlignment="1" applyProtection="1">
      <alignment horizontal="center"/>
    </xf>
    <xf numFmtId="0" fontId="48" fillId="0" borderId="0" xfId="0" applyFont="1" applyProtection="1"/>
    <xf numFmtId="0" fontId="56" fillId="4" borderId="31" xfId="0" applyFont="1" applyFill="1" applyBorder="1" applyAlignment="1" applyProtection="1">
      <alignment horizontal="right"/>
    </xf>
    <xf numFmtId="0" fontId="47" fillId="4" borderId="31" xfId="0" applyFont="1" applyFill="1" applyBorder="1" applyAlignment="1" applyProtection="1">
      <alignment horizontal="right"/>
    </xf>
    <xf numFmtId="7" fontId="45" fillId="0" borderId="30" xfId="0" applyNumberFormat="1" applyFont="1" applyFill="1" applyBorder="1" applyProtection="1"/>
    <xf numFmtId="0" fontId="45" fillId="0" borderId="24" xfId="0" applyFont="1" applyBorder="1" applyAlignment="1" applyProtection="1">
      <alignment horizontal="center"/>
    </xf>
    <xf numFmtId="2" fontId="45" fillId="0" borderId="24" xfId="0" applyNumberFormat="1" applyFont="1" applyBorder="1" applyAlignment="1" applyProtection="1">
      <alignment horizontal="center"/>
    </xf>
    <xf numFmtId="0" fontId="45" fillId="0" borderId="0" xfId="0" applyFont="1" applyFill="1"/>
    <xf numFmtId="7" fontId="45" fillId="0" borderId="24" xfId="0" applyNumberFormat="1" applyFont="1" applyBorder="1" applyProtection="1"/>
    <xf numFmtId="9" fontId="45" fillId="0" borderId="24" xfId="0" applyNumberFormat="1" applyFont="1" applyBorder="1" applyProtection="1"/>
    <xf numFmtId="9" fontId="45" fillId="0" borderId="24" xfId="0" applyNumberFormat="1" applyFont="1" applyBorder="1" applyAlignment="1" applyProtection="1">
      <alignment horizontal="center"/>
    </xf>
    <xf numFmtId="0" fontId="49" fillId="16" borderId="24" xfId="0" applyFont="1" applyFill="1" applyBorder="1" applyAlignment="1" applyProtection="1">
      <alignment horizontal="left"/>
    </xf>
    <xf numFmtId="0" fontId="45" fillId="0" borderId="0" xfId="0" applyFont="1" applyBorder="1" applyProtection="1"/>
    <xf numFmtId="0" fontId="14" fillId="0" borderId="32" xfId="0" applyFont="1" applyBorder="1" applyAlignment="1" applyProtection="1">
      <alignment horizontal="center"/>
    </xf>
    <xf numFmtId="0" fontId="8" fillId="0" borderId="31" xfId="0" applyFont="1" applyFill="1" applyBorder="1" applyAlignment="1" applyProtection="1">
      <alignment horizontal="right"/>
    </xf>
    <xf numFmtId="7" fontId="43" fillId="18" borderId="30" xfId="0" applyNumberFormat="1" applyFont="1" applyFill="1" applyBorder="1" applyProtection="1"/>
    <xf numFmtId="0" fontId="18" fillId="19" borderId="33" xfId="0" applyFont="1" applyFill="1" applyBorder="1" applyAlignment="1" applyProtection="1">
      <alignment horizontal="left"/>
    </xf>
    <xf numFmtId="7" fontId="43" fillId="0" borderId="29" xfId="0" applyNumberFormat="1" applyFont="1" applyFill="1" applyBorder="1" applyAlignment="1" applyProtection="1">
      <alignment horizontal="center"/>
    </xf>
    <xf numFmtId="9" fontId="43" fillId="0" borderId="29" xfId="0" applyNumberFormat="1" applyFont="1" applyFill="1" applyBorder="1" applyProtection="1"/>
    <xf numFmtId="0" fontId="14" fillId="0" borderId="32" xfId="0" applyFont="1" applyFill="1" applyBorder="1" applyAlignment="1" applyProtection="1">
      <alignment horizontal="center"/>
    </xf>
    <xf numFmtId="2" fontId="43" fillId="0" borderId="25" xfId="0" applyNumberFormat="1" applyFont="1" applyFill="1" applyBorder="1" applyAlignment="1" applyProtection="1">
      <alignment horizontal="center"/>
    </xf>
    <xf numFmtId="7" fontId="43" fillId="4" borderId="25" xfId="0" applyNumberFormat="1" applyFont="1" applyFill="1" applyBorder="1" applyProtection="1"/>
    <xf numFmtId="9" fontId="43" fillId="0" borderId="25" xfId="0" applyNumberFormat="1" applyFont="1" applyFill="1" applyBorder="1" applyProtection="1"/>
    <xf numFmtId="9" fontId="43" fillId="0" borderId="25" xfId="0" applyNumberFormat="1" applyFont="1" applyFill="1" applyBorder="1" applyAlignment="1" applyProtection="1">
      <alignment horizontal="center"/>
    </xf>
    <xf numFmtId="7" fontId="43" fillId="14" borderId="25" xfId="0" applyNumberFormat="1" applyFont="1" applyFill="1" applyBorder="1" applyProtection="1"/>
    <xf numFmtId="0" fontId="57" fillId="0" borderId="32" xfId="0" applyFont="1" applyFill="1" applyBorder="1" applyAlignment="1" applyProtection="1">
      <alignment horizontal="center"/>
    </xf>
    <xf numFmtId="0" fontId="48" fillId="0" borderId="29" xfId="0" applyFont="1" applyBorder="1" applyAlignment="1" applyProtection="1">
      <alignment horizontal="center"/>
    </xf>
    <xf numFmtId="0" fontId="50" fillId="0" borderId="32" xfId="0" applyFont="1" applyBorder="1" applyAlignment="1" applyProtection="1">
      <alignment horizontal="center"/>
    </xf>
    <xf numFmtId="0" fontId="23" fillId="19" borderId="33" xfId="0" applyFont="1" applyFill="1" applyBorder="1" applyAlignment="1" applyProtection="1">
      <alignment horizontal="left"/>
    </xf>
    <xf numFmtId="0" fontId="43" fillId="14" borderId="25" xfId="0" applyFont="1" applyFill="1" applyBorder="1" applyAlignment="1" applyProtection="1">
      <alignment horizontal="center"/>
    </xf>
    <xf numFmtId="7" fontId="43" fillId="0" borderId="25" xfId="0" applyNumberFormat="1" applyFont="1" applyFill="1" applyBorder="1" applyProtection="1"/>
    <xf numFmtId="9" fontId="43" fillId="0" borderId="24" xfId="0" applyNumberFormat="1" applyFont="1" applyBorder="1" applyProtection="1"/>
    <xf numFmtId="9" fontId="43" fillId="0" borderId="24" xfId="0" applyNumberFormat="1" applyFont="1" applyBorder="1" applyAlignment="1" applyProtection="1">
      <alignment horizontal="center"/>
    </xf>
    <xf numFmtId="0" fontId="18" fillId="19" borderId="16" xfId="0" applyFont="1" applyFill="1" applyBorder="1" applyAlignment="1" applyProtection="1">
      <alignment horizontal="left"/>
    </xf>
    <xf numFmtId="0" fontId="43" fillId="0" borderId="34" xfId="0" applyFont="1" applyFill="1" applyBorder="1" applyAlignment="1">
      <alignment horizontal="center"/>
    </xf>
    <xf numFmtId="9" fontId="43" fillId="0" borderId="29" xfId="0" applyNumberFormat="1" applyFont="1" applyBorder="1" applyAlignment="1" applyProtection="1">
      <alignment horizontal="center"/>
    </xf>
    <xf numFmtId="0" fontId="43" fillId="0" borderId="27" xfId="0" applyFont="1" applyFill="1" applyBorder="1"/>
    <xf numFmtId="9" fontId="43" fillId="0" borderId="30" xfId="0" applyNumberFormat="1" applyFont="1" applyBorder="1" applyProtection="1"/>
    <xf numFmtId="9" fontId="43" fillId="0" borderId="30" xfId="0" applyNumberFormat="1" applyFont="1" applyBorder="1" applyAlignment="1" applyProtection="1">
      <alignment horizontal="center"/>
    </xf>
    <xf numFmtId="0" fontId="18" fillId="19" borderId="26" xfId="0" applyFont="1" applyFill="1" applyBorder="1" applyAlignment="1" applyProtection="1">
      <alignment horizontal="left"/>
    </xf>
    <xf numFmtId="0" fontId="48" fillId="0" borderId="34" xfId="0" applyFont="1" applyFill="1" applyBorder="1" applyAlignment="1">
      <alignment horizontal="center"/>
    </xf>
    <xf numFmtId="9" fontId="48" fillId="0" borderId="29" xfId="0" applyNumberFormat="1" applyFont="1" applyBorder="1" applyAlignment="1" applyProtection="1">
      <alignment horizontal="center"/>
    </xf>
    <xf numFmtId="0" fontId="48" fillId="0" borderId="27" xfId="0" applyFont="1" applyFill="1" applyBorder="1"/>
    <xf numFmtId="9" fontId="48" fillId="0" borderId="30" xfId="0" applyNumberFormat="1" applyFont="1" applyBorder="1" applyProtection="1"/>
    <xf numFmtId="9" fontId="48" fillId="0" borderId="30" xfId="0" applyNumberFormat="1" applyFont="1" applyBorder="1" applyAlignment="1" applyProtection="1">
      <alignment horizontal="center"/>
    </xf>
    <xf numFmtId="0" fontId="23" fillId="19" borderId="26" xfId="0" applyFont="1" applyFill="1" applyBorder="1" applyAlignment="1" applyProtection="1">
      <alignment horizontal="left"/>
    </xf>
    <xf numFmtId="0" fontId="51" fillId="4" borderId="31" xfId="0" applyFont="1" applyFill="1" applyBorder="1" applyAlignment="1" applyProtection="1">
      <alignment horizontal="right"/>
    </xf>
    <xf numFmtId="7" fontId="58" fillId="0" borderId="29" xfId="0" applyNumberFormat="1" applyFont="1" applyBorder="1" applyAlignment="1" applyProtection="1">
      <alignment horizontal="center"/>
    </xf>
    <xf numFmtId="0" fontId="46" fillId="0" borderId="32" xfId="0" applyFont="1" applyBorder="1" applyAlignment="1" applyProtection="1">
      <alignment horizontal="center"/>
    </xf>
    <xf numFmtId="0" fontId="47" fillId="0" borderId="31" xfId="0" applyFont="1" applyBorder="1" applyAlignment="1" applyProtection="1">
      <alignment horizontal="right"/>
    </xf>
    <xf numFmtId="0" fontId="45" fillId="0" borderId="25" xfId="0" applyFont="1" applyBorder="1" applyAlignment="1" applyProtection="1">
      <alignment horizontal="center"/>
    </xf>
    <xf numFmtId="2" fontId="45" fillId="0" borderId="25" xfId="0" applyNumberFormat="1" applyFont="1" applyBorder="1" applyAlignment="1" applyProtection="1">
      <alignment horizontal="center"/>
    </xf>
    <xf numFmtId="0" fontId="58" fillId="0" borderId="0" xfId="0" applyFont="1" applyAlignment="1">
      <alignment horizontal="center"/>
    </xf>
    <xf numFmtId="0" fontId="49" fillId="19" borderId="33" xfId="0" applyFont="1" applyFill="1" applyBorder="1" applyAlignment="1" applyProtection="1">
      <alignment horizontal="left"/>
    </xf>
    <xf numFmtId="0" fontId="43" fillId="0" borderId="35" xfId="0" applyFont="1" applyBorder="1" applyAlignment="1" applyProtection="1">
      <alignment horizontal="center"/>
    </xf>
    <xf numFmtId="0" fontId="35" fillId="6" borderId="35" xfId="0" applyFont="1" applyFill="1" applyBorder="1" applyAlignment="1" applyProtection="1">
      <alignment horizontal="center" vertical="top" wrapText="1"/>
    </xf>
    <xf numFmtId="0" fontId="43" fillId="0" borderId="0" xfId="0" applyFont="1" applyAlignment="1" applyProtection="1"/>
    <xf numFmtId="0" fontId="43" fillId="0" borderId="36" xfId="0" applyFont="1" applyBorder="1" applyAlignment="1" applyProtection="1">
      <alignment horizontal="center"/>
    </xf>
    <xf numFmtId="0" fontId="35" fillId="6" borderId="36" xfId="0" applyFont="1" applyFill="1" applyBorder="1" applyAlignment="1" applyProtection="1">
      <alignment horizontal="center" vertical="top" wrapText="1"/>
    </xf>
    <xf numFmtId="7" fontId="59" fillId="0" borderId="0" xfId="0" applyNumberFormat="1" applyFont="1" applyAlignment="1" applyProtection="1"/>
    <xf numFmtId="0" fontId="43" fillId="0" borderId="37" xfId="0" applyFont="1" applyBorder="1" applyAlignment="1" applyProtection="1">
      <alignment horizontal="center"/>
    </xf>
    <xf numFmtId="0" fontId="35" fillId="6" borderId="37" xfId="0" applyFont="1" applyFill="1" applyBorder="1" applyAlignment="1" applyProtection="1">
      <alignment horizontal="center" vertical="top" wrapText="1"/>
    </xf>
    <xf numFmtId="7" fontId="59" fillId="0" borderId="0" xfId="0" applyNumberFormat="1" applyFont="1" applyProtection="1"/>
    <xf numFmtId="0" fontId="35" fillId="0" borderId="0" xfId="0" applyFont="1" applyProtection="1"/>
    <xf numFmtId="7" fontId="60" fillId="0" borderId="0" xfId="0" applyNumberFormat="1" applyFont="1"/>
    <xf numFmtId="7" fontId="61" fillId="0" borderId="0" xfId="0" applyNumberFormat="1" applyFont="1" applyProtection="1"/>
    <xf numFmtId="7" fontId="62" fillId="0" borderId="0" xfId="0" applyNumberFormat="1" applyFont="1" applyProtection="1"/>
    <xf numFmtId="0" fontId="62" fillId="0" borderId="0" xfId="0" applyFont="1" applyProtection="1"/>
    <xf numFmtId="0" fontId="43" fillId="0" borderId="0" xfId="0" applyFont="1"/>
    <xf numFmtId="7" fontId="43" fillId="0" borderId="0" xfId="0" applyNumberFormat="1" applyFont="1" applyProtection="1"/>
    <xf numFmtId="7" fontId="63" fillId="0" borderId="0" xfId="0" applyNumberFormat="1" applyFont="1" applyProtection="1"/>
    <xf numFmtId="0" fontId="63" fillId="0" borderId="0" xfId="0" applyFont="1" applyProtection="1"/>
    <xf numFmtId="7" fontId="59" fillId="0" borderId="0" xfId="0" applyNumberFormat="1" applyFont="1"/>
    <xf numFmtId="0" fontId="64" fillId="0" borderId="0" xfId="0" applyFont="1" applyProtection="1"/>
    <xf numFmtId="7" fontId="64" fillId="0" borderId="0" xfId="0" applyNumberFormat="1" applyFont="1" applyProtection="1"/>
    <xf numFmtId="0" fontId="65" fillId="0" borderId="0" xfId="0" applyFont="1" applyProtection="1"/>
    <xf numFmtId="166" fontId="20" fillId="20" borderId="19" xfId="0" applyNumberFormat="1" applyFont="1" applyFill="1" applyBorder="1" applyAlignment="1">
      <alignment horizontal="center"/>
    </xf>
    <xf numFmtId="0" fontId="23" fillId="2" borderId="11" xfId="0" applyFont="1" applyFill="1" applyBorder="1"/>
    <xf numFmtId="0" fontId="25" fillId="5" borderId="0" xfId="0" applyFont="1" applyFill="1" applyBorder="1"/>
    <xf numFmtId="0" fontId="31" fillId="0" borderId="0" xfId="0" applyFont="1" applyBorder="1"/>
    <xf numFmtId="0" fontId="24" fillId="13" borderId="0" xfId="0" applyFont="1" applyFill="1" applyBorder="1"/>
    <xf numFmtId="0" fontId="0" fillId="12" borderId="0" xfId="0" applyFill="1"/>
    <xf numFmtId="167" fontId="66" fillId="5" borderId="0" xfId="0" applyNumberFormat="1" applyFont="1" applyFill="1" applyBorder="1"/>
    <xf numFmtId="0" fontId="24" fillId="5" borderId="0" xfId="0" applyNumberFormat="1" applyFont="1" applyFill="1" applyBorder="1"/>
    <xf numFmtId="0" fontId="25" fillId="5" borderId="0" xfId="0" applyFont="1" applyFill="1"/>
    <xf numFmtId="0" fontId="68" fillId="0" borderId="0" xfId="0" applyFont="1"/>
    <xf numFmtId="166" fontId="67" fillId="4" borderId="5" xfId="0" applyNumberFormat="1" applyFont="1" applyFill="1" applyBorder="1" applyAlignment="1">
      <alignment horizontal="center"/>
    </xf>
    <xf numFmtId="0" fontId="59" fillId="0" borderId="0" xfId="0" applyFont="1" applyProtection="1"/>
    <xf numFmtId="0" fontId="18" fillId="0" borderId="25" xfId="0" applyFont="1" applyFill="1" applyBorder="1" applyAlignment="1" applyProtection="1">
      <alignment horizontal="left"/>
    </xf>
    <xf numFmtId="0" fontId="14" fillId="4" borderId="29" xfId="0" applyFont="1" applyFill="1" applyBorder="1" applyAlignment="1" applyProtection="1">
      <alignment horizontal="center"/>
    </xf>
    <xf numFmtId="0" fontId="43" fillId="0" borderId="30" xfId="0" applyFont="1" applyFill="1" applyBorder="1" applyAlignment="1" applyProtection="1">
      <alignment horizontal="left"/>
    </xf>
    <xf numFmtId="168" fontId="43" fillId="0" borderId="30" xfId="0" applyNumberFormat="1" applyFont="1" applyBorder="1" applyProtection="1"/>
    <xf numFmtId="168" fontId="43" fillId="0" borderId="25" xfId="0" applyNumberFormat="1" applyFont="1" applyBorder="1" applyProtection="1"/>
    <xf numFmtId="10" fontId="43" fillId="0" borderId="30" xfId="0" applyNumberFormat="1" applyFont="1" applyBorder="1" applyProtection="1"/>
    <xf numFmtId="164" fontId="43" fillId="0" borderId="30" xfId="0" applyNumberFormat="1" applyFont="1" applyFill="1" applyBorder="1" applyProtection="1"/>
    <xf numFmtId="7" fontId="43" fillId="0" borderId="24" xfId="0" applyNumberFormat="1" applyFont="1" applyBorder="1" applyProtection="1"/>
    <xf numFmtId="0" fontId="43" fillId="0" borderId="24" xfId="0" applyFont="1" applyBorder="1" applyAlignment="1" applyProtection="1">
      <alignment horizontal="center"/>
    </xf>
    <xf numFmtId="0" fontId="43" fillId="0" borderId="38" xfId="0" applyFont="1" applyBorder="1" applyAlignment="1" applyProtection="1">
      <alignment horizontal="center"/>
    </xf>
    <xf numFmtId="10" fontId="43" fillId="0" borderId="39" xfId="0" applyNumberFormat="1" applyFont="1" applyBorder="1" applyProtection="1"/>
    <xf numFmtId="10" fontId="43" fillId="0" borderId="38" xfId="0" applyNumberFormat="1" applyFont="1" applyBorder="1" applyProtection="1"/>
    <xf numFmtId="7" fontId="43" fillId="0" borderId="39" xfId="0" applyNumberFormat="1" applyFont="1" applyBorder="1" applyProtection="1"/>
    <xf numFmtId="164" fontId="43" fillId="0" borderId="39" xfId="0" applyNumberFormat="1" applyFont="1" applyBorder="1" applyProtection="1"/>
    <xf numFmtId="0" fontId="43" fillId="0" borderId="39" xfId="0" applyFont="1" applyBorder="1" applyAlignment="1" applyProtection="1">
      <alignment horizontal="center"/>
    </xf>
    <xf numFmtId="9" fontId="43" fillId="0" borderId="30" xfId="0" applyNumberFormat="1" applyFont="1" applyFill="1" applyBorder="1" applyAlignment="1" applyProtection="1">
      <alignment horizontal="center"/>
    </xf>
    <xf numFmtId="9" fontId="43" fillId="0" borderId="30" xfId="0" applyNumberFormat="1" applyFont="1" applyFill="1" applyBorder="1" applyProtection="1"/>
    <xf numFmtId="0" fontId="43" fillId="0" borderId="30" xfId="0" applyFont="1" applyFill="1" applyBorder="1"/>
    <xf numFmtId="2" fontId="43" fillId="0" borderId="30" xfId="0" applyNumberFormat="1" applyFont="1" applyFill="1" applyBorder="1" applyAlignment="1" applyProtection="1">
      <alignment horizontal="center"/>
    </xf>
    <xf numFmtId="0" fontId="43" fillId="0" borderId="30" xfId="0" applyFont="1" applyFill="1" applyBorder="1" applyAlignment="1" applyProtection="1">
      <alignment horizontal="center"/>
    </xf>
    <xf numFmtId="0" fontId="0" fillId="0" borderId="0" xfId="0" applyAlignment="1">
      <alignment horizontal="right"/>
    </xf>
    <xf numFmtId="167" fontId="40" fillId="5" borderId="0" xfId="0" applyNumberFormat="1" applyFont="1" applyFill="1" applyBorder="1"/>
    <xf numFmtId="49" fontId="40" fillId="5" borderId="0" xfId="0" applyNumberFormat="1" applyFont="1" applyFill="1" applyBorder="1"/>
    <xf numFmtId="49" fontId="23" fillId="5" borderId="0" xfId="0" applyNumberFormat="1" applyFont="1" applyFill="1" applyBorder="1"/>
    <xf numFmtId="166" fontId="20" fillId="21" borderId="5" xfId="0" applyNumberFormat="1" applyFont="1" applyFill="1" applyBorder="1" applyAlignment="1">
      <alignment horizontal="center"/>
    </xf>
    <xf numFmtId="44" fontId="31" fillId="5" borderId="0" xfId="2" applyFont="1" applyFill="1"/>
    <xf numFmtId="49" fontId="0" fillId="0" borderId="3" xfId="0" applyNumberFormat="1" applyBorder="1"/>
    <xf numFmtId="0" fontId="0" fillId="0" borderId="3" xfId="0" applyNumberFormat="1" applyBorder="1"/>
    <xf numFmtId="167" fontId="66" fillId="5" borderId="3" xfId="0" applyNumberFormat="1" applyFont="1" applyFill="1" applyBorder="1"/>
    <xf numFmtId="0" fontId="31" fillId="5" borderId="3" xfId="0" applyNumberFormat="1" applyFont="1" applyFill="1" applyBorder="1"/>
    <xf numFmtId="167" fontId="1" fillId="5" borderId="3" xfId="0" applyNumberFormat="1" applyFont="1" applyFill="1" applyBorder="1"/>
    <xf numFmtId="0" fontId="1" fillId="5" borderId="3" xfId="0" applyFont="1" applyFill="1" applyBorder="1"/>
    <xf numFmtId="0" fontId="1" fillId="5" borderId="40" xfId="0" applyFont="1" applyFill="1" applyBorder="1"/>
    <xf numFmtId="0" fontId="18" fillId="5" borderId="3" xfId="0" applyFont="1" applyFill="1" applyBorder="1"/>
    <xf numFmtId="166" fontId="20" fillId="5" borderId="41" xfId="0" applyNumberFormat="1" applyFont="1" applyFill="1" applyBorder="1" applyAlignment="1">
      <alignment horizontal="center"/>
    </xf>
    <xf numFmtId="166" fontId="20" fillId="5" borderId="42" xfId="0" applyNumberFormat="1" applyFont="1" applyFill="1" applyBorder="1" applyAlignment="1">
      <alignment horizontal="center"/>
    </xf>
    <xf numFmtId="166" fontId="20" fillId="12" borderId="43" xfId="0" applyNumberFormat="1" applyFont="1" applyFill="1" applyBorder="1" applyAlignment="1">
      <alignment horizontal="center"/>
    </xf>
    <xf numFmtId="166" fontId="20" fillId="5" borderId="43" xfId="0" applyNumberFormat="1" applyFont="1" applyFill="1" applyBorder="1" applyAlignment="1">
      <alignment horizontal="center"/>
    </xf>
    <xf numFmtId="166" fontId="20" fillId="5" borderId="40" xfId="0" applyNumberFormat="1" applyFont="1" applyFill="1" applyBorder="1" applyAlignment="1">
      <alignment horizontal="center"/>
    </xf>
    <xf numFmtId="167" fontId="31" fillId="5" borderId="3" xfId="0" applyNumberFormat="1" applyFont="1" applyFill="1" applyBorder="1"/>
    <xf numFmtId="166" fontId="22" fillId="0" borderId="19" xfId="0" applyNumberFormat="1" applyFont="1" applyBorder="1" applyAlignment="1">
      <alignment horizontal="center"/>
    </xf>
    <xf numFmtId="166" fontId="22" fillId="5" borderId="19" xfId="0" applyNumberFormat="1" applyFont="1" applyFill="1" applyBorder="1" applyAlignment="1">
      <alignment horizontal="center"/>
    </xf>
    <xf numFmtId="49" fontId="18" fillId="5" borderId="3" xfId="0" applyNumberFormat="1" applyFont="1" applyFill="1" applyBorder="1"/>
    <xf numFmtId="0" fontId="0" fillId="5" borderId="3" xfId="0" applyNumberFormat="1" applyFill="1" applyBorder="1"/>
    <xf numFmtId="0" fontId="31" fillId="5" borderId="3" xfId="0" applyFont="1" applyFill="1" applyBorder="1"/>
    <xf numFmtId="0" fontId="1" fillId="5" borderId="3" xfId="0" applyNumberFormat="1" applyFont="1" applyFill="1" applyBorder="1"/>
    <xf numFmtId="0" fontId="33" fillId="5" borderId="3" xfId="0" applyNumberFormat="1" applyFont="1" applyFill="1" applyBorder="1"/>
    <xf numFmtId="0" fontId="0" fillId="0" borderId="3" xfId="0" applyBorder="1"/>
    <xf numFmtId="166" fontId="20" fillId="13" borderId="43" xfId="0" applyNumberFormat="1" applyFont="1" applyFill="1" applyBorder="1" applyAlignment="1">
      <alignment horizontal="center"/>
    </xf>
    <xf numFmtId="166" fontId="20" fillId="2" borderId="44" xfId="0" applyNumberFormat="1" applyFont="1" applyFill="1" applyBorder="1" applyAlignment="1">
      <alignment horizontal="center"/>
    </xf>
    <xf numFmtId="0" fontId="24" fillId="5" borderId="3" xfId="0" applyNumberFormat="1" applyFont="1" applyFill="1" applyBorder="1"/>
    <xf numFmtId="0" fontId="18" fillId="5" borderId="3" xfId="0" applyNumberFormat="1" applyFont="1" applyFill="1" applyBorder="1"/>
    <xf numFmtId="166" fontId="69" fillId="5" borderId="5" xfId="0" applyNumberFormat="1" applyFont="1" applyFill="1" applyBorder="1" applyAlignment="1">
      <alignment horizontal="center"/>
    </xf>
    <xf numFmtId="166" fontId="69" fillId="2" borderId="5" xfId="0" applyNumberFormat="1" applyFont="1" applyFill="1" applyBorder="1" applyAlignment="1">
      <alignment horizontal="center"/>
    </xf>
    <xf numFmtId="166" fontId="69" fillId="5" borderId="11" xfId="0" applyNumberFormat="1" applyFont="1" applyFill="1" applyBorder="1" applyAlignment="1">
      <alignment horizontal="center"/>
    </xf>
    <xf numFmtId="166" fontId="69" fillId="5" borderId="19" xfId="0" applyNumberFormat="1" applyFont="1" applyFill="1" applyBorder="1" applyAlignment="1">
      <alignment horizontal="center"/>
    </xf>
    <xf numFmtId="166" fontId="69" fillId="5" borderId="44" xfId="0" applyNumberFormat="1" applyFont="1" applyFill="1" applyBorder="1" applyAlignment="1">
      <alignment horizontal="center"/>
    </xf>
    <xf numFmtId="166" fontId="69" fillId="2" borderId="21" xfId="0" applyNumberFormat="1" applyFont="1" applyFill="1" applyBorder="1" applyAlignment="1">
      <alignment horizontal="center"/>
    </xf>
    <xf numFmtId="166" fontId="69" fillId="12" borderId="22" xfId="0" applyNumberFormat="1" applyFont="1" applyFill="1" applyBorder="1" applyAlignment="1">
      <alignment horizontal="center"/>
    </xf>
    <xf numFmtId="166" fontId="69" fillId="13" borderId="22" xfId="0" applyNumberFormat="1" applyFont="1" applyFill="1" applyBorder="1" applyAlignment="1">
      <alignment horizontal="center"/>
    </xf>
    <xf numFmtId="166" fontId="69" fillId="5" borderId="23" xfId="0" applyNumberFormat="1" applyFont="1" applyFill="1" applyBorder="1" applyAlignment="1">
      <alignment horizontal="center"/>
    </xf>
    <xf numFmtId="166" fontId="69" fillId="4" borderId="5" xfId="0" applyNumberFormat="1" applyFont="1" applyFill="1" applyBorder="1" applyAlignment="1">
      <alignment horizontal="center"/>
    </xf>
    <xf numFmtId="166" fontId="69" fillId="5" borderId="21" xfId="0" applyNumberFormat="1" applyFont="1" applyFill="1" applyBorder="1" applyAlignment="1">
      <alignment horizontal="center"/>
    </xf>
    <xf numFmtId="166" fontId="69" fillId="5" borderId="2" xfId="0" applyNumberFormat="1" applyFont="1" applyFill="1" applyBorder="1" applyAlignment="1">
      <alignment horizontal="center"/>
    </xf>
    <xf numFmtId="166" fontId="69" fillId="5" borderId="17" xfId="0" applyNumberFormat="1" applyFont="1" applyFill="1" applyBorder="1" applyAlignment="1">
      <alignment horizontal="center"/>
    </xf>
    <xf numFmtId="166" fontId="69" fillId="20" borderId="19" xfId="0" applyNumberFormat="1" applyFont="1" applyFill="1" applyBorder="1" applyAlignment="1">
      <alignment horizontal="center"/>
    </xf>
    <xf numFmtId="0" fontId="70" fillId="0" borderId="0" xfId="0" applyFont="1"/>
    <xf numFmtId="166" fontId="21" fillId="4" borderId="19" xfId="0" applyNumberFormat="1" applyFont="1" applyFill="1" applyBorder="1" applyAlignment="1">
      <alignment horizontal="center"/>
    </xf>
    <xf numFmtId="0" fontId="37" fillId="0" borderId="0" xfId="0" applyFont="1"/>
    <xf numFmtId="49" fontId="37" fillId="0" borderId="0" xfId="0" applyNumberFormat="1" applyFont="1"/>
    <xf numFmtId="167" fontId="37" fillId="0" borderId="0" xfId="0" applyNumberFormat="1" applyFont="1"/>
    <xf numFmtId="166" fontId="69" fillId="21" borderId="5" xfId="0" applyNumberFormat="1" applyFont="1" applyFill="1" applyBorder="1" applyAlignment="1">
      <alignment horizontal="center"/>
    </xf>
    <xf numFmtId="166" fontId="22" fillId="21" borderId="5" xfId="0" applyNumberFormat="1" applyFont="1" applyFill="1" applyBorder="1" applyAlignment="1">
      <alignment horizontal="center"/>
    </xf>
    <xf numFmtId="166" fontId="20" fillId="22" borderId="5" xfId="0" applyNumberFormat="1" applyFont="1" applyFill="1" applyBorder="1" applyAlignment="1">
      <alignment horizontal="center"/>
    </xf>
    <xf numFmtId="0" fontId="36" fillId="3" borderId="0" xfId="0" applyFont="1" applyFill="1"/>
    <xf numFmtId="166" fontId="29" fillId="5" borderId="15" xfId="0" applyNumberFormat="1" applyFont="1" applyFill="1" applyBorder="1" applyAlignment="1">
      <alignment horizontal="center"/>
    </xf>
    <xf numFmtId="166" fontId="30" fillId="5" borderId="15" xfId="0" applyNumberFormat="1" applyFont="1" applyFill="1" applyBorder="1" applyAlignment="1">
      <alignment horizontal="center"/>
    </xf>
    <xf numFmtId="166" fontId="30" fillId="4" borderId="15" xfId="0" applyNumberFormat="1" applyFont="1" applyFill="1" applyBorder="1" applyAlignment="1">
      <alignment horizontal="center"/>
    </xf>
    <xf numFmtId="166" fontId="21" fillId="5" borderId="5" xfId="0" applyNumberFormat="1" applyFont="1" applyFill="1" applyBorder="1" applyAlignment="1">
      <alignment horizontal="center"/>
    </xf>
    <xf numFmtId="0" fontId="23" fillId="5" borderId="0" xfId="0" applyNumberFormat="1" applyFont="1" applyFill="1" applyBorder="1"/>
    <xf numFmtId="166" fontId="20" fillId="22" borderId="18" xfId="0" applyNumberFormat="1" applyFont="1" applyFill="1" applyBorder="1" applyAlignment="1">
      <alignment horizontal="center"/>
    </xf>
    <xf numFmtId="166" fontId="22" fillId="21" borderId="18" xfId="0" applyNumberFormat="1" applyFont="1" applyFill="1" applyBorder="1" applyAlignment="1">
      <alignment horizontal="center"/>
    </xf>
    <xf numFmtId="166" fontId="69" fillId="22" borderId="18" xfId="0" applyNumberFormat="1" applyFont="1" applyFill="1" applyBorder="1" applyAlignment="1">
      <alignment horizontal="center"/>
    </xf>
    <xf numFmtId="166" fontId="69" fillId="5" borderId="15" xfId="0" applyNumberFormat="1" applyFont="1" applyFill="1" applyBorder="1" applyAlignment="1">
      <alignment horizontal="center"/>
    </xf>
    <xf numFmtId="169" fontId="0" fillId="0" borderId="0" xfId="0" applyNumberFormat="1"/>
    <xf numFmtId="0" fontId="0" fillId="5" borderId="5" xfId="0" applyFill="1" applyBorder="1" applyAlignment="1">
      <alignment horizontal="center" vertical="center"/>
    </xf>
    <xf numFmtId="0" fontId="71" fillId="5" borderId="0" xfId="0" applyFont="1" applyFill="1" applyBorder="1"/>
    <xf numFmtId="0" fontId="2" fillId="5" borderId="5" xfId="0" applyFont="1" applyFill="1" applyBorder="1"/>
    <xf numFmtId="0" fontId="0" fillId="10" borderId="5" xfId="0" applyFill="1" applyBorder="1"/>
    <xf numFmtId="0" fontId="0" fillId="10" borderId="5" xfId="0" applyFill="1" applyBorder="1" applyAlignment="1">
      <alignment horizontal="center" vertical="center"/>
    </xf>
    <xf numFmtId="0" fontId="2" fillId="5" borderId="5" xfId="0" applyFont="1" applyFill="1" applyBorder="1" applyAlignment="1">
      <alignment wrapText="1"/>
    </xf>
    <xf numFmtId="0" fontId="0" fillId="23" borderId="0" xfId="0" applyFill="1" applyBorder="1" applyAlignment="1">
      <alignment horizontal="center" vertical="center"/>
    </xf>
    <xf numFmtId="0" fontId="0" fillId="23" borderId="0" xfId="0" applyFill="1" applyBorder="1"/>
    <xf numFmtId="0" fontId="0" fillId="23" borderId="0" xfId="0" applyFill="1"/>
    <xf numFmtId="0" fontId="0" fillId="11" borderId="0" xfId="0" applyFill="1" applyBorder="1" applyAlignment="1">
      <alignment horizontal="center" vertical="center"/>
    </xf>
    <xf numFmtId="0" fontId="0" fillId="11" borderId="0" xfId="0" applyFill="1" applyBorder="1"/>
    <xf numFmtId="0" fontId="0" fillId="11" borderId="0" xfId="0" applyFill="1"/>
    <xf numFmtId="0" fontId="0" fillId="4" borderId="0" xfId="0" applyFill="1" applyBorder="1" applyAlignment="1">
      <alignment horizontal="center" vertical="center"/>
    </xf>
    <xf numFmtId="0" fontId="0" fillId="4" borderId="0" xfId="0" applyFill="1" applyBorder="1"/>
    <xf numFmtId="0" fontId="0" fillId="10" borderId="0" xfId="0" applyFill="1" applyBorder="1" applyAlignment="1">
      <alignment horizontal="center" vertical="center"/>
    </xf>
    <xf numFmtId="0" fontId="0" fillId="2" borderId="0" xfId="0" applyFill="1" applyBorder="1" applyAlignment="1">
      <alignment horizontal="center" vertical="center"/>
    </xf>
    <xf numFmtId="0" fontId="0" fillId="21" borderId="5" xfId="0" applyFill="1" applyBorder="1"/>
    <xf numFmtId="0" fontId="0" fillId="21" borderId="5" xfId="0" applyFill="1" applyBorder="1" applyAlignment="1">
      <alignment horizontal="center" vertical="center"/>
    </xf>
    <xf numFmtId="0" fontId="72" fillId="0" borderId="0" xfId="0" applyFont="1" applyAlignment="1">
      <alignment vertical="center"/>
    </xf>
    <xf numFmtId="0" fontId="71" fillId="5" borderId="0" xfId="0" applyFont="1" applyFill="1" applyBorder="1" applyAlignment="1">
      <alignment wrapText="1"/>
    </xf>
    <xf numFmtId="0" fontId="2" fillId="5" borderId="0" xfId="0" applyFont="1" applyFill="1" applyBorder="1" applyAlignment="1">
      <alignment wrapText="1"/>
    </xf>
    <xf numFmtId="0" fontId="0" fillId="5" borderId="0" xfId="0" applyFill="1" applyBorder="1" applyAlignment="1">
      <alignment wrapText="1"/>
    </xf>
    <xf numFmtId="166" fontId="20" fillId="2" borderId="11" xfId="0" applyNumberFormat="1" applyFont="1" applyFill="1" applyBorder="1" applyAlignment="1">
      <alignment horizontal="center"/>
    </xf>
    <xf numFmtId="166" fontId="20" fillId="5" borderId="0" xfId="0" applyNumberFormat="1" applyFont="1" applyFill="1" applyBorder="1" applyAlignment="1">
      <alignment horizontal="center"/>
    </xf>
    <xf numFmtId="0" fontId="20" fillId="5" borderId="9" xfId="0" applyFont="1" applyFill="1" applyBorder="1" applyAlignment="1">
      <alignment horizontal="center"/>
    </xf>
    <xf numFmtId="0" fontId="20" fillId="5" borderId="0" xfId="0" applyFont="1" applyFill="1" applyBorder="1" applyAlignment="1">
      <alignment horizontal="center"/>
    </xf>
    <xf numFmtId="0" fontId="20" fillId="5" borderId="10" xfId="0" applyFont="1" applyFill="1" applyBorder="1" applyAlignment="1">
      <alignment horizontal="center"/>
    </xf>
    <xf numFmtId="166" fontId="20" fillId="22" borderId="11" xfId="0" applyNumberFormat="1" applyFont="1" applyFill="1" applyBorder="1" applyAlignment="1">
      <alignment horizontal="center"/>
    </xf>
    <xf numFmtId="166" fontId="20" fillId="22" borderId="2" xfId="0" applyNumberFormat="1" applyFont="1" applyFill="1" applyBorder="1" applyAlignment="1">
      <alignment horizontal="center"/>
    </xf>
    <xf numFmtId="166" fontId="20" fillId="22" borderId="19" xfId="0" applyNumberFormat="1" applyFont="1" applyFill="1" applyBorder="1" applyAlignment="1">
      <alignment horizontal="center"/>
    </xf>
    <xf numFmtId="166" fontId="69" fillId="22" borderId="5" xfId="0" applyNumberFormat="1" applyFont="1" applyFill="1" applyBorder="1" applyAlignment="1">
      <alignment horizontal="center"/>
    </xf>
    <xf numFmtId="166" fontId="69" fillId="5" borderId="18" xfId="0" applyNumberFormat="1" applyFont="1" applyFill="1" applyBorder="1" applyAlignment="1">
      <alignment horizontal="center"/>
    </xf>
    <xf numFmtId="166" fontId="22" fillId="2" borderId="5" xfId="0" applyNumberFormat="1" applyFont="1" applyFill="1" applyBorder="1" applyAlignment="1">
      <alignment horizontal="center"/>
    </xf>
    <xf numFmtId="167" fontId="73" fillId="5" borderId="0" xfId="0" applyNumberFormat="1" applyFont="1" applyFill="1" applyBorder="1"/>
    <xf numFmtId="0" fontId="40" fillId="4" borderId="0" xfId="0" applyFont="1" applyFill="1"/>
    <xf numFmtId="15" fontId="0" fillId="0" borderId="5" xfId="0" applyNumberFormat="1" applyBorder="1"/>
    <xf numFmtId="0" fontId="40" fillId="0" borderId="5" xfId="0" applyFont="1" applyBorder="1"/>
    <xf numFmtId="0" fontId="40" fillId="21" borderId="5" xfId="0" applyFont="1" applyFill="1" applyBorder="1"/>
    <xf numFmtId="14" fontId="0" fillId="0" borderId="5" xfId="0" applyNumberFormat="1" applyBorder="1"/>
    <xf numFmtId="0" fontId="40" fillId="4" borderId="5" xfId="0" applyFont="1" applyFill="1" applyBorder="1"/>
    <xf numFmtId="0" fontId="40" fillId="5" borderId="5" xfId="0" applyFont="1" applyFill="1" applyBorder="1"/>
    <xf numFmtId="0" fontId="0" fillId="2" borderId="5" xfId="0" applyFill="1" applyBorder="1"/>
    <xf numFmtId="0" fontId="1" fillId="2" borderId="5" xfId="0" applyFont="1" applyFill="1" applyBorder="1"/>
    <xf numFmtId="0" fontId="71" fillId="5" borderId="3" xfId="0" applyFont="1" applyFill="1" applyBorder="1" applyAlignment="1">
      <alignment horizontal="left"/>
    </xf>
    <xf numFmtId="0" fontId="71" fillId="5" borderId="0" xfId="0" applyFont="1" applyFill="1" applyBorder="1" applyAlignment="1">
      <alignment horizontal="left"/>
    </xf>
    <xf numFmtId="0" fontId="0" fillId="5" borderId="0" xfId="0" applyFill="1" applyBorder="1" applyAlignment="1">
      <alignment horizontal="left"/>
    </xf>
    <xf numFmtId="0" fontId="0" fillId="21" borderId="0" xfId="0" applyFill="1" applyBorder="1" applyAlignment="1">
      <alignment horizontal="center" vertical="center"/>
    </xf>
    <xf numFmtId="0" fontId="0" fillId="21" borderId="0" xfId="0" applyFill="1" applyBorder="1"/>
    <xf numFmtId="0" fontId="0" fillId="21" borderId="0" xfId="0" applyFill="1"/>
    <xf numFmtId="0" fontId="0" fillId="10" borderId="0" xfId="0" applyFill="1" applyBorder="1" applyAlignment="1">
      <alignment horizontal="left" wrapText="1"/>
    </xf>
    <xf numFmtId="0" fontId="0" fillId="10" borderId="0" xfId="0" applyFill="1" applyAlignment="1">
      <alignment wrapText="1"/>
    </xf>
    <xf numFmtId="0" fontId="0" fillId="5" borderId="0" xfId="0" applyFill="1" applyBorder="1" applyAlignment="1"/>
    <xf numFmtId="0" fontId="0" fillId="0" borderId="0" xfId="0" applyAlignment="1"/>
    <xf numFmtId="0" fontId="0" fillId="5" borderId="0" xfId="0" applyFill="1" applyAlignment="1"/>
    <xf numFmtId="0" fontId="0" fillId="4" borderId="5" xfId="0" applyFill="1" applyBorder="1" applyAlignment="1">
      <alignment horizontal="center" vertical="center"/>
    </xf>
    <xf numFmtId="0" fontId="0" fillId="5" borderId="18" xfId="0" applyFill="1" applyBorder="1" applyAlignment="1">
      <alignment horizontal="center" vertical="center"/>
    </xf>
    <xf numFmtId="0" fontId="0" fillId="5" borderId="5" xfId="0" applyFill="1" applyBorder="1" applyAlignment="1">
      <alignment horizontal="center" vertical="center" wrapText="1"/>
    </xf>
    <xf numFmtId="0" fontId="0" fillId="10" borderId="5" xfId="0" applyFill="1" applyBorder="1" applyAlignment="1">
      <alignment wrapText="1"/>
    </xf>
    <xf numFmtId="0" fontId="0" fillId="21" borderId="5" xfId="0" applyFill="1" applyBorder="1" applyAlignment="1">
      <alignment horizontal="left" wrapText="1"/>
    </xf>
    <xf numFmtId="0" fontId="0" fillId="21" borderId="5" xfId="0" applyFill="1" applyBorder="1" applyAlignment="1">
      <alignment wrapText="1"/>
    </xf>
    <xf numFmtId="0" fontId="14" fillId="0" borderId="0" xfId="0" applyNumberFormat="1" applyFont="1"/>
    <xf numFmtId="0" fontId="0" fillId="7" borderId="5" xfId="0" applyFill="1" applyBorder="1"/>
    <xf numFmtId="168" fontId="74" fillId="0" borderId="0" xfId="3" applyNumberFormat="1" applyFont="1" applyFill="1"/>
    <xf numFmtId="168" fontId="74" fillId="0" borderId="0" xfId="0" applyNumberFormat="1" applyFont="1"/>
    <xf numFmtId="0" fontId="75" fillId="0" borderId="0" xfId="0" applyFont="1"/>
    <xf numFmtId="7" fontId="0" fillId="0" borderId="0" xfId="0" applyNumberFormat="1"/>
    <xf numFmtId="0" fontId="1" fillId="5" borderId="5" xfId="0" applyFont="1" applyFill="1" applyBorder="1"/>
    <xf numFmtId="0" fontId="1" fillId="0" borderId="5" xfId="0" applyFont="1" applyBorder="1"/>
    <xf numFmtId="0" fontId="31" fillId="10" borderId="5" xfId="0" applyFont="1" applyFill="1" applyBorder="1"/>
    <xf numFmtId="0" fontId="76" fillId="5" borderId="0" xfId="0" applyNumberFormat="1" applyFont="1" applyFill="1" applyBorder="1"/>
    <xf numFmtId="0" fontId="0" fillId="5" borderId="0" xfId="0" applyNumberFormat="1" applyFont="1" applyFill="1" applyBorder="1"/>
    <xf numFmtId="0" fontId="0" fillId="25" borderId="2" xfId="0" applyFill="1" applyBorder="1"/>
    <xf numFmtId="166" fontId="22" fillId="5" borderId="18" xfId="0" applyNumberFormat="1" applyFont="1" applyFill="1" applyBorder="1" applyAlignment="1">
      <alignment horizontal="center"/>
    </xf>
    <xf numFmtId="166" fontId="30" fillId="5" borderId="5" xfId="0" applyNumberFormat="1" applyFont="1" applyFill="1" applyBorder="1" applyAlignment="1">
      <alignment horizontal="center"/>
    </xf>
    <xf numFmtId="166" fontId="20" fillId="22" borderId="15" xfId="0" applyNumberFormat="1" applyFont="1" applyFill="1" applyBorder="1" applyAlignment="1">
      <alignment horizontal="center"/>
    </xf>
    <xf numFmtId="166" fontId="69" fillId="22" borderId="15" xfId="0" applyNumberFormat="1" applyFont="1" applyFill="1" applyBorder="1" applyAlignment="1">
      <alignment horizontal="center"/>
    </xf>
    <xf numFmtId="0" fontId="0" fillId="22" borderId="0" xfId="0" applyFill="1"/>
    <xf numFmtId="0" fontId="36" fillId="24" borderId="0" xfId="0" applyFont="1" applyFill="1"/>
    <xf numFmtId="166" fontId="20" fillId="24" borderId="5" xfId="0" applyNumberFormat="1" applyFont="1" applyFill="1" applyBorder="1" applyAlignment="1">
      <alignment horizontal="center"/>
    </xf>
    <xf numFmtId="166" fontId="20" fillId="24" borderId="11" xfId="0" applyNumberFormat="1" applyFont="1" applyFill="1" applyBorder="1" applyAlignment="1">
      <alignment horizontal="center"/>
    </xf>
    <xf numFmtId="166" fontId="20" fillId="24" borderId="2" xfId="0" applyNumberFormat="1" applyFont="1" applyFill="1" applyBorder="1" applyAlignment="1">
      <alignment horizontal="center"/>
    </xf>
    <xf numFmtId="166" fontId="20" fillId="24" borderId="19" xfId="0" applyNumberFormat="1" applyFont="1" applyFill="1" applyBorder="1" applyAlignment="1">
      <alignment horizontal="center"/>
    </xf>
    <xf numFmtId="166" fontId="69" fillId="24" borderId="5" xfId="0" applyNumberFormat="1" applyFont="1" applyFill="1" applyBorder="1" applyAlignment="1">
      <alignment horizontal="center"/>
    </xf>
    <xf numFmtId="166" fontId="21" fillId="9" borderId="5" xfId="0" applyNumberFormat="1" applyFont="1" applyFill="1" applyBorder="1" applyAlignment="1">
      <alignment horizontal="center"/>
    </xf>
    <xf numFmtId="0" fontId="0" fillId="0" borderId="0" xfId="0" applyAlignment="1">
      <alignment horizontal="left"/>
    </xf>
    <xf numFmtId="166" fontId="69" fillId="12" borderId="5" xfId="0" applyNumberFormat="1" applyFont="1" applyFill="1" applyBorder="1" applyAlignment="1">
      <alignment horizontal="center"/>
    </xf>
    <xf numFmtId="166" fontId="22" fillId="22" borderId="5" xfId="0" applyNumberFormat="1" applyFont="1" applyFill="1" applyBorder="1" applyAlignment="1">
      <alignment horizontal="center"/>
    </xf>
    <xf numFmtId="0" fontId="2" fillId="0" borderId="45" xfId="0" applyFont="1" applyBorder="1"/>
    <xf numFmtId="0" fontId="0" fillId="0" borderId="45" xfId="0" applyBorder="1"/>
    <xf numFmtId="0" fontId="3" fillId="0" borderId="45" xfId="0" applyFont="1" applyBorder="1"/>
    <xf numFmtId="17" fontId="0" fillId="0" borderId="0" xfId="0" applyNumberFormat="1" applyBorder="1"/>
    <xf numFmtId="169" fontId="0" fillId="0" borderId="0" xfId="0" applyNumberFormat="1" applyBorder="1"/>
    <xf numFmtId="0" fontId="2" fillId="0" borderId="17" xfId="0" applyFont="1" applyFill="1" applyBorder="1"/>
    <xf numFmtId="0" fontId="2" fillId="0" borderId="45" xfId="0" applyFont="1" applyFill="1" applyBorder="1"/>
    <xf numFmtId="0" fontId="77" fillId="0" borderId="45" xfId="0" applyFont="1" applyBorder="1" applyAlignment="1">
      <alignment vertical="center"/>
    </xf>
    <xf numFmtId="0" fontId="0" fillId="0" borderId="0" xfId="0" applyAlignment="1">
      <alignment horizontal="center"/>
    </xf>
    <xf numFmtId="169" fontId="2" fillId="0" borderId="0" xfId="0" applyNumberFormat="1" applyFont="1" applyAlignment="1">
      <alignment wrapText="1"/>
    </xf>
    <xf numFmtId="0" fontId="2" fillId="0" borderId="45" xfId="0" applyFont="1" applyBorder="1" applyAlignment="1">
      <alignment wrapText="1"/>
    </xf>
    <xf numFmtId="0" fontId="2" fillId="0" borderId="0" xfId="0" applyFont="1" applyBorder="1" applyAlignment="1">
      <alignment wrapText="1"/>
    </xf>
    <xf numFmtId="0" fontId="2" fillId="0" borderId="0" xfId="0" applyFont="1" applyAlignment="1">
      <alignment horizontal="center" wrapText="1"/>
    </xf>
    <xf numFmtId="0" fontId="3" fillId="0" borderId="45" xfId="0" applyFont="1" applyBorder="1" applyAlignment="1">
      <alignment wrapText="1"/>
    </xf>
    <xf numFmtId="0" fontId="0" fillId="0" borderId="0" xfId="0" applyBorder="1" applyAlignment="1">
      <alignment wrapText="1"/>
    </xf>
    <xf numFmtId="17" fontId="0" fillId="0" borderId="0" xfId="0" applyNumberFormat="1"/>
    <xf numFmtId="0" fontId="0" fillId="2" borderId="45" xfId="0" applyFill="1" applyBorder="1"/>
    <xf numFmtId="0" fontId="0" fillId="2" borderId="0" xfId="0" applyFill="1" applyBorder="1"/>
    <xf numFmtId="0" fontId="0" fillId="2" borderId="0" xfId="0" applyFill="1" applyAlignment="1">
      <alignment horizontal="left"/>
    </xf>
    <xf numFmtId="0" fontId="0" fillId="2" borderId="0" xfId="0" applyFill="1" applyAlignment="1">
      <alignment horizontal="center"/>
    </xf>
    <xf numFmtId="0" fontId="0" fillId="2" borderId="0" xfId="0" applyFill="1" applyAlignment="1">
      <alignment horizontal="right"/>
    </xf>
    <xf numFmtId="0" fontId="0" fillId="21" borderId="0" xfId="0" applyFill="1" applyAlignment="1">
      <alignment horizontal="right"/>
    </xf>
    <xf numFmtId="0" fontId="0" fillId="5" borderId="45" xfId="0" applyFill="1" applyBorder="1"/>
    <xf numFmtId="0" fontId="0" fillId="5" borderId="0" xfId="0" applyFill="1" applyAlignment="1">
      <alignment horizontal="left"/>
    </xf>
    <xf numFmtId="0" fontId="0" fillId="5" borderId="0" xfId="0" applyFill="1" applyAlignment="1">
      <alignment horizontal="center"/>
    </xf>
    <xf numFmtId="0" fontId="0" fillId="5" borderId="0" xfId="0" applyFill="1" applyAlignment="1">
      <alignment horizontal="right"/>
    </xf>
    <xf numFmtId="14" fontId="0" fillId="5" borderId="0" xfId="0" applyNumberFormat="1" applyFill="1" applyAlignment="1">
      <alignment horizontal="center"/>
    </xf>
    <xf numFmtId="0" fontId="0" fillId="21" borderId="45" xfId="0" applyFill="1" applyBorder="1"/>
    <xf numFmtId="0" fontId="0" fillId="21" borderId="0" xfId="0" applyFill="1" applyAlignment="1">
      <alignment horizontal="left"/>
    </xf>
    <xf numFmtId="0" fontId="0" fillId="21" borderId="0" xfId="0" applyFill="1" applyAlignment="1">
      <alignment horizontal="center"/>
    </xf>
    <xf numFmtId="0" fontId="1" fillId="21" borderId="5" xfId="0" applyFont="1" applyFill="1" applyBorder="1"/>
    <xf numFmtId="0" fontId="0" fillId="24" borderId="3" xfId="0" applyFill="1" applyBorder="1"/>
    <xf numFmtId="0" fontId="0" fillId="24" borderId="0" xfId="0" applyFill="1"/>
    <xf numFmtId="0" fontId="2" fillId="7" borderId="0" xfId="0" applyFont="1" applyFill="1" applyAlignment="1">
      <alignment wrapText="1"/>
    </xf>
    <xf numFmtId="0" fontId="0" fillId="7" borderId="0" xfId="0" applyFill="1"/>
    <xf numFmtId="0" fontId="0" fillId="7" borderId="45" xfId="0" applyFill="1" applyBorder="1"/>
    <xf numFmtId="0" fontId="2" fillId="9" borderId="0" xfId="0" applyFont="1" applyFill="1" applyAlignment="1">
      <alignment wrapText="1"/>
    </xf>
    <xf numFmtId="0" fontId="0" fillId="7" borderId="41" xfId="0" applyFill="1" applyBorder="1"/>
    <xf numFmtId="0" fontId="0" fillId="9" borderId="5" xfId="0" applyFill="1" applyBorder="1"/>
    <xf numFmtId="0" fontId="0" fillId="24" borderId="5" xfId="0" applyFill="1" applyBorder="1" applyAlignment="1">
      <alignment wrapText="1"/>
    </xf>
    <xf numFmtId="0" fontId="0" fillId="24" borderId="5" xfId="0" applyFill="1" applyBorder="1"/>
    <xf numFmtId="0" fontId="0" fillId="7" borderId="15" xfId="0" applyFill="1" applyBorder="1"/>
    <xf numFmtId="0" fontId="0" fillId="0" borderId="11" xfId="0" applyBorder="1"/>
    <xf numFmtId="0" fontId="0" fillId="0" borderId="19" xfId="0" applyBorder="1"/>
    <xf numFmtId="0" fontId="0" fillId="7" borderId="11" xfId="0" applyFill="1" applyBorder="1"/>
    <xf numFmtId="0" fontId="0" fillId="7" borderId="17" xfId="0" applyFill="1" applyBorder="1"/>
    <xf numFmtId="0" fontId="0" fillId="0" borderId="15" xfId="0" applyBorder="1"/>
    <xf numFmtId="0" fontId="0" fillId="10" borderId="19" xfId="0" applyFill="1" applyBorder="1"/>
    <xf numFmtId="0" fontId="0" fillId="10" borderId="11" xfId="0" applyFill="1" applyBorder="1"/>
    <xf numFmtId="0" fontId="0" fillId="9" borderId="19" xfId="0" applyFill="1" applyBorder="1"/>
    <xf numFmtId="0" fontId="2" fillId="24" borderId="5" xfId="0" applyFont="1" applyFill="1" applyBorder="1"/>
    <xf numFmtId="0" fontId="0" fillId="0" borderId="18" xfId="0" applyBorder="1"/>
    <xf numFmtId="0" fontId="2" fillId="24" borderId="18" xfId="0" applyFont="1" applyFill="1" applyBorder="1"/>
    <xf numFmtId="0" fontId="0" fillId="7" borderId="18" xfId="0" applyFill="1" applyBorder="1"/>
    <xf numFmtId="0" fontId="0" fillId="7" borderId="47" xfId="0" applyFill="1" applyBorder="1"/>
    <xf numFmtId="0" fontId="0" fillId="9" borderId="18" xfId="0" applyFill="1" applyBorder="1"/>
    <xf numFmtId="7" fontId="48" fillId="14" borderId="25" xfId="0" applyNumberFormat="1" applyFont="1" applyFill="1" applyBorder="1" applyProtection="1"/>
    <xf numFmtId="7" fontId="48" fillId="14" borderId="30" xfId="0" applyNumberFormat="1" applyFont="1" applyFill="1" applyBorder="1" applyProtection="1"/>
    <xf numFmtId="2" fontId="48" fillId="14" borderId="25" xfId="0" applyNumberFormat="1" applyFont="1" applyFill="1" applyBorder="1" applyAlignment="1" applyProtection="1">
      <alignment horizontal="center"/>
    </xf>
    <xf numFmtId="0" fontId="48" fillId="14" borderId="25" xfId="0" applyFont="1" applyFill="1" applyBorder="1" applyAlignment="1" applyProtection="1">
      <alignment horizontal="center"/>
    </xf>
    <xf numFmtId="0" fontId="18" fillId="14" borderId="25" xfId="0" applyFont="1" applyFill="1" applyBorder="1" applyAlignment="1" applyProtection="1">
      <alignment horizontal="left"/>
    </xf>
    <xf numFmtId="9" fontId="43" fillId="14" borderId="25" xfId="0" applyNumberFormat="1" applyFont="1" applyFill="1" applyBorder="1" applyAlignment="1" applyProtection="1">
      <alignment horizontal="center"/>
    </xf>
    <xf numFmtId="9" fontId="43" fillId="14" borderId="25" xfId="0" applyNumberFormat="1" applyFont="1" applyFill="1" applyBorder="1" applyProtection="1"/>
    <xf numFmtId="0" fontId="43" fillId="14" borderId="0" xfId="0" applyFont="1" applyFill="1"/>
    <xf numFmtId="2" fontId="43" fillId="14" borderId="25" xfId="0" applyNumberFormat="1" applyFont="1" applyFill="1" applyBorder="1" applyAlignment="1" applyProtection="1">
      <alignment horizontal="center"/>
    </xf>
    <xf numFmtId="7" fontId="43" fillId="14" borderId="30" xfId="0" applyNumberFormat="1" applyFont="1" applyFill="1" applyBorder="1" applyProtection="1"/>
    <xf numFmtId="0" fontId="14" fillId="14" borderId="29" xfId="0" applyFont="1" applyFill="1" applyBorder="1" applyAlignment="1" applyProtection="1">
      <alignment horizontal="center"/>
    </xf>
    <xf numFmtId="9" fontId="43" fillId="14" borderId="29" xfId="0" applyNumberFormat="1" applyFont="1" applyFill="1" applyBorder="1" applyProtection="1"/>
    <xf numFmtId="7" fontId="43" fillId="14" borderId="29" xfId="0" applyNumberFormat="1" applyFont="1" applyFill="1" applyBorder="1" applyProtection="1"/>
    <xf numFmtId="7" fontId="43" fillId="14" borderId="29" xfId="0" applyNumberFormat="1" applyFont="1" applyFill="1" applyBorder="1" applyAlignment="1" applyProtection="1">
      <alignment horizontal="center"/>
    </xf>
    <xf numFmtId="0" fontId="43" fillId="14" borderId="29" xfId="0" applyFont="1" applyFill="1" applyBorder="1" applyAlignment="1" applyProtection="1">
      <alignment horizontal="center"/>
    </xf>
    <xf numFmtId="0" fontId="43" fillId="14" borderId="30" xfId="0" applyFont="1" applyFill="1" applyBorder="1" applyAlignment="1" applyProtection="1">
      <alignment horizontal="left"/>
    </xf>
    <xf numFmtId="0" fontId="18" fillId="14" borderId="30" xfId="0" applyFont="1" applyFill="1" applyBorder="1" applyAlignment="1" applyProtection="1">
      <alignment horizontal="left"/>
    </xf>
    <xf numFmtId="0" fontId="0" fillId="14" borderId="0" xfId="0" applyFill="1"/>
    <xf numFmtId="0" fontId="43" fillId="0" borderId="36" xfId="0" applyFont="1" applyFill="1" applyBorder="1" applyAlignment="1" applyProtection="1">
      <alignment horizontal="center"/>
    </xf>
    <xf numFmtId="0" fontId="50" fillId="0" borderId="29" xfId="0" applyFont="1" applyBorder="1" applyAlignment="1" applyProtection="1">
      <alignment horizontal="center" wrapText="1"/>
    </xf>
    <xf numFmtId="0" fontId="40" fillId="0" borderId="0" xfId="0" applyFont="1" applyFill="1"/>
    <xf numFmtId="0" fontId="40" fillId="5" borderId="0" xfId="0" applyFont="1" applyFill="1"/>
    <xf numFmtId="0" fontId="2" fillId="0" borderId="3" xfId="0" applyFont="1" applyBorder="1"/>
    <xf numFmtId="0" fontId="18" fillId="14" borderId="33" xfId="0" applyFont="1" applyFill="1" applyBorder="1" applyAlignment="1" applyProtection="1">
      <alignment horizontal="left"/>
    </xf>
    <xf numFmtId="0" fontId="48" fillId="14" borderId="0" xfId="0" applyFont="1" applyFill="1"/>
    <xf numFmtId="0" fontId="14" fillId="14" borderId="32" xfId="0" applyFont="1" applyFill="1" applyBorder="1" applyAlignment="1" applyProtection="1">
      <alignment horizontal="center"/>
    </xf>
    <xf numFmtId="0" fontId="23" fillId="14" borderId="25" xfId="0" applyFont="1" applyFill="1" applyBorder="1" applyAlignment="1" applyProtection="1">
      <alignment horizontal="left"/>
    </xf>
    <xf numFmtId="9" fontId="48" fillId="14" borderId="25" xfId="0" applyNumberFormat="1" applyFont="1" applyFill="1" applyBorder="1" applyAlignment="1" applyProtection="1">
      <alignment horizontal="center"/>
    </xf>
    <xf numFmtId="9" fontId="48" fillId="14" borderId="25" xfId="0" applyNumberFormat="1" applyFont="1" applyFill="1" applyBorder="1" applyProtection="1"/>
    <xf numFmtId="0" fontId="50" fillId="14" borderId="29" xfId="0" applyFont="1" applyFill="1" applyBorder="1" applyAlignment="1" applyProtection="1">
      <alignment horizontal="center"/>
    </xf>
    <xf numFmtId="9" fontId="48" fillId="14" borderId="29" xfId="0" applyNumberFormat="1" applyFont="1" applyFill="1" applyBorder="1" applyProtection="1"/>
    <xf numFmtId="7" fontId="48" fillId="14" borderId="29" xfId="0" applyNumberFormat="1" applyFont="1" applyFill="1" applyBorder="1" applyProtection="1"/>
    <xf numFmtId="7" fontId="48" fillId="14" borderId="29" xfId="0" applyNumberFormat="1" applyFont="1" applyFill="1" applyBorder="1" applyAlignment="1" applyProtection="1">
      <alignment horizontal="center"/>
    </xf>
    <xf numFmtId="0" fontId="48" fillId="14" borderId="29" xfId="0" applyFont="1" applyFill="1" applyBorder="1" applyAlignment="1" applyProtection="1">
      <alignment horizontal="center"/>
    </xf>
    <xf numFmtId="0" fontId="80" fillId="0" borderId="0" xfId="0" applyFont="1" applyAlignment="1">
      <alignment vertical="center"/>
    </xf>
    <xf numFmtId="44" fontId="0" fillId="0" borderId="0" xfId="2" applyFont="1"/>
    <xf numFmtId="0" fontId="0" fillId="2" borderId="0" xfId="0" applyFill="1"/>
    <xf numFmtId="0" fontId="50" fillId="0" borderId="29" xfId="0" applyFont="1" applyFill="1" applyBorder="1" applyAlignment="1" applyProtection="1">
      <alignment horizontal="center" wrapText="1"/>
    </xf>
    <xf numFmtId="0" fontId="0" fillId="0" borderId="0" xfId="2" applyNumberFormat="1" applyFont="1"/>
    <xf numFmtId="0" fontId="79" fillId="9" borderId="0" xfId="0" applyFont="1" applyFill="1" applyAlignment="1">
      <alignment vertical="center"/>
    </xf>
    <xf numFmtId="0" fontId="3" fillId="24" borderId="0" xfId="0" applyFont="1" applyFill="1" applyAlignment="1">
      <alignment wrapText="1"/>
    </xf>
    <xf numFmtId="0" fontId="2" fillId="24" borderId="0" xfId="0" applyFont="1" applyFill="1" applyAlignment="1">
      <alignment wrapText="1"/>
    </xf>
    <xf numFmtId="0" fontId="2" fillId="3" borderId="0" xfId="0" applyFont="1" applyFill="1" applyAlignment="1">
      <alignment wrapText="1"/>
    </xf>
    <xf numFmtId="0" fontId="0" fillId="3" borderId="0" xfId="0" applyFill="1"/>
    <xf numFmtId="0" fontId="3" fillId="24" borderId="0" xfId="0" applyFont="1" applyFill="1"/>
    <xf numFmtId="0" fontId="3" fillId="3" borderId="0" xfId="0" applyFont="1" applyFill="1"/>
    <xf numFmtId="44" fontId="80" fillId="9" borderId="5" xfId="2" applyFont="1" applyFill="1" applyBorder="1" applyAlignment="1">
      <alignment horizontal="right" vertical="center"/>
    </xf>
    <xf numFmtId="0" fontId="0" fillId="3" borderId="5" xfId="0" applyFill="1" applyBorder="1"/>
    <xf numFmtId="0" fontId="81" fillId="3" borderId="5" xfId="0" applyFont="1" applyFill="1" applyBorder="1"/>
    <xf numFmtId="0" fontId="0" fillId="24" borderId="18" xfId="0" applyFill="1" applyBorder="1"/>
    <xf numFmtId="44" fontId="0" fillId="3" borderId="15" xfId="2" applyFont="1" applyFill="1" applyBorder="1"/>
    <xf numFmtId="0" fontId="2" fillId="24" borderId="5" xfId="0" applyFont="1" applyFill="1" applyBorder="1" applyAlignment="1">
      <alignment wrapText="1"/>
    </xf>
    <xf numFmtId="44" fontId="0" fillId="24" borderId="5" xfId="2" applyFont="1" applyFill="1" applyBorder="1"/>
    <xf numFmtId="0" fontId="2" fillId="9" borderId="5" xfId="0" applyFont="1" applyFill="1" applyBorder="1" applyAlignment="1">
      <alignment wrapText="1"/>
    </xf>
    <xf numFmtId="0" fontId="2" fillId="3" borderId="5" xfId="0" applyFont="1" applyFill="1" applyBorder="1" applyAlignment="1">
      <alignment wrapText="1"/>
    </xf>
    <xf numFmtId="44" fontId="0" fillId="3" borderId="5" xfId="0" applyNumberFormat="1" applyFill="1" applyBorder="1"/>
    <xf numFmtId="44" fontId="0" fillId="2" borderId="0" xfId="2" applyFont="1" applyFill="1"/>
    <xf numFmtId="0" fontId="3" fillId="9" borderId="0" xfId="0" applyFont="1" applyFill="1"/>
    <xf numFmtId="0" fontId="14" fillId="5" borderId="0" xfId="0" applyFont="1" applyFill="1" applyBorder="1" applyAlignment="1" applyProtection="1">
      <alignment horizontal="center"/>
    </xf>
    <xf numFmtId="9" fontId="43" fillId="5" borderId="0" xfId="0" applyNumberFormat="1" applyFont="1" applyFill="1" applyBorder="1" applyProtection="1"/>
    <xf numFmtId="7" fontId="43" fillId="5" borderId="0" xfId="0" applyNumberFormat="1" applyFont="1" applyFill="1" applyBorder="1" applyProtection="1"/>
    <xf numFmtId="7" fontId="43" fillId="5" borderId="0" xfId="0" applyNumberFormat="1" applyFont="1" applyFill="1" applyBorder="1" applyAlignment="1" applyProtection="1">
      <alignment horizontal="center"/>
    </xf>
    <xf numFmtId="0" fontId="43" fillId="5" borderId="0" xfId="0" applyFont="1" applyFill="1" applyBorder="1" applyAlignment="1" applyProtection="1">
      <alignment horizontal="center"/>
    </xf>
    <xf numFmtId="44" fontId="0" fillId="9" borderId="5" xfId="2" applyFont="1" applyFill="1" applyBorder="1"/>
    <xf numFmtId="0" fontId="0" fillId="24" borderId="5" xfId="2" applyNumberFormat="1" applyFont="1" applyFill="1" applyBorder="1"/>
    <xf numFmtId="44" fontId="0" fillId="3" borderId="5" xfId="2" applyFont="1" applyFill="1" applyBorder="1"/>
    <xf numFmtId="44" fontId="0" fillId="5" borderId="0" xfId="2" applyFont="1" applyFill="1"/>
    <xf numFmtId="44" fontId="1" fillId="3" borderId="15" xfId="2" applyFont="1" applyFill="1" applyBorder="1"/>
    <xf numFmtId="165" fontId="17" fillId="8" borderId="6" xfId="0" applyNumberFormat="1" applyFont="1" applyFill="1" applyBorder="1" applyAlignment="1">
      <alignment horizontal="center" vertical="center"/>
    </xf>
    <xf numFmtId="165" fontId="17" fillId="8" borderId="7" xfId="0" applyNumberFormat="1" applyFont="1" applyFill="1" applyBorder="1" applyAlignment="1">
      <alignment horizontal="center" vertical="center"/>
    </xf>
    <xf numFmtId="165" fontId="17" fillId="8" borderId="8" xfId="0" applyNumberFormat="1" applyFont="1" applyFill="1" applyBorder="1" applyAlignment="1">
      <alignment horizontal="center" vertical="center"/>
    </xf>
    <xf numFmtId="165" fontId="17" fillId="8" borderId="12" xfId="0" applyNumberFormat="1" applyFont="1" applyFill="1" applyBorder="1" applyAlignment="1">
      <alignment horizontal="center" vertical="center"/>
    </xf>
    <xf numFmtId="165" fontId="17" fillId="8" borderId="14" xfId="0" applyNumberFormat="1" applyFont="1" applyFill="1" applyBorder="1" applyAlignment="1">
      <alignment horizontal="center" vertical="center"/>
    </xf>
    <xf numFmtId="165" fontId="17" fillId="8" borderId="13" xfId="0" applyNumberFormat="1" applyFont="1" applyFill="1" applyBorder="1" applyAlignment="1">
      <alignment horizontal="center" vertical="center"/>
    </xf>
    <xf numFmtId="0" fontId="6" fillId="6" borderId="3" xfId="0" applyFont="1" applyFill="1" applyBorder="1" applyAlignment="1" applyProtection="1">
      <alignment horizontal="left" vertical="center"/>
    </xf>
    <xf numFmtId="0" fontId="7" fillId="0" borderId="4" xfId="1" applyFont="1" applyBorder="1" applyAlignment="1" applyProtection="1">
      <alignment horizontal="left"/>
    </xf>
    <xf numFmtId="0" fontId="8" fillId="0" borderId="4" xfId="0" applyFont="1" applyFill="1" applyBorder="1" applyAlignment="1">
      <alignment horizontal="right"/>
    </xf>
    <xf numFmtId="0" fontId="9" fillId="0" borderId="0" xfId="0" applyFont="1" applyFill="1" applyBorder="1" applyAlignment="1">
      <alignment horizontal="center"/>
    </xf>
    <xf numFmtId="0" fontId="10" fillId="0" borderId="3" xfId="0" applyFont="1" applyFill="1" applyBorder="1" applyAlignment="1">
      <alignment horizontal="center"/>
    </xf>
    <xf numFmtId="0" fontId="11" fillId="0" borderId="5" xfId="0" applyFont="1" applyFill="1" applyBorder="1" applyAlignment="1">
      <alignment horizontal="center"/>
    </xf>
    <xf numFmtId="165" fontId="17" fillId="5" borderId="6" xfId="0" applyNumberFormat="1" applyFont="1" applyFill="1" applyBorder="1" applyAlignment="1">
      <alignment horizontal="center" vertical="center"/>
    </xf>
    <xf numFmtId="165" fontId="17" fillId="5" borderId="7" xfId="0" applyNumberFormat="1" applyFont="1" applyFill="1" applyBorder="1" applyAlignment="1">
      <alignment horizontal="center" vertical="center"/>
    </xf>
    <xf numFmtId="165" fontId="17" fillId="5" borderId="8" xfId="0" applyNumberFormat="1" applyFont="1" applyFill="1" applyBorder="1" applyAlignment="1">
      <alignment horizontal="center" vertical="center"/>
    </xf>
    <xf numFmtId="0" fontId="0" fillId="0" borderId="47" xfId="0" applyBorder="1" applyAlignment="1">
      <alignment horizontal="center"/>
    </xf>
    <xf numFmtId="0" fontId="0" fillId="0" borderId="41" xfId="0" applyBorder="1" applyAlignment="1">
      <alignment horizontal="center"/>
    </xf>
    <xf numFmtId="0" fontId="0" fillId="7" borderId="5" xfId="0" applyFill="1" applyBorder="1" applyAlignment="1">
      <alignment horizontal="center"/>
    </xf>
    <xf numFmtId="0" fontId="0" fillId="0" borderId="5" xfId="0" applyBorder="1" applyAlignment="1">
      <alignment horizontal="center"/>
    </xf>
    <xf numFmtId="0" fontId="44" fillId="0" borderId="28" xfId="0" applyFont="1" applyBorder="1" applyAlignment="1" applyProtection="1"/>
    <xf numFmtId="0" fontId="44" fillId="0" borderId="27" xfId="0" applyFont="1" applyBorder="1" applyAlignment="1" applyProtection="1"/>
    <xf numFmtId="0" fontId="44" fillId="0" borderId="26" xfId="0" applyFont="1" applyBorder="1" applyAlignment="1" applyProtection="1"/>
    <xf numFmtId="0" fontId="35" fillId="6" borderId="37" xfId="0" applyFont="1" applyFill="1" applyBorder="1" applyAlignment="1" applyProtection="1">
      <alignment horizontal="center" vertical="top" wrapText="1"/>
    </xf>
    <xf numFmtId="0" fontId="35" fillId="6" borderId="36" xfId="0" applyFont="1" applyFill="1" applyBorder="1" applyAlignment="1" applyProtection="1">
      <alignment horizontal="center" vertical="top" wrapText="1"/>
    </xf>
    <xf numFmtId="0" fontId="35" fillId="6" borderId="35" xfId="0" applyFont="1" applyFill="1" applyBorder="1" applyAlignment="1" applyProtection="1">
      <alignment horizontal="center" vertical="top" wrapText="1"/>
    </xf>
    <xf numFmtId="0" fontId="78" fillId="0" borderId="0" xfId="0" applyFont="1" applyAlignment="1">
      <alignment horizontal="center"/>
    </xf>
    <xf numFmtId="0" fontId="78" fillId="0" borderId="46" xfId="0" applyFont="1" applyBorder="1" applyAlignment="1">
      <alignment horizontal="center"/>
    </xf>
    <xf numFmtId="0" fontId="78" fillId="0" borderId="45" xfId="0" applyFont="1" applyBorder="1" applyAlignment="1">
      <alignment horizontal="center"/>
    </xf>
    <xf numFmtId="0" fontId="78" fillId="0" borderId="0" xfId="0" applyFont="1" applyBorder="1" applyAlignment="1">
      <alignment horizontal="center"/>
    </xf>
  </cellXfs>
  <cellStyles count="4">
    <cellStyle name="Currency" xfId="2" builtinId="4"/>
    <cellStyle name="Hyperlink" xfId="1" builtinId="8"/>
    <cellStyle name="Normal" xfId="0" builtinId="0"/>
    <cellStyle name="Percent" xfId="3" builtinId="5"/>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colors>
    <mruColors>
      <color rgb="FFFFFF66"/>
      <color rgb="FFFFFFCC"/>
      <color rgb="FFCCCC00"/>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571500</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419600" y="0"/>
          <a:ext cx="3333750" cy="1905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571500</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419600" y="0"/>
          <a:ext cx="3333750" cy="190500"/>
        </a:xfrm>
        <a:prstGeom prst="rect">
          <a:avLst/>
        </a:prstGeom>
        <a:noFill/>
        <a:ln w="9525">
          <a:solidFill>
            <a:srgbClr val="EAEAEA"/>
          </a:solid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571500</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419600" y="0"/>
          <a:ext cx="3333750" cy="190500"/>
        </a:xfrm>
        <a:prstGeom prst="rect">
          <a:avLst/>
        </a:prstGeom>
        <a:noFill/>
        <a:ln w="9525">
          <a:solidFill>
            <a:srgbClr val="EAEAEA"/>
          </a:solid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571500</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419600" y="0"/>
          <a:ext cx="3333750" cy="190500"/>
        </a:xfrm>
        <a:prstGeom prst="rect">
          <a:avLst/>
        </a:prstGeom>
        <a:noFill/>
        <a:ln w="9525">
          <a:solidFill>
            <a:srgbClr val="EAEAEA"/>
          </a:solid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352425</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4419600" y="0"/>
          <a:ext cx="3333750" cy="190500"/>
        </a:xfrm>
        <a:prstGeom prst="rect">
          <a:avLst/>
        </a:prstGeom>
        <a:noFill/>
        <a:ln w="9525">
          <a:solidFill>
            <a:srgbClr val="EAEAEA"/>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171450</xdr:colOff>
      <xdr:row>0</xdr:row>
      <xdr:rowOff>0</xdr:rowOff>
    </xdr:from>
    <xdr:to>
      <xdr:col>27</xdr:col>
      <xdr:colOff>571500</xdr:colOff>
      <xdr:row>0</xdr:row>
      <xdr:rowOff>190500</xdr:rowOff>
    </xdr:to>
    <xdr:pic>
      <xdr:nvPicPr>
        <xdr:cNvPr id="2" name="Picture 1" descr="vertex42_logo_40px">
          <a:hlinkClick xmlns:r="http://schemas.openxmlformats.org/officeDocument/2006/relationships" r:id="rId1"/>
        </xdr:cNvPr>
        <xdr:cNvPicPr preferRelativeResize="0">
          <a:picLocks noChangeAspect="1" noChangeArrowheads="1"/>
        </xdr:cNvPicPr>
      </xdr:nvPicPr>
      <xdr:blipFill>
        <a:blip xmlns:r="http://schemas.openxmlformats.org/officeDocument/2006/relationships" r:embed="rId2" cstate="print"/>
        <a:srcRect/>
        <a:stretch>
          <a:fillRect/>
        </a:stretch>
      </xdr:blipFill>
      <xdr:spPr bwMode="auto">
        <a:xfrm>
          <a:off x="3429000" y="0"/>
          <a:ext cx="1190625" cy="266700"/>
        </a:xfrm>
        <a:prstGeom prst="rect">
          <a:avLst/>
        </a:prstGeom>
        <a:noFill/>
        <a:ln w="9525">
          <a:solidFill>
            <a:srgbClr val="EAEAEA"/>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ff/Downloads/Copy%20of%20Full%20Schedule%2015-16%20update%20RevisedC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vertex42.com/calendars" TargetMode="External"/><Relationship Id="rId1" Type="http://schemas.openxmlformats.org/officeDocument/2006/relationships/hyperlink" Target="http://www.vertex42.com/calendar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view="pageLayout" zoomScaleNormal="100" workbookViewId="0">
      <selection activeCell="X37" sqref="X37"/>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5" customWidth="1"/>
    <col min="28" max="28" width="19.42578125" bestFit="1" customWidth="1"/>
    <col min="30" max="30" width="10.42578125" bestFit="1" customWidth="1"/>
  </cols>
  <sheetData>
    <row r="1" spans="1:30"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30">
      <c r="A2" s="599" t="s">
        <v>20</v>
      </c>
      <c r="B2" s="599"/>
      <c r="C2" s="599"/>
      <c r="D2" s="599"/>
      <c r="E2" s="599"/>
      <c r="F2" s="599"/>
      <c r="G2" s="599"/>
      <c r="R2" s="600" t="s">
        <v>21</v>
      </c>
      <c r="S2" s="600"/>
      <c r="T2" s="600"/>
      <c r="U2" s="600"/>
      <c r="V2" s="600"/>
      <c r="W2" s="600"/>
      <c r="X2" s="600"/>
    </row>
    <row r="3" spans="1:30">
      <c r="A3" s="601" t="s">
        <v>22</v>
      </c>
      <c r="B3" s="601"/>
      <c r="C3" s="601"/>
      <c r="D3" s="11"/>
      <c r="E3" s="601" t="s">
        <v>23</v>
      </c>
      <c r="F3" s="601"/>
      <c r="G3" s="601"/>
      <c r="H3" s="12"/>
      <c r="I3" s="602" t="s">
        <v>24</v>
      </c>
      <c r="J3" s="602"/>
      <c r="K3" s="602"/>
      <c r="L3" s="602"/>
      <c r="M3" s="13"/>
      <c r="N3" s="13"/>
      <c r="O3" s="13"/>
      <c r="P3" s="13"/>
      <c r="Q3" s="13"/>
    </row>
    <row r="4" spans="1:30">
      <c r="A4" s="603">
        <v>2015</v>
      </c>
      <c r="B4" s="603"/>
      <c r="C4" s="603"/>
      <c r="D4" s="11"/>
      <c r="E4" s="603">
        <v>7</v>
      </c>
      <c r="F4" s="603"/>
      <c r="G4" s="603"/>
      <c r="H4" s="12"/>
      <c r="I4" s="603">
        <v>1</v>
      </c>
      <c r="J4" s="603"/>
      <c r="K4" s="603"/>
      <c r="L4" s="603"/>
      <c r="M4" s="14" t="s">
        <v>25</v>
      </c>
      <c r="N4" s="13"/>
      <c r="O4" s="13"/>
      <c r="P4" s="13"/>
      <c r="Q4" s="13"/>
    </row>
    <row r="5" spans="1:30" ht="23.25">
      <c r="A5" s="37" t="s">
        <v>26</v>
      </c>
      <c r="B5" s="38"/>
      <c r="C5" s="39"/>
      <c r="D5" s="40"/>
      <c r="E5" s="41"/>
      <c r="F5" s="41"/>
      <c r="G5" s="42"/>
      <c r="H5" s="35"/>
      <c r="I5" s="35"/>
      <c r="J5" s="43"/>
      <c r="K5" s="35"/>
      <c r="L5" s="15"/>
      <c r="M5" s="15"/>
      <c r="N5" s="15"/>
      <c r="O5" s="15"/>
      <c r="P5" s="15"/>
      <c r="Q5" s="15"/>
      <c r="R5" s="15"/>
      <c r="S5" s="15"/>
      <c r="T5" s="15"/>
      <c r="U5" s="34" t="s">
        <v>58</v>
      </c>
      <c r="V5" s="35"/>
      <c r="W5" s="35"/>
      <c r="X5" s="35"/>
      <c r="Y5" s="36"/>
      <c r="Z5" s="36"/>
      <c r="AA5" s="36"/>
    </row>
    <row r="6" spans="1:30" ht="6" customHeight="1">
      <c r="A6" s="58"/>
      <c r="B6" s="58"/>
      <c r="C6" s="58"/>
      <c r="D6" s="58"/>
      <c r="E6" s="58"/>
      <c r="F6" s="58"/>
      <c r="G6" s="58"/>
      <c r="P6" s="58"/>
    </row>
    <row r="7" spans="1:30">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c r="AB7" t="s">
        <v>119</v>
      </c>
    </row>
    <row r="8" spans="1:30">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c r="AB8" t="s">
        <v>123</v>
      </c>
      <c r="AC8" t="s">
        <v>117</v>
      </c>
      <c r="AD8" t="s">
        <v>130</v>
      </c>
    </row>
    <row r="9" spans="1:30">
      <c r="A9" s="82" t="str">
        <f t="shared" ref="A9:G14" si="0">IF(MONTH($A$7)&lt;&gt;MONTH($A$7-(WEEKDAY($A$7,1)-($I$4-1))-IF((WEEKDAY($A$7,1)-($I$4-1))&lt;=0,7,0)+(ROW(A9)-ROW($A$9))*7+(COLUMN(A9)-COLUMN($A$9)+1)),"",$A$7-(WEEKDAY($A$7,1)-($I$4-1))-IF((WEEKDAY($A$7,1)-($I$4-1))&lt;=0,7,0)+(ROW(A9)-ROW($A$9))*7+(COLUMN(A9)-COLUMN($A$9)+1))</f>
        <v/>
      </c>
      <c r="B9" s="82" t="str">
        <f t="shared" si="0"/>
        <v/>
      </c>
      <c r="C9" s="90" t="str">
        <f t="shared" si="0"/>
        <v/>
      </c>
      <c r="D9" s="90">
        <f t="shared" si="0"/>
        <v>42186</v>
      </c>
      <c r="E9" s="90">
        <f t="shared" si="0"/>
        <v>42187</v>
      </c>
      <c r="F9" s="90">
        <f t="shared" si="0"/>
        <v>42188</v>
      </c>
      <c r="G9" s="90">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82" t="str">
        <f t="shared" si="1"/>
        <v/>
      </c>
      <c r="S9" s="82" t="str">
        <f t="shared" si="1"/>
        <v/>
      </c>
      <c r="T9" s="374" t="str">
        <f t="shared" si="1"/>
        <v/>
      </c>
      <c r="U9" s="93" t="str">
        <f t="shared" si="1"/>
        <v/>
      </c>
      <c r="V9" s="93">
        <f t="shared" si="1"/>
        <v>42370</v>
      </c>
      <c r="W9" s="93">
        <f t="shared" si="1"/>
        <v>42371</v>
      </c>
      <c r="X9" s="57"/>
      <c r="Y9" s="54"/>
      <c r="Z9" s="99"/>
      <c r="AA9" s="99"/>
      <c r="AB9" t="s">
        <v>129</v>
      </c>
      <c r="AC9">
        <f>COUNT(C10:E10,C11:E11,C13,E13,C19:E19,C22:E22,D27:E27,C28:E28,C29:E29,C30:E30,C31:D31,C37:E37,C38:E38,C39:E40,C45:E47,C48:D48,C54:E55,C56:D56,S10:U13,S18:U21,S27:U29,S30:T31,U31,S37:U39,S40:T40,S45:U48,S49,T54:U54,S55:T55, U30, E56)</f>
        <v>126</v>
      </c>
      <c r="AD9">
        <v>126</v>
      </c>
    </row>
    <row r="10" spans="1:30">
      <c r="A10" s="320">
        <f t="shared" si="0"/>
        <v>42190</v>
      </c>
      <c r="B10" s="320">
        <f t="shared" si="0"/>
        <v>42191</v>
      </c>
      <c r="C10" s="320">
        <f>IF(MONTH($A$7)&lt;&gt;MONTH($A$7-(WEEKDAY($A$7,1)-($I$4-1))-IF((WEEKDAY($A$7,1)-($I$4-1))&lt;=0,7,0)+(ROW(C10)-ROW($A$9))*7+(COLUMN(C10)-COLUMN($A$9)+1)),"",$A$7-(WEEKDAY($A$7,1)-($I$4-1))-IF((WEEKDAY($A$7,1)-($I$4-1))&lt;=0,7,0)+(ROW(C10)-ROW($A$9))*7+(COLUMN(C10)-COLUMN($A$9)+1))</f>
        <v>42192</v>
      </c>
      <c r="D10" s="320">
        <f t="shared" si="0"/>
        <v>42193</v>
      </c>
      <c r="E10" s="320">
        <f t="shared" si="0"/>
        <v>42194</v>
      </c>
      <c r="F10" s="367">
        <f t="shared" si="0"/>
        <v>42195</v>
      </c>
      <c r="G10" s="320">
        <f t="shared" si="0"/>
        <v>42196</v>
      </c>
      <c r="I10" s="17"/>
      <c r="J10" s="290"/>
      <c r="K10" s="54"/>
      <c r="L10" s="99"/>
      <c r="M10" s="99"/>
      <c r="N10" s="99"/>
      <c r="O10" s="99"/>
      <c r="P10" s="99"/>
      <c r="Q10" s="82">
        <f t="shared" si="1"/>
        <v>42372</v>
      </c>
      <c r="R10" s="369">
        <f t="shared" si="1"/>
        <v>42373</v>
      </c>
      <c r="S10" s="369">
        <f t="shared" si="1"/>
        <v>42374</v>
      </c>
      <c r="T10" s="82">
        <f t="shared" si="1"/>
        <v>42375</v>
      </c>
      <c r="U10" s="411">
        <f t="shared" si="1"/>
        <v>42376</v>
      </c>
      <c r="V10" s="82">
        <f t="shared" si="1"/>
        <v>42377</v>
      </c>
      <c r="W10" s="82">
        <f t="shared" si="1"/>
        <v>42378</v>
      </c>
      <c r="X10" s="291" t="s">
        <v>334</v>
      </c>
      <c r="Y10" s="54"/>
      <c r="Z10" s="88"/>
      <c r="AA10" s="88"/>
      <c r="AB10" t="s">
        <v>121</v>
      </c>
      <c r="AC10">
        <f>COUNT(E10,C11,E11,C12,E12,C13,E13,C19,E19,C20,E20,C20,E20,C22,E22,E27,C28,E28,C29,E29,C30,E30,C31,E36,C37,E37,C38,E38,C39,E39,C40,E40,C45,E45,C46,E46,C47,E47,C54,E54,C55,E55,S10,U10,S11,U11,S12,U12,S13,U13,S18,U18,S19,U19,S20,U20,S21,U21,S27,U27,S28,U28,S29,U29,S31,U31,S37,U37,S38,U38,S39,U39,S40,S45,U45,S46,U46,S47,U47,S48,U48,S49,U54,S55)</f>
        <v>84</v>
      </c>
      <c r="AD10">
        <v>84</v>
      </c>
    </row>
    <row r="11" spans="1:30">
      <c r="A11" s="320">
        <f t="shared" si="0"/>
        <v>42197</v>
      </c>
      <c r="B11" s="320">
        <f t="shared" si="0"/>
        <v>42198</v>
      </c>
      <c r="C11" s="320">
        <f t="shared" si="0"/>
        <v>42199</v>
      </c>
      <c r="D11" s="320">
        <f t="shared" si="0"/>
        <v>42200</v>
      </c>
      <c r="E11" s="320">
        <f t="shared" si="0"/>
        <v>42201</v>
      </c>
      <c r="F11" s="320">
        <f t="shared" si="0"/>
        <v>42202</v>
      </c>
      <c r="G11" s="320">
        <f t="shared" si="0"/>
        <v>42203</v>
      </c>
      <c r="I11" s="17"/>
      <c r="J11" s="85"/>
      <c r="K11" s="54"/>
      <c r="L11" s="100"/>
      <c r="M11" s="88"/>
      <c r="N11" s="87"/>
      <c r="O11" s="87"/>
      <c r="P11" s="99"/>
      <c r="Q11" s="82">
        <f t="shared" si="1"/>
        <v>42379</v>
      </c>
      <c r="R11" s="369">
        <f t="shared" si="1"/>
        <v>42380</v>
      </c>
      <c r="S11" s="369">
        <f t="shared" si="1"/>
        <v>42381</v>
      </c>
      <c r="T11" s="82">
        <f t="shared" si="1"/>
        <v>42382</v>
      </c>
      <c r="U11" s="369">
        <f t="shared" si="1"/>
        <v>42383</v>
      </c>
      <c r="V11" s="82">
        <f t="shared" si="1"/>
        <v>42384</v>
      </c>
      <c r="W11" s="82">
        <f t="shared" si="1"/>
        <v>42385</v>
      </c>
      <c r="X11" s="56"/>
      <c r="Y11" s="56"/>
      <c r="Z11" s="88"/>
      <c r="AA11" s="88"/>
      <c r="AB11" t="s">
        <v>122</v>
      </c>
      <c r="AC11">
        <f>COUNT(B10,B10:B13,D10:D13,F10:F13,B19,D19,F19,B22:B23,D22,F22,B29:B31,D27:D31,F27:F30,B37:B40,D37:D40,F36:F40,B45:B49,D45:D47,F45:F47,B55:B56,D54:D56,F54:F55,R10:R11,T10:T13,V10:V13,R13,R18:R22,T18:T21,V18:V21,R28:R30,T27:T31,V27:V28,V29,R37:R40,T37:T40,V36:V40,R45:R48,T45:T48,V45:V47,R55:R55,T54:T55,V54)</f>
        <v>126</v>
      </c>
      <c r="AD11">
        <v>126</v>
      </c>
    </row>
    <row r="12" spans="1:30">
      <c r="A12" s="320">
        <f t="shared" si="0"/>
        <v>42204</v>
      </c>
      <c r="B12" s="320">
        <f t="shared" si="0"/>
        <v>42205</v>
      </c>
      <c r="C12" s="320">
        <f t="shared" si="0"/>
        <v>42206</v>
      </c>
      <c r="D12" s="320">
        <f t="shared" si="0"/>
        <v>42207</v>
      </c>
      <c r="E12" s="320">
        <f t="shared" si="0"/>
        <v>42208</v>
      </c>
      <c r="F12" s="367">
        <f t="shared" si="0"/>
        <v>42209</v>
      </c>
      <c r="G12" s="320">
        <f t="shared" si="0"/>
        <v>42210</v>
      </c>
      <c r="I12" s="17"/>
      <c r="J12" s="290"/>
      <c r="K12" s="287"/>
      <c r="L12" s="67"/>
      <c r="M12" s="96"/>
      <c r="N12" s="87"/>
      <c r="O12" s="87"/>
      <c r="P12" s="99"/>
      <c r="Q12" s="82">
        <f t="shared" si="1"/>
        <v>42386</v>
      </c>
      <c r="R12" s="368">
        <f t="shared" si="1"/>
        <v>42387</v>
      </c>
      <c r="S12" s="369">
        <f t="shared" si="1"/>
        <v>42388</v>
      </c>
      <c r="T12" s="82">
        <f t="shared" si="1"/>
        <v>42389</v>
      </c>
      <c r="U12" s="369">
        <f t="shared" si="1"/>
        <v>42390</v>
      </c>
      <c r="V12" s="348">
        <f t="shared" si="1"/>
        <v>42391</v>
      </c>
      <c r="W12" s="82">
        <f t="shared" si="1"/>
        <v>42392</v>
      </c>
      <c r="X12" s="291"/>
      <c r="Y12" s="56"/>
      <c r="Z12" s="88"/>
      <c r="AA12" s="88"/>
      <c r="AB12" t="s">
        <v>156</v>
      </c>
      <c r="AC12">
        <f>COUNT(D10,E10,C11:E11,C12,E12,C13:E13,C19:E19,C22:E22,D27:E27,C28:E30,C31:D31,E36,C37:E39,C40:E40,C45:E47,C48,C54:E56,S10:U13,S18:U21,S27:U29,S37:U39,S40,S45:U48,S49,T54:U54,S55:T55, S30:T31,U31)</f>
        <v>126</v>
      </c>
      <c r="AD12">
        <v>126</v>
      </c>
    </row>
    <row r="13" spans="1:30">
      <c r="A13" s="320">
        <f t="shared" si="0"/>
        <v>42211</v>
      </c>
      <c r="B13" s="320">
        <f t="shared" si="0"/>
        <v>42212</v>
      </c>
      <c r="C13" s="320">
        <f t="shared" si="0"/>
        <v>42213</v>
      </c>
      <c r="D13" s="320">
        <f t="shared" si="0"/>
        <v>42214</v>
      </c>
      <c r="E13" s="320">
        <f t="shared" si="0"/>
        <v>42215</v>
      </c>
      <c r="F13" s="320">
        <f t="shared" si="0"/>
        <v>42216</v>
      </c>
      <c r="G13" s="320" t="str">
        <f t="shared" si="0"/>
        <v/>
      </c>
      <c r="I13" s="17"/>
      <c r="J13" s="85"/>
      <c r="K13" s="54"/>
      <c r="L13" s="96"/>
      <c r="M13" s="96"/>
      <c r="N13" s="87"/>
      <c r="O13" s="87"/>
      <c r="P13" s="99"/>
      <c r="Q13" s="82">
        <f t="shared" si="1"/>
        <v>42393</v>
      </c>
      <c r="R13" s="369">
        <f t="shared" si="1"/>
        <v>42394</v>
      </c>
      <c r="S13" s="369">
        <f t="shared" si="1"/>
        <v>42395</v>
      </c>
      <c r="T13" s="82">
        <f t="shared" si="1"/>
        <v>42396</v>
      </c>
      <c r="U13" s="369">
        <f t="shared" si="1"/>
        <v>42397</v>
      </c>
      <c r="V13" s="82">
        <f t="shared" si="1"/>
        <v>42398</v>
      </c>
      <c r="W13" s="82">
        <f t="shared" si="1"/>
        <v>42399</v>
      </c>
      <c r="X13" s="96"/>
      <c r="Y13" s="56"/>
      <c r="AA13" s="97"/>
      <c r="AB13" t="s">
        <v>157</v>
      </c>
      <c r="AC13">
        <f>COUNT(B10,D10,B11,C11,B12:D12,B13:D13,B19:D19,B22,C22,D22,B23,D27,C28:D28,B29:D29,B30:D30,B31:D31,B37:D40,B45:D47,B48:C48,B49,C54:D54,B55:D56,R10:T11,S12:T12,R13:T13,R18:T21,R22,S27:T27,R28:S30,S31:T31,R37:T40,R45:T48,S49,T54,R55:T55, T28:T29)</f>
        <v>126</v>
      </c>
      <c r="AD13">
        <v>126</v>
      </c>
    </row>
    <row r="14" spans="1:30">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82" t="str">
        <f t="shared" si="1"/>
        <v/>
      </c>
      <c r="S14" s="82" t="str">
        <f t="shared" si="1"/>
        <v/>
      </c>
      <c r="T14" s="82" t="str">
        <f t="shared" si="1"/>
        <v/>
      </c>
      <c r="U14" s="82" t="str">
        <f t="shared" si="1"/>
        <v/>
      </c>
      <c r="V14" s="82" t="str">
        <f t="shared" si="1"/>
        <v/>
      </c>
      <c r="W14" s="82" t="str">
        <f t="shared" si="1"/>
        <v/>
      </c>
      <c r="X14" s="53"/>
      <c r="Y14" s="53"/>
      <c r="Z14" s="104"/>
      <c r="AA14" s="104"/>
      <c r="AB14" t="s">
        <v>118</v>
      </c>
      <c r="AC14">
        <f>COUNT(B29:B31,B38:B40,B45:B47,B55,R10:R11,R13,R19:R21,R28:R30,R38:R40,R45:R47)</f>
        <v>25</v>
      </c>
      <c r="AD14">
        <v>25</v>
      </c>
    </row>
    <row r="15" spans="1:30" ht="4.5" customHeight="1">
      <c r="A15" s="26"/>
      <c r="B15" s="26"/>
      <c r="C15" s="26"/>
      <c r="D15" s="26"/>
      <c r="E15" s="26"/>
      <c r="F15" s="26"/>
      <c r="G15" s="26"/>
      <c r="I15" s="17"/>
      <c r="J15" s="85"/>
      <c r="K15" s="54"/>
      <c r="L15" s="96"/>
      <c r="M15" s="96"/>
      <c r="N15" s="99"/>
      <c r="O15" s="99"/>
      <c r="P15" s="99"/>
      <c r="X15" s="57"/>
      <c r="Y15" s="57"/>
      <c r="Z15" s="104"/>
      <c r="AA15" s="104"/>
    </row>
    <row r="16" spans="1:30">
      <c r="A16" s="592">
        <f>DATE(YEAR(A7+35),MONTH(A7+35),1)</f>
        <v>42217</v>
      </c>
      <c r="B16" s="593"/>
      <c r="C16" s="593"/>
      <c r="D16" s="593"/>
      <c r="E16" s="593"/>
      <c r="F16" s="593"/>
      <c r="G16" s="594"/>
      <c r="H16" s="22"/>
      <c r="I16" s="17"/>
      <c r="J16" s="85"/>
      <c r="K16" s="54"/>
      <c r="L16" s="96"/>
      <c r="M16" s="96"/>
      <c r="N16" s="99"/>
      <c r="O16" s="99"/>
      <c r="P16" s="99"/>
      <c r="Q16" s="593">
        <f>DATE(YEAR(Q7+35),MONTH(Q7+35),1)</f>
        <v>42401</v>
      </c>
      <c r="R16" s="593"/>
      <c r="S16" s="593"/>
      <c r="T16" s="593"/>
      <c r="U16" s="593"/>
      <c r="V16" s="593"/>
      <c r="W16" s="593"/>
      <c r="X16" s="57"/>
      <c r="Y16" s="57"/>
      <c r="Z16" s="89"/>
      <c r="AA16" s="89"/>
      <c r="AB16" t="s">
        <v>60</v>
      </c>
      <c r="AC16">
        <f>COUNT(B11,D11,F11,B12,D12,F12,B13,D13,F13,B19,D19,F19,B22,D22,F22,B23,D27,F27,D28,F28,B29,D29,F29,B30,D30,F30,B31,D31,F36,B37,D37,F37,B38,D38,F38,B39,D39,F39,B40,D40,F40,B45:B49,D45,F45,D46,F46,D47,F47,D54,F54,B55,D55,F55,B56,D56,F56,D48,R10,T10,V10,R11,T11,V11,T12,V12,R13,T13,V13,R18,T18,V18,R19,T19,V19,R20,T20,V20,R21,T21,V21,R22,T27,V27,R28,T28,V28,R29,T29,V29,R30,T30,R31,T31,V31,R37,T37,V37,R38,T38,V38,R39,T39,V39,R40,T40,V40,R45,T45,V45,R46,T46,V46,R47,T47,V47,R48,T48,V48,T54,V54,R55,T55,V55)</f>
        <v>126</v>
      </c>
      <c r="AD16">
        <v>126</v>
      </c>
    </row>
    <row r="17" spans="1:30">
      <c r="A17" s="18" t="str">
        <f>$A$8</f>
        <v>Su</v>
      </c>
      <c r="B17" s="20" t="str">
        <f>$B$8</f>
        <v>M</v>
      </c>
      <c r="C17" s="20" t="str">
        <f>$C$8</f>
        <v>Tu</v>
      </c>
      <c r="D17" s="20" t="str">
        <f>$D$8</f>
        <v>W</v>
      </c>
      <c r="E17" s="20" t="str">
        <f>$E$8</f>
        <v>Th</v>
      </c>
      <c r="F17" s="20" t="str">
        <f>$F$8</f>
        <v>F</v>
      </c>
      <c r="G17" s="21"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c r="AB17" t="s">
        <v>62</v>
      </c>
      <c r="AC17">
        <f>COUNT(E27,C28,E28,C29,E29,C30,E30,C31,C22,E22,E36,C37,E37,C38,E38,C39,E39,C40,E40)</f>
        <v>19</v>
      </c>
      <c r="AD17">
        <v>19</v>
      </c>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82" t="str">
        <f t="shared" ref="Q18:W23" si="3">IF(MONTH($Q$16)&lt;&gt;MONTH($Q$16-(WEEKDAY($Q$16,1)-($I$4-1))-IF((WEEKDAY($Q$16,1)-($I$4-1))&lt;=0,7,0)+(ROW(Q18)-ROW($Q$18))*7+(COLUMN(Q18)-COLUMN($Q$18)+1)),"",$Q$16-(WEEKDAY($Q$16,1)-($I$4-1))-IF((WEEKDAY($Q$16,1)-($I$4-1))&lt;=0,7,0)+(ROW(Q18)-ROW($Q$18))*7+(COLUMN(Q18)-COLUMN($Q$18)+1))</f>
        <v/>
      </c>
      <c r="R18" s="369">
        <f t="shared" si="3"/>
        <v>42401</v>
      </c>
      <c r="S18" s="408">
        <f t="shared" si="3"/>
        <v>42402</v>
      </c>
      <c r="T18" s="82">
        <f t="shared" si="3"/>
        <v>42403</v>
      </c>
      <c r="U18" s="369">
        <f t="shared" si="3"/>
        <v>42404</v>
      </c>
      <c r="V18" s="348">
        <f t="shared" si="3"/>
        <v>42405</v>
      </c>
      <c r="W18" s="82">
        <f t="shared" si="3"/>
        <v>42406</v>
      </c>
      <c r="X18" s="291"/>
      <c r="Y18" s="56"/>
      <c r="Z18" s="88"/>
      <c r="AA18" s="88"/>
      <c r="AB18" t="s">
        <v>62</v>
      </c>
      <c r="AC18">
        <f>COUNT(S29:S31,U29:U31,S37:S40,U37:U39,S45:S48,U45:U48)</f>
        <v>21</v>
      </c>
      <c r="AD18">
        <v>21</v>
      </c>
    </row>
    <row r="19" spans="1:30" ht="15.75" thickBot="1">
      <c r="A19" s="320">
        <f t="shared" si="2"/>
        <v>42218</v>
      </c>
      <c r="B19" s="320">
        <f t="shared" si="2"/>
        <v>42219</v>
      </c>
      <c r="C19" s="320">
        <f t="shared" si="2"/>
        <v>42220</v>
      </c>
      <c r="D19" s="320">
        <f t="shared" si="2"/>
        <v>42221</v>
      </c>
      <c r="E19" s="320">
        <f t="shared" si="2"/>
        <v>42222</v>
      </c>
      <c r="F19" s="367">
        <f t="shared" si="2"/>
        <v>42223</v>
      </c>
      <c r="G19" s="320">
        <f t="shared" si="2"/>
        <v>42224</v>
      </c>
      <c r="H19" s="22"/>
      <c r="I19" s="17"/>
      <c r="M19" s="96"/>
      <c r="N19" s="99"/>
      <c r="O19" s="99"/>
      <c r="P19" s="99"/>
      <c r="Q19" s="82">
        <f t="shared" si="3"/>
        <v>42407</v>
      </c>
      <c r="R19" s="376">
        <f t="shared" si="3"/>
        <v>42408</v>
      </c>
      <c r="S19" s="409">
        <f t="shared" si="3"/>
        <v>42409</v>
      </c>
      <c r="T19" s="112">
        <f t="shared" si="3"/>
        <v>42410</v>
      </c>
      <c r="U19" s="369">
        <f t="shared" si="3"/>
        <v>42411</v>
      </c>
      <c r="V19" s="82">
        <f t="shared" si="3"/>
        <v>42412</v>
      </c>
      <c r="W19" s="82">
        <f t="shared" si="3"/>
        <v>42413</v>
      </c>
      <c r="X19" s="54"/>
      <c r="Y19" s="54"/>
      <c r="AA19" s="88"/>
      <c r="AB19" t="s">
        <v>159</v>
      </c>
      <c r="AC19">
        <f>COUNT(C22,E22,E27,C28,E28,C29,E29,C30,E30,C31,E36,C37,E37,C38,E38,C39,E39,C40,E40,C45,E45,C46,E46,C47,E47,C48,C54,E54,C55,E55,C56,E56,S10,U10, S11,U11,S12,U12,S13,U13,S18,U18,S19,U19,S20,U20,S21,U21,S27,U27,S28,U28,S29,U29,S30,S31,U31,S37,U37,S38,U38,S39,U39,S40,U40, S45,U45,S46,U46,S47,U47,S48,U48,S49,U54,S55)</f>
        <v>76</v>
      </c>
      <c r="AD19">
        <v>76</v>
      </c>
    </row>
    <row r="20" spans="1:30">
      <c r="A20" s="320">
        <f t="shared" si="2"/>
        <v>42225</v>
      </c>
      <c r="B20" s="367">
        <f t="shared" si="2"/>
        <v>42226</v>
      </c>
      <c r="C20" s="368">
        <f t="shared" si="2"/>
        <v>42227</v>
      </c>
      <c r="D20" s="368">
        <f t="shared" si="2"/>
        <v>42228</v>
      </c>
      <c r="E20" s="368">
        <f t="shared" si="2"/>
        <v>42229</v>
      </c>
      <c r="F20" s="368">
        <f t="shared" si="2"/>
        <v>42230</v>
      </c>
      <c r="G20" s="320">
        <f t="shared" si="2"/>
        <v>42231</v>
      </c>
      <c r="I20" s="17"/>
      <c r="J20" s="290"/>
      <c r="K20" s="54"/>
      <c r="L20" s="96"/>
      <c r="M20" s="96"/>
      <c r="N20" s="99"/>
      <c r="O20" s="99"/>
      <c r="P20" s="99"/>
      <c r="Q20" s="82">
        <f t="shared" si="3"/>
        <v>42414</v>
      </c>
      <c r="R20" s="369">
        <f t="shared" si="3"/>
        <v>42415</v>
      </c>
      <c r="S20" s="410">
        <f t="shared" si="3"/>
        <v>42416</v>
      </c>
      <c r="T20" s="82">
        <f t="shared" si="3"/>
        <v>42417</v>
      </c>
      <c r="U20" s="369">
        <f t="shared" si="3"/>
        <v>42418</v>
      </c>
      <c r="V20" s="82">
        <f t="shared" si="3"/>
        <v>42419</v>
      </c>
      <c r="W20" s="82">
        <f t="shared" si="3"/>
        <v>42420</v>
      </c>
      <c r="X20" s="56"/>
      <c r="Y20" s="56"/>
      <c r="Z20" s="87"/>
      <c r="AA20" s="87"/>
      <c r="AB20" t="s">
        <v>61</v>
      </c>
      <c r="AC20">
        <f>COUNT(B10:B13,D10:D13,B19,D19,B22,D22,B23,D27,D28:D31,B29:B31,B37:B40,D37:D40,B45:B47,D45:D47,B49,D54,B55,D55,T12,R13,T13,R18,T18,R19,T19,R20,T20,R21,T21,R22,T27,R28:R29,T28:T29,R31,T31,R37,T37,R38,T38,R39,T39,R40,T40,R45:R48,T45:T48,T54,R55,T55, R56,T56,R57)</f>
        <v>80</v>
      </c>
      <c r="AD20">
        <v>80</v>
      </c>
    </row>
    <row r="21" spans="1:30">
      <c r="A21" s="320">
        <f t="shared" si="2"/>
        <v>42232</v>
      </c>
      <c r="B21" s="368">
        <f t="shared" si="2"/>
        <v>42233</v>
      </c>
      <c r="C21" s="368">
        <f t="shared" si="2"/>
        <v>42234</v>
      </c>
      <c r="D21" s="368">
        <f t="shared" si="2"/>
        <v>42235</v>
      </c>
      <c r="E21" s="368">
        <f t="shared" si="2"/>
        <v>42236</v>
      </c>
      <c r="F21" s="367">
        <f t="shared" si="2"/>
        <v>42237</v>
      </c>
      <c r="G21" s="320">
        <f t="shared" si="2"/>
        <v>42238</v>
      </c>
      <c r="I21" s="17"/>
      <c r="J21" s="290"/>
      <c r="K21" s="54"/>
      <c r="L21" s="96"/>
      <c r="M21" s="96"/>
      <c r="N21" s="99"/>
      <c r="O21" s="99"/>
      <c r="P21" s="99"/>
      <c r="Q21" s="82">
        <f t="shared" si="3"/>
        <v>42421</v>
      </c>
      <c r="R21" s="369">
        <f t="shared" si="3"/>
        <v>42422</v>
      </c>
      <c r="S21" s="411">
        <f t="shared" si="3"/>
        <v>42423</v>
      </c>
      <c r="T21" s="82">
        <f t="shared" si="3"/>
        <v>42424</v>
      </c>
      <c r="U21" s="369">
        <f t="shared" si="3"/>
        <v>42425</v>
      </c>
      <c r="V21" s="82">
        <f t="shared" si="3"/>
        <v>42426</v>
      </c>
      <c r="W21" s="82">
        <f t="shared" si="3"/>
        <v>42427</v>
      </c>
      <c r="X21" s="375"/>
      <c r="Y21" s="54"/>
      <c r="Z21" s="99"/>
      <c r="AA21" s="99"/>
      <c r="AB21" t="s">
        <v>158</v>
      </c>
      <c r="AC21">
        <f>COUNT(B22,D22,B23,D27,D28,B29,D29,B30,D30,B31,D31,B37,D37,B38,D38,B39,D39,B40,D40,B45,D45,B10B46,D46,B47,D47,B48,B49,D54,B55,D55,B56,D56,R10,T10,R11,T11,T12,R13,T13,R18,T18,R19,T19,R20,T20,R21,T21,R22,T27,R28,T28,R29,T29,R30,T30,R31,T31,R37,T37,R38,T38,R39,T39,R40,T40,R45,T45,R46,T46,R47,T47,R48,T48,T54,R55,T55)</f>
        <v>75</v>
      </c>
      <c r="AD21">
        <v>76</v>
      </c>
    </row>
    <row r="22" spans="1:30">
      <c r="A22" s="82">
        <f t="shared" si="2"/>
        <v>42239</v>
      </c>
      <c r="B22" s="81">
        <f t="shared" si="2"/>
        <v>42240</v>
      </c>
      <c r="C22" s="82">
        <f t="shared" si="2"/>
        <v>42241</v>
      </c>
      <c r="D22" s="82">
        <f t="shared" si="2"/>
        <v>42242</v>
      </c>
      <c r="E22" s="82">
        <f t="shared" si="2"/>
        <v>42243</v>
      </c>
      <c r="F22" s="82">
        <f t="shared" si="2"/>
        <v>42244</v>
      </c>
      <c r="G22" s="82">
        <f t="shared" si="2"/>
        <v>42245</v>
      </c>
      <c r="I22" s="17"/>
      <c r="J22" s="317"/>
      <c r="K22" s="54"/>
      <c r="L22" s="96"/>
      <c r="M22" s="96"/>
      <c r="N22" s="99"/>
      <c r="O22" s="99"/>
      <c r="P22" s="99"/>
      <c r="Q22" s="82">
        <f t="shared" si="3"/>
        <v>42428</v>
      </c>
      <c r="R22" s="369">
        <f t="shared" si="3"/>
        <v>42429</v>
      </c>
      <c r="S22" s="82" t="str">
        <f t="shared" si="3"/>
        <v/>
      </c>
      <c r="T22" s="82" t="str">
        <f t="shared" si="3"/>
        <v/>
      </c>
      <c r="U22" s="82" t="str">
        <f t="shared" si="3"/>
        <v/>
      </c>
      <c r="V22" s="82" t="str">
        <f t="shared" si="3"/>
        <v/>
      </c>
      <c r="W22" s="82" t="str">
        <f t="shared" si="3"/>
        <v/>
      </c>
      <c r="X22" s="53"/>
      <c r="Y22" s="54"/>
      <c r="Z22" s="87"/>
      <c r="AA22" s="87"/>
      <c r="AB22" t="s">
        <v>120</v>
      </c>
      <c r="AD22" s="316" t="s">
        <v>155</v>
      </c>
    </row>
    <row r="23" spans="1:30">
      <c r="A23" s="82">
        <f t="shared" si="2"/>
        <v>42246</v>
      </c>
      <c r="B23" s="82">
        <f t="shared" si="2"/>
        <v>42247</v>
      </c>
      <c r="C23" s="82" t="str">
        <f t="shared" si="2"/>
        <v/>
      </c>
      <c r="D23" s="82" t="str">
        <f t="shared" si="2"/>
        <v/>
      </c>
      <c r="E23" s="82" t="str">
        <f t="shared" si="2"/>
        <v/>
      </c>
      <c r="F23" s="82" t="str">
        <f t="shared" si="2"/>
        <v/>
      </c>
      <c r="G23" s="82" t="str">
        <f t="shared" si="2"/>
        <v/>
      </c>
      <c r="I23" s="17"/>
      <c r="J23" s="85"/>
      <c r="K23" s="54"/>
      <c r="L23" s="96"/>
      <c r="M23" s="96"/>
      <c r="N23" s="99"/>
      <c r="O23" s="99"/>
      <c r="P23" s="99"/>
      <c r="Q23" s="115" t="str">
        <f t="shared" si="3"/>
        <v/>
      </c>
      <c r="R23" s="115" t="str">
        <f t="shared" si="3"/>
        <v/>
      </c>
      <c r="S23" s="115" t="str">
        <f t="shared" si="3"/>
        <v/>
      </c>
      <c r="T23" s="115" t="str">
        <f t="shared" si="3"/>
        <v/>
      </c>
      <c r="U23" s="115" t="str">
        <f t="shared" si="3"/>
        <v/>
      </c>
      <c r="V23" s="115" t="str">
        <f t="shared" si="3"/>
        <v/>
      </c>
      <c r="W23" s="115" t="str">
        <f t="shared" si="3"/>
        <v/>
      </c>
      <c r="X23" s="53"/>
      <c r="Y23" s="54"/>
      <c r="Z23" s="99"/>
      <c r="AA23" s="99"/>
      <c r="AB23" t="s">
        <v>151</v>
      </c>
      <c r="AC23">
        <f>COUNT(C19,E19,C28,E28,E27,E37,C37,C38,C45,E45,C46,C54,E54,C55,S10,S11,U10,S18,U18,S19,S27,S28,U27,S37,U37,S38,S45,U45,S48,U48,S49)+COUNT(C22,E22,C29,E29,C39,E39,C47,E47,E55,C56,S46,U46,S55,U54,U39,S39,S29,U29,S20,U20,U12,S12)</f>
        <v>53</v>
      </c>
      <c r="AD23" s="316" t="s">
        <v>154</v>
      </c>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B25" t="s">
        <v>2</v>
      </c>
      <c r="AC25">
        <f>COUNT(C10,C10:C13,E10:E13,C19,E19,C28:C31,E28:E30,C37:C39,E36:E39,C46:C47,E45:E47, S12:S13,U12:U13,S18:S20,U18:U20,S27:S29,U27:U29, S31,U31,S37:S40,U37:U39,S46:S48,U46:U47)</f>
        <v>60</v>
      </c>
      <c r="AD25" s="316">
        <v>60</v>
      </c>
    </row>
    <row r="26" spans="1:30">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B26" t="s">
        <v>127</v>
      </c>
      <c r="AC26">
        <f>COUNT(C10,C10:C13,E10:E13,C19,E19,C22,E22,C28:C31,E27:E30,C37:C40,E36:E40,C45:C47,E45:E47, S12:S13,U12:U13,S18:S21,U18:U20,S27:S29,U27:U29, S31,U31,S37:S40,U37:U39,S46:S48,U46:U48)</f>
        <v>68</v>
      </c>
      <c r="AD26" s="316">
        <v>68</v>
      </c>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114">
        <f t="shared" si="4"/>
        <v>42248</v>
      </c>
      <c r="D27" s="82">
        <f t="shared" si="4"/>
        <v>42249</v>
      </c>
      <c r="E27" s="82">
        <f t="shared" si="4"/>
        <v>42250</v>
      </c>
      <c r="F27" s="82">
        <f t="shared" si="4"/>
        <v>42251</v>
      </c>
      <c r="G27" s="82">
        <f t="shared" si="4"/>
        <v>42252</v>
      </c>
      <c r="I27" s="17"/>
      <c r="J27" s="317" t="s">
        <v>337</v>
      </c>
      <c r="K27" s="54"/>
      <c r="L27" s="96"/>
      <c r="M27" s="96"/>
      <c r="N27" s="99"/>
      <c r="O27" s="99"/>
      <c r="P27" s="99"/>
      <c r="Q27" s="82" t="str">
        <f t="shared" ref="Q27:W32" si="5">IF(MONTH($Q$25)&lt;&gt;MONTH($Q$25-(WEEKDAY($Q$25,1)-($I$4-1))-IF((WEEKDAY($Q$25,1)-($I$4-1))&lt;=0,7,0)+(ROW(Q27)-ROW($Q$27))*7+(COLUMN(Q27)-COLUMN($Q$27)+1)),"",$Q$25-(WEEKDAY($Q$25,1)-($I$4-1))-IF((WEEKDAY($Q$25,1)-($I$4-1))&lt;=0,7,0)+(ROW(Q27)-ROW($Q$27))*7+(COLUMN(Q27)-COLUMN($Q$27)+1))</f>
        <v/>
      </c>
      <c r="R27" s="82" t="str">
        <f t="shared" si="5"/>
        <v/>
      </c>
      <c r="S27" s="408">
        <f t="shared" si="5"/>
        <v>42430</v>
      </c>
      <c r="T27" s="82">
        <f t="shared" si="5"/>
        <v>42431</v>
      </c>
      <c r="U27" s="369">
        <f t="shared" si="5"/>
        <v>42432</v>
      </c>
      <c r="V27" s="82">
        <f t="shared" si="5"/>
        <v>42433</v>
      </c>
      <c r="W27" s="82">
        <f t="shared" si="5"/>
        <v>42434</v>
      </c>
      <c r="X27" s="54"/>
      <c r="Y27" s="54"/>
      <c r="Z27" s="97"/>
      <c r="AA27" s="97"/>
      <c r="AB27" t="s">
        <v>128</v>
      </c>
      <c r="AC27">
        <f>COUNT(C10,C10:C13,E10:E13,C19,E19,C28:C31,E28:E30,C37:C39,E36:E39,C46:C47,E45:E47, S12:S13,U12:U13,S18:S20,U18:U20,S27:S29,U27:U29, S31,U31,S37:S40,U37:U39,S46:S48,U46:U47)</f>
        <v>60</v>
      </c>
      <c r="AD27" s="316">
        <v>60</v>
      </c>
    </row>
    <row r="28" spans="1:30" ht="15.75" thickBot="1">
      <c r="A28" s="111">
        <f t="shared" si="4"/>
        <v>42253</v>
      </c>
      <c r="B28" s="377">
        <f t="shared" si="4"/>
        <v>42254</v>
      </c>
      <c r="C28" s="114">
        <f t="shared" si="4"/>
        <v>42255</v>
      </c>
      <c r="D28" s="379">
        <f t="shared" si="4"/>
        <v>42256</v>
      </c>
      <c r="E28" s="82">
        <f t="shared" si="4"/>
        <v>42257</v>
      </c>
      <c r="F28" s="82">
        <f t="shared" si="4"/>
        <v>42258</v>
      </c>
      <c r="G28" s="112">
        <f t="shared" si="4"/>
        <v>42259</v>
      </c>
      <c r="I28" s="17"/>
      <c r="J28" s="290"/>
      <c r="K28" s="54"/>
      <c r="L28" s="96"/>
      <c r="M28" s="96"/>
      <c r="N28" s="87"/>
      <c r="O28" s="87"/>
      <c r="P28" s="99"/>
      <c r="Q28" s="82">
        <f t="shared" si="5"/>
        <v>42435</v>
      </c>
      <c r="R28" s="376">
        <f t="shared" si="5"/>
        <v>42436</v>
      </c>
      <c r="S28" s="409">
        <f t="shared" si="5"/>
        <v>42437</v>
      </c>
      <c r="T28" s="379">
        <f t="shared" si="5"/>
        <v>42438</v>
      </c>
      <c r="U28" s="369">
        <f t="shared" si="5"/>
        <v>42439</v>
      </c>
      <c r="V28" s="82">
        <f t="shared" si="5"/>
        <v>42440</v>
      </c>
      <c r="W28" s="82">
        <f t="shared" si="5"/>
        <v>42441</v>
      </c>
      <c r="X28" s="291"/>
      <c r="Y28" s="56"/>
      <c r="Z28" s="96"/>
      <c r="AA28" s="88"/>
      <c r="AB28" s="99" t="s">
        <v>142</v>
      </c>
      <c r="AD28" s="316" t="s">
        <v>143</v>
      </c>
    </row>
    <row r="29" spans="1:30" ht="15.75" thickBot="1">
      <c r="A29" s="111">
        <f t="shared" si="4"/>
        <v>42260</v>
      </c>
      <c r="B29" s="376">
        <f t="shared" si="4"/>
        <v>42261</v>
      </c>
      <c r="C29" s="126">
        <f t="shared" si="4"/>
        <v>42262</v>
      </c>
      <c r="D29" s="112">
        <f t="shared" si="4"/>
        <v>42263</v>
      </c>
      <c r="E29" s="82">
        <f t="shared" si="4"/>
        <v>42264</v>
      </c>
      <c r="F29" s="82">
        <f t="shared" si="4"/>
        <v>42265</v>
      </c>
      <c r="G29" s="112">
        <f t="shared" si="4"/>
        <v>42266</v>
      </c>
      <c r="I29" s="17"/>
      <c r="J29" s="85"/>
      <c r="K29" s="54"/>
      <c r="L29" s="96"/>
      <c r="M29" s="96"/>
      <c r="N29" s="87"/>
      <c r="O29" s="87"/>
      <c r="P29" s="99"/>
      <c r="Q29" s="82">
        <f t="shared" si="5"/>
        <v>42442</v>
      </c>
      <c r="R29" s="369">
        <f t="shared" si="5"/>
        <v>42443</v>
      </c>
      <c r="S29" s="410">
        <f t="shared" si="5"/>
        <v>42444</v>
      </c>
      <c r="T29" s="82">
        <f t="shared" si="5"/>
        <v>42445</v>
      </c>
      <c r="U29" s="369">
        <f t="shared" si="5"/>
        <v>42446</v>
      </c>
      <c r="V29" s="82">
        <f t="shared" si="5"/>
        <v>42447</v>
      </c>
      <c r="W29" s="82">
        <f t="shared" si="5"/>
        <v>42448</v>
      </c>
      <c r="X29" s="96"/>
      <c r="Y29" s="56"/>
      <c r="AA29" s="88"/>
      <c r="AB29" s="99" t="s">
        <v>147</v>
      </c>
      <c r="AC29">
        <f>COUNT(F30,F39,F47,V19,V28,V37,V46)</f>
        <v>7</v>
      </c>
      <c r="AD29" s="316" t="s">
        <v>148</v>
      </c>
    </row>
    <row r="30" spans="1:30">
      <c r="A30" s="111">
        <f t="shared" si="4"/>
        <v>42267</v>
      </c>
      <c r="B30" s="369">
        <f t="shared" si="4"/>
        <v>42268</v>
      </c>
      <c r="C30" s="115">
        <f t="shared" si="4"/>
        <v>42269</v>
      </c>
      <c r="D30" s="82">
        <f t="shared" si="4"/>
        <v>42270</v>
      </c>
      <c r="E30" s="348">
        <f t="shared" si="4"/>
        <v>42271</v>
      </c>
      <c r="F30" s="82">
        <f t="shared" si="4"/>
        <v>42272</v>
      </c>
      <c r="G30" s="112">
        <f t="shared" si="4"/>
        <v>42273</v>
      </c>
      <c r="H30" s="23"/>
      <c r="I30" s="24"/>
      <c r="J30" s="96"/>
      <c r="K30" s="96"/>
      <c r="L30" s="87"/>
      <c r="M30" s="87"/>
      <c r="P30" s="99"/>
      <c r="Q30" s="82">
        <f t="shared" si="5"/>
        <v>42449</v>
      </c>
      <c r="R30" s="369">
        <f t="shared" si="5"/>
        <v>42450</v>
      </c>
      <c r="S30" s="369">
        <f t="shared" si="5"/>
        <v>42451</v>
      </c>
      <c r="T30" s="82">
        <f t="shared" si="5"/>
        <v>42452</v>
      </c>
      <c r="U30" s="411">
        <f t="shared" si="5"/>
        <v>42453</v>
      </c>
      <c r="V30" s="84">
        <f t="shared" si="5"/>
        <v>42454</v>
      </c>
      <c r="W30" s="82">
        <f t="shared" si="5"/>
        <v>42455</v>
      </c>
      <c r="X30" s="291"/>
      <c r="Y30" s="56"/>
      <c r="Z30" s="88"/>
      <c r="AA30" s="88"/>
      <c r="AB30" s="99" t="s">
        <v>152</v>
      </c>
      <c r="AD30" s="316" t="s">
        <v>153</v>
      </c>
    </row>
    <row r="31" spans="1:30">
      <c r="A31" s="82">
        <f t="shared" si="4"/>
        <v>42274</v>
      </c>
      <c r="B31" s="369">
        <f t="shared" si="4"/>
        <v>42275</v>
      </c>
      <c r="C31" s="82">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81">
        <f t="shared" si="5"/>
        <v>42457</v>
      </c>
      <c r="S31" s="369">
        <f t="shared" si="5"/>
        <v>42458</v>
      </c>
      <c r="T31" s="82">
        <f t="shared" si="5"/>
        <v>42459</v>
      </c>
      <c r="U31" s="369">
        <f t="shared" si="5"/>
        <v>42460</v>
      </c>
      <c r="V31" s="82" t="str">
        <f t="shared" si="5"/>
        <v/>
      </c>
      <c r="W31" s="82" t="str">
        <f t="shared" si="5"/>
        <v/>
      </c>
      <c r="AA31" s="99"/>
      <c r="AB31" s="99" t="s">
        <v>15</v>
      </c>
      <c r="AD31" s="316" t="s">
        <v>146</v>
      </c>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8"/>
      <c r="Y32" s="55"/>
      <c r="Z32" s="99"/>
      <c r="AA32" s="99"/>
      <c r="AB32" s="99" t="s">
        <v>14</v>
      </c>
      <c r="AD32" s="316" t="s">
        <v>145</v>
      </c>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X34" s="319"/>
      <c r="Y34" s="54"/>
      <c r="Z34" s="99"/>
      <c r="AA34" s="99"/>
      <c r="AB34" s="99" t="s">
        <v>141</v>
      </c>
      <c r="AD34" s="316" t="s">
        <v>144</v>
      </c>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t="s">
        <v>149</v>
      </c>
      <c r="AD35" s="316" t="s">
        <v>150</v>
      </c>
    </row>
    <row r="36" spans="1:30" ht="15.75" thickBot="1">
      <c r="A36" s="111"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82">
        <f t="shared" si="6"/>
        <v>42278</v>
      </c>
      <c r="F36" s="82">
        <f t="shared" si="6"/>
        <v>42279</v>
      </c>
      <c r="G36" s="112">
        <f t="shared" si="6"/>
        <v>42280</v>
      </c>
      <c r="H36" s="46"/>
      <c r="I36" s="47"/>
      <c r="J36" s="85"/>
      <c r="K36" s="85"/>
      <c r="L36" s="96"/>
      <c r="M36" s="96"/>
      <c r="N36" s="99"/>
      <c r="O36" s="99"/>
      <c r="P36" s="99"/>
      <c r="Q36" s="82" t="str">
        <f t="shared" ref="Q36:W41" si="7">IF(MONTH($Q$34)&lt;&gt;MONTH($Q$34-(WEEKDAY($Q$34,1)-($I$4-1))-IF((WEEKDAY($Q$34,1)-($I$4-1))&lt;=0,7,0)+(ROW(Q36)-ROW($Q$36))*7+(COLUMN(Q36)-COLUMN($Q$36)+1)),"",$Q$34-(WEEKDAY($Q$34,1)-($I$4-1))-IF((WEEKDAY($Q$34,1)-($I$4-1))&lt;=0,7,0)+(ROW(Q36)-ROW($Q$36))*7+(COLUMN(Q36)-COLUMN($Q$36)+1))</f>
        <v/>
      </c>
      <c r="R36" s="82" t="str">
        <f t="shared" si="7"/>
        <v/>
      </c>
      <c r="S36" s="82" t="str">
        <f t="shared" si="7"/>
        <v/>
      </c>
      <c r="T36" s="82" t="str">
        <f t="shared" si="7"/>
        <v/>
      </c>
      <c r="U36" s="83" t="str">
        <f t="shared" si="7"/>
        <v/>
      </c>
      <c r="V36" s="82">
        <f t="shared" si="7"/>
        <v>42461</v>
      </c>
      <c r="W36" s="82">
        <f t="shared" si="7"/>
        <v>42462</v>
      </c>
      <c r="X36" s="57"/>
      <c r="Y36" s="55"/>
      <c r="Z36" s="99"/>
      <c r="AA36" s="99"/>
      <c r="AB36" s="99"/>
    </row>
    <row r="37" spans="1:30" ht="15.75" thickBot="1">
      <c r="A37" s="111">
        <f t="shared" si="6"/>
        <v>42281</v>
      </c>
      <c r="B37" s="81">
        <f t="shared" si="6"/>
        <v>42282</v>
      </c>
      <c r="C37" s="114">
        <f t="shared" si="6"/>
        <v>42283</v>
      </c>
      <c r="D37" s="82">
        <f t="shared" si="6"/>
        <v>42284</v>
      </c>
      <c r="E37" s="82">
        <f t="shared" si="6"/>
        <v>42285</v>
      </c>
      <c r="F37" s="348">
        <f t="shared" si="6"/>
        <v>42286</v>
      </c>
      <c r="G37" s="112">
        <f t="shared" si="6"/>
        <v>42287</v>
      </c>
      <c r="I37" s="17"/>
      <c r="J37" s="290"/>
      <c r="K37" s="107"/>
      <c r="L37" s="101"/>
      <c r="M37" s="101"/>
      <c r="N37" s="99"/>
      <c r="O37" s="99"/>
      <c r="P37" s="99"/>
      <c r="Q37" s="82">
        <f t="shared" si="7"/>
        <v>42463</v>
      </c>
      <c r="R37" s="369">
        <f t="shared" si="7"/>
        <v>42464</v>
      </c>
      <c r="S37" s="408">
        <f t="shared" si="7"/>
        <v>42465</v>
      </c>
      <c r="T37" s="82">
        <f t="shared" si="7"/>
        <v>42466</v>
      </c>
      <c r="U37" s="369">
        <f t="shared" si="7"/>
        <v>42467</v>
      </c>
      <c r="V37" s="348">
        <f t="shared" si="7"/>
        <v>42468</v>
      </c>
      <c r="W37" s="82">
        <f t="shared" si="7"/>
        <v>42469</v>
      </c>
      <c r="X37" s="290" t="s">
        <v>335</v>
      </c>
      <c r="Y37" s="56"/>
      <c r="AA37" s="88"/>
      <c r="AB37" s="99"/>
    </row>
    <row r="38" spans="1:30" ht="15.75" thickBot="1">
      <c r="A38" s="111">
        <f t="shared" si="6"/>
        <v>42288</v>
      </c>
      <c r="B38" s="376">
        <f t="shared" si="6"/>
        <v>42289</v>
      </c>
      <c r="C38" s="126">
        <f t="shared" si="6"/>
        <v>42290</v>
      </c>
      <c r="D38" s="112">
        <f t="shared" si="6"/>
        <v>42291</v>
      </c>
      <c r="E38" s="82">
        <f t="shared" si="6"/>
        <v>42292</v>
      </c>
      <c r="F38" s="82">
        <f t="shared" si="6"/>
        <v>42293</v>
      </c>
      <c r="G38" s="112">
        <f t="shared" si="6"/>
        <v>42294</v>
      </c>
      <c r="H38" s="27"/>
      <c r="I38" s="28"/>
      <c r="J38" s="85"/>
      <c r="K38" s="85"/>
      <c r="L38" s="96"/>
      <c r="M38" s="96"/>
      <c r="N38" s="87"/>
      <c r="O38" s="87"/>
      <c r="P38" s="99"/>
      <c r="Q38" s="82">
        <f t="shared" si="7"/>
        <v>42470</v>
      </c>
      <c r="R38" s="376">
        <f t="shared" si="7"/>
        <v>42471</v>
      </c>
      <c r="S38" s="409">
        <f t="shared" si="7"/>
        <v>42472</v>
      </c>
      <c r="T38" s="112">
        <f t="shared" si="7"/>
        <v>42473</v>
      </c>
      <c r="U38" s="369">
        <f t="shared" si="7"/>
        <v>42474</v>
      </c>
      <c r="V38" s="82">
        <f t="shared" si="7"/>
        <v>42475</v>
      </c>
      <c r="W38" s="82">
        <f t="shared" si="7"/>
        <v>42476</v>
      </c>
      <c r="AA38" s="88"/>
      <c r="AB38" s="99"/>
    </row>
    <row r="39" spans="1:30">
      <c r="A39" s="111">
        <f t="shared" si="6"/>
        <v>42295</v>
      </c>
      <c r="B39" s="369">
        <f t="shared" si="6"/>
        <v>42296</v>
      </c>
      <c r="C39" s="115">
        <f t="shared" si="6"/>
        <v>42297</v>
      </c>
      <c r="D39" s="82">
        <f t="shared" si="6"/>
        <v>42298</v>
      </c>
      <c r="E39" s="82">
        <f t="shared" si="6"/>
        <v>42299</v>
      </c>
      <c r="F39" s="348">
        <f>IF(MONTH($A$34)&lt;&gt;MONTH($A$34-(WEEKDAY($A$34,1)-($I$4-1))-IF((WEEKDAY($A$34,1)-($I$4-1))&lt;=0,7,0)+(ROW(F39)-ROW($A$36))*7+(COLUMN(F39)-COLUMN($A$36)+1)),"",$A$34-(WEEKDAY($A$34,1)-($I$4-1))-IF((WEEKDAY($A$34,1)-($I$4-1))&lt;=0,7,0)+(ROW(F39)-ROW($A$36))*7+(COLUMN(F39)-COLUMN($A$36)+1))</f>
        <v>42300</v>
      </c>
      <c r="G39" s="112">
        <f t="shared" si="6"/>
        <v>42301</v>
      </c>
      <c r="H39" s="22"/>
      <c r="I39" s="17"/>
      <c r="J39" s="96"/>
      <c r="K39" s="85"/>
      <c r="M39" s="96"/>
      <c r="N39" s="87"/>
      <c r="O39" s="87"/>
      <c r="P39" s="99"/>
      <c r="Q39" s="82">
        <f t="shared" si="7"/>
        <v>42477</v>
      </c>
      <c r="R39" s="369">
        <f t="shared" si="7"/>
        <v>42478</v>
      </c>
      <c r="S39" s="410">
        <f t="shared" si="7"/>
        <v>42479</v>
      </c>
      <c r="T39" s="82">
        <f t="shared" si="7"/>
        <v>42480</v>
      </c>
      <c r="U39" s="369">
        <f t="shared" si="7"/>
        <v>42481</v>
      </c>
      <c r="V39" s="348">
        <f t="shared" si="7"/>
        <v>42482</v>
      </c>
      <c r="W39" s="82">
        <f t="shared" si="7"/>
        <v>42483</v>
      </c>
      <c r="X39" s="291"/>
      <c r="Y39" s="56"/>
      <c r="Z39" s="88"/>
      <c r="AA39" s="88"/>
      <c r="AB39" s="99"/>
      <c r="AC39" s="321"/>
    </row>
    <row r="40" spans="1:30">
      <c r="A40" s="111">
        <f t="shared" si="6"/>
        <v>42302</v>
      </c>
      <c r="B40" s="369">
        <f t="shared" si="6"/>
        <v>42303</v>
      </c>
      <c r="C40" s="82">
        <f t="shared" si="6"/>
        <v>42304</v>
      </c>
      <c r="D40" s="82">
        <f t="shared" si="6"/>
        <v>42305</v>
      </c>
      <c r="E40" s="82">
        <f t="shared" si="6"/>
        <v>42306</v>
      </c>
      <c r="F40" s="82">
        <f t="shared" si="6"/>
        <v>42307</v>
      </c>
      <c r="G40" s="112">
        <f t="shared" si="6"/>
        <v>42308</v>
      </c>
      <c r="H40" s="23"/>
      <c r="I40" s="24"/>
      <c r="J40" s="317"/>
      <c r="K40" s="55"/>
      <c r="L40" s="96"/>
      <c r="M40" s="96"/>
      <c r="N40" s="87"/>
      <c r="O40" s="87"/>
      <c r="P40" s="99"/>
      <c r="Q40" s="82">
        <f t="shared" si="7"/>
        <v>42484</v>
      </c>
      <c r="R40" s="369">
        <f t="shared" si="7"/>
        <v>42485</v>
      </c>
      <c r="S40" s="369">
        <f t="shared" si="7"/>
        <v>42486</v>
      </c>
      <c r="T40" s="82">
        <f t="shared" si="7"/>
        <v>42487</v>
      </c>
      <c r="U40" s="369">
        <f t="shared" si="7"/>
        <v>42488</v>
      </c>
      <c r="V40" s="82">
        <f t="shared" si="7"/>
        <v>42489</v>
      </c>
      <c r="W40" s="82">
        <f t="shared" si="7"/>
        <v>42490</v>
      </c>
      <c r="X40" s="108"/>
      <c r="Y40" s="54"/>
      <c r="Z40" s="97"/>
      <c r="AA40" s="97"/>
      <c r="AB40" s="99"/>
      <c r="AC40" s="97"/>
    </row>
    <row r="41" spans="1:30">
      <c r="A41" s="84" t="str">
        <f t="shared" si="6"/>
        <v/>
      </c>
      <c r="B41" s="82" t="str">
        <f t="shared" si="6"/>
        <v/>
      </c>
      <c r="C41" s="84" t="str">
        <f t="shared" si="6"/>
        <v/>
      </c>
      <c r="D41" s="84" t="str">
        <f t="shared" si="6"/>
        <v/>
      </c>
      <c r="E41" s="84" t="str">
        <f t="shared" si="6"/>
        <v/>
      </c>
      <c r="F41" s="84" t="str">
        <f t="shared" si="6"/>
        <v/>
      </c>
      <c r="G41" s="84"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369">
        <f t="shared" si="8"/>
        <v>42310</v>
      </c>
      <c r="C45" s="114">
        <f t="shared" si="8"/>
        <v>42311</v>
      </c>
      <c r="D45" s="82">
        <f t="shared" si="8"/>
        <v>42312</v>
      </c>
      <c r="E45" s="348">
        <f t="shared" si="8"/>
        <v>42313</v>
      </c>
      <c r="F45" s="82">
        <f t="shared" si="8"/>
        <v>42314</v>
      </c>
      <c r="G45" s="112">
        <f t="shared" si="8"/>
        <v>42315</v>
      </c>
      <c r="I45" s="17"/>
      <c r="J45" s="290"/>
      <c r="K45" s="54"/>
      <c r="L45" s="96"/>
      <c r="M45" s="96"/>
      <c r="N45" s="99"/>
      <c r="O45" s="99"/>
      <c r="P45" s="99"/>
      <c r="Q45" s="82">
        <f t="shared" ref="Q45:W50" si="9">IF(MONTH($Q$43)&lt;&gt;MONTH($Q$43-(WEEKDAY($Q$43,1)-($I$4-1))-IF((WEEKDAY($Q$43,1)-($I$4-1))&lt;=0,7,0)+(ROW(Q45)-ROW($Q$45))*7+(COLUMN(Q45)-COLUMN($Q$45)+1)),"",$Q$43-(WEEKDAY($Q$43,1)-($I$4-1))-IF((WEEKDAY($Q$43,1)-($I$4-1))&lt;=0,7,0)+(ROW(Q45)-ROW($Q$45))*7+(COLUMN(Q45)-COLUMN($Q$45)+1))</f>
        <v>42491</v>
      </c>
      <c r="R45" s="369">
        <f t="shared" si="9"/>
        <v>42492</v>
      </c>
      <c r="S45" s="408">
        <f t="shared" si="9"/>
        <v>42493</v>
      </c>
      <c r="T45" s="82">
        <f t="shared" si="9"/>
        <v>42494</v>
      </c>
      <c r="U45" s="369">
        <f t="shared" si="9"/>
        <v>42495</v>
      </c>
      <c r="V45" s="82">
        <f t="shared" si="9"/>
        <v>42496</v>
      </c>
      <c r="W45" s="82">
        <f t="shared" si="9"/>
        <v>42497</v>
      </c>
      <c r="X45" s="54"/>
      <c r="Y45" s="54"/>
      <c r="Z45" s="99"/>
      <c r="AA45" s="99"/>
      <c r="AB45" s="99"/>
    </row>
    <row r="46" spans="1:30" ht="15.75" thickBot="1">
      <c r="A46" s="111">
        <f t="shared" si="8"/>
        <v>42316</v>
      </c>
      <c r="B46" s="376">
        <f t="shared" si="8"/>
        <v>42317</v>
      </c>
      <c r="C46" s="126">
        <f t="shared" si="8"/>
        <v>42318</v>
      </c>
      <c r="D46" s="112">
        <f t="shared" si="8"/>
        <v>42319</v>
      </c>
      <c r="E46" s="82">
        <f t="shared" si="8"/>
        <v>42320</v>
      </c>
      <c r="F46" s="82">
        <f t="shared" si="8"/>
        <v>42321</v>
      </c>
      <c r="G46" s="112">
        <f t="shared" si="8"/>
        <v>42322</v>
      </c>
      <c r="I46" s="17"/>
      <c r="J46" s="85"/>
      <c r="K46" s="85"/>
      <c r="L46" s="96"/>
      <c r="M46" s="96"/>
      <c r="N46" s="99"/>
      <c r="O46" s="99"/>
      <c r="P46" s="99"/>
      <c r="Q46" s="82">
        <f t="shared" si="9"/>
        <v>42498</v>
      </c>
      <c r="R46" s="378">
        <f t="shared" si="9"/>
        <v>42499</v>
      </c>
      <c r="S46" s="409">
        <f t="shared" si="9"/>
        <v>42500</v>
      </c>
      <c r="T46" s="112">
        <f t="shared" si="9"/>
        <v>42501</v>
      </c>
      <c r="U46" s="369">
        <f t="shared" si="9"/>
        <v>42502</v>
      </c>
      <c r="V46" s="82">
        <f t="shared" si="9"/>
        <v>42503</v>
      </c>
      <c r="W46" s="82">
        <f t="shared" si="9"/>
        <v>42504</v>
      </c>
      <c r="X46" s="291"/>
      <c r="Y46" s="55"/>
      <c r="Z46" s="97"/>
      <c r="AA46" s="97"/>
      <c r="AB46" s="99"/>
    </row>
    <row r="47" spans="1:30">
      <c r="A47" s="111">
        <f t="shared" si="8"/>
        <v>42323</v>
      </c>
      <c r="B47" s="369">
        <f t="shared" si="8"/>
        <v>42324</v>
      </c>
      <c r="C47" s="115">
        <f t="shared" si="8"/>
        <v>42325</v>
      </c>
      <c r="D47" s="82">
        <f t="shared" si="8"/>
        <v>42326</v>
      </c>
      <c r="E47" s="348">
        <f t="shared" si="8"/>
        <v>42327</v>
      </c>
      <c r="F47" s="82">
        <f t="shared" si="8"/>
        <v>42328</v>
      </c>
      <c r="G47" s="112">
        <f t="shared" si="8"/>
        <v>42329</v>
      </c>
      <c r="I47" s="17"/>
      <c r="J47" s="96"/>
      <c r="K47" s="85"/>
      <c r="M47" s="96"/>
      <c r="N47" s="99"/>
      <c r="O47" s="99"/>
      <c r="P47" s="99"/>
      <c r="Q47" s="82">
        <f t="shared" si="9"/>
        <v>42505</v>
      </c>
      <c r="R47" s="369">
        <f t="shared" si="9"/>
        <v>42506</v>
      </c>
      <c r="S47" s="410">
        <f t="shared" si="9"/>
        <v>42507</v>
      </c>
      <c r="T47" s="82">
        <f t="shared" si="9"/>
        <v>42508</v>
      </c>
      <c r="U47" s="369">
        <f t="shared" si="9"/>
        <v>42509</v>
      </c>
      <c r="V47" s="82">
        <f t="shared" si="9"/>
        <v>42510</v>
      </c>
      <c r="W47" s="82">
        <f t="shared" si="9"/>
        <v>42511</v>
      </c>
      <c r="X47" s="96"/>
      <c r="Y47" s="56"/>
      <c r="AA47" s="88"/>
      <c r="AB47" s="99"/>
    </row>
    <row r="48" spans="1:30">
      <c r="A48" s="111">
        <f t="shared" si="8"/>
        <v>42330</v>
      </c>
      <c r="B48" s="368">
        <f t="shared" si="8"/>
        <v>42331</v>
      </c>
      <c r="C48" s="368">
        <f t="shared" si="8"/>
        <v>42332</v>
      </c>
      <c r="D48" s="368">
        <f t="shared" si="8"/>
        <v>42333</v>
      </c>
      <c r="E48" s="368">
        <f t="shared" si="8"/>
        <v>42334</v>
      </c>
      <c r="F48" s="368">
        <f t="shared" si="8"/>
        <v>42335</v>
      </c>
      <c r="G48" s="112">
        <f t="shared" si="8"/>
        <v>42336</v>
      </c>
      <c r="I48" s="17"/>
      <c r="J48" s="290"/>
      <c r="K48" s="85"/>
      <c r="L48" s="96"/>
      <c r="M48" s="96"/>
      <c r="N48" s="99"/>
      <c r="O48" s="99"/>
      <c r="P48" s="99"/>
      <c r="Q48" s="82">
        <f t="shared" si="9"/>
        <v>42512</v>
      </c>
      <c r="R48" s="369">
        <f t="shared" si="9"/>
        <v>42513</v>
      </c>
      <c r="S48" s="411">
        <f t="shared" si="9"/>
        <v>42514</v>
      </c>
      <c r="T48" s="82">
        <f t="shared" si="9"/>
        <v>42515</v>
      </c>
      <c r="U48" s="369">
        <f t="shared" si="9"/>
        <v>42516</v>
      </c>
      <c r="V48" s="82">
        <f t="shared" si="9"/>
        <v>42517</v>
      </c>
      <c r="W48" s="82">
        <f t="shared" si="9"/>
        <v>42518</v>
      </c>
      <c r="X48" s="375"/>
      <c r="Y48" s="54"/>
      <c r="Z48" s="97"/>
      <c r="AA48" s="97"/>
      <c r="AB48" s="99"/>
    </row>
    <row r="49" spans="1:29">
      <c r="A49" s="111">
        <f t="shared" si="8"/>
        <v>42337</v>
      </c>
      <c r="B49" s="81">
        <f>IF(MONTH($A$43)&lt;&gt;MONTH($A$43-(WEEKDAY($A$43,1)-($I$4-1))-IF((WEEKDAY($A$43,1)-($I$4-1))&lt;=0,7,0)+(ROW(B49)-ROW($A$45))*7+(COLUMN(B49)-COLUMN($A$45)+1)),"",$A$43-(WEEKDAY($A$43,1)-($I$4-1))-IF((WEEKDAY($A$43,1)-($I$4-1))&lt;=0,7,0)+(ROW(B49)-ROW($A$45))*7+(COLUMN(B49)-COLUMN($A$45)+1))</f>
        <v>42338</v>
      </c>
      <c r="C49" s="82" t="str">
        <f t="shared" si="8"/>
        <v/>
      </c>
      <c r="D49" s="90" t="str">
        <f t="shared" si="8"/>
        <v/>
      </c>
      <c r="E49" s="90" t="str">
        <f t="shared" si="8"/>
        <v/>
      </c>
      <c r="F49" s="90" t="str">
        <f t="shared" si="8"/>
        <v/>
      </c>
      <c r="G49" s="371" t="str">
        <f t="shared" si="8"/>
        <v/>
      </c>
      <c r="I49" s="17"/>
      <c r="J49" s="317"/>
      <c r="K49" s="85"/>
      <c r="L49" s="96"/>
      <c r="M49" s="96"/>
      <c r="N49" s="99"/>
      <c r="O49" s="99"/>
      <c r="P49" s="99"/>
      <c r="Q49" s="82">
        <f t="shared" si="9"/>
        <v>42519</v>
      </c>
      <c r="R49" s="368">
        <f t="shared" si="9"/>
        <v>42520</v>
      </c>
      <c r="S49" s="369">
        <f t="shared" si="9"/>
        <v>42521</v>
      </c>
      <c r="T49" s="82" t="str">
        <f t="shared" si="9"/>
        <v/>
      </c>
      <c r="U49" s="82" t="str">
        <f t="shared" si="9"/>
        <v/>
      </c>
      <c r="V49" s="82" t="str">
        <f t="shared" si="9"/>
        <v/>
      </c>
      <c r="W49" s="82" t="str">
        <f t="shared" si="9"/>
        <v/>
      </c>
      <c r="X49" s="109"/>
      <c r="Y49" s="56"/>
      <c r="Z49" s="88"/>
      <c r="AA49" s="88"/>
      <c r="AB49" s="99"/>
    </row>
    <row r="50" spans="1:29">
      <c r="A50" s="82" t="str">
        <f t="shared" si="8"/>
        <v/>
      </c>
      <c r="B50" s="115" t="str">
        <f t="shared" si="8"/>
        <v/>
      </c>
      <c r="C50" s="115" t="str">
        <f t="shared" si="8"/>
        <v/>
      </c>
      <c r="D50" s="115" t="str">
        <f t="shared" si="8"/>
        <v/>
      </c>
      <c r="E50" s="115" t="str">
        <f t="shared" si="8"/>
        <v/>
      </c>
      <c r="F50" s="115" t="str">
        <f t="shared" si="8"/>
        <v/>
      </c>
      <c r="G50" s="82" t="str">
        <f t="shared" si="8"/>
        <v/>
      </c>
      <c r="I50" s="17"/>
      <c r="J50" s="3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c r="A54" s="82" t="str">
        <f t="shared" ref="A54:G59" si="10">IF(MONTH($A$52)&lt;&gt;MONTH($A$52-(WEEKDAY($A$52,1)-($I$4-1))-IF((WEEKDAY($A$52,1)-($I$4-1))&lt;=0,7,0)+(ROW(A54)-ROW($A$54))*7+(COLUMN(A54)-COLUMN($A$54)+1)),"",$A$52-(WEEKDAY($A$52,1)-($I$4-1))-IF((WEEKDAY($A$52,1)-($I$4-1))&lt;=0,7,0)+(ROW(A54)-ROW($A$54))*7+(COLUMN(A54)-COLUMN($A$54)+1))</f>
        <v/>
      </c>
      <c r="B54" s="82" t="str">
        <f t="shared" si="10"/>
        <v/>
      </c>
      <c r="C54" s="82">
        <f t="shared" si="10"/>
        <v>42339</v>
      </c>
      <c r="D54" s="348">
        <f t="shared" si="10"/>
        <v>42340</v>
      </c>
      <c r="E54" s="82">
        <f t="shared" si="10"/>
        <v>42341</v>
      </c>
      <c r="F54" s="82">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82">
        <f t="shared" si="11"/>
        <v>42522</v>
      </c>
      <c r="U54" s="369">
        <f t="shared" si="11"/>
        <v>42523</v>
      </c>
      <c r="V54" s="82">
        <f t="shared" si="11"/>
        <v>42524</v>
      </c>
      <c r="W54" s="82">
        <f t="shared" si="11"/>
        <v>42525</v>
      </c>
      <c r="X54" s="54"/>
      <c r="Y54" s="54"/>
      <c r="Z54" s="97"/>
      <c r="AA54" s="97"/>
      <c r="AB54" s="99"/>
    </row>
    <row r="55" spans="1:29">
      <c r="A55" s="82">
        <f t="shared" si="10"/>
        <v>42344</v>
      </c>
      <c r="B55" s="369">
        <f t="shared" si="10"/>
        <v>42345</v>
      </c>
      <c r="C55" s="82">
        <f t="shared" si="10"/>
        <v>42346</v>
      </c>
      <c r="D55" s="82">
        <f t="shared" si="10"/>
        <v>42347</v>
      </c>
      <c r="E55" s="82">
        <f t="shared" si="10"/>
        <v>42348</v>
      </c>
      <c r="F55" s="82">
        <f t="shared" si="10"/>
        <v>42349</v>
      </c>
      <c r="G55" s="112">
        <f t="shared" si="10"/>
        <v>42350</v>
      </c>
      <c r="I55" s="17"/>
      <c r="J55" s="85"/>
      <c r="K55" s="85"/>
      <c r="L55" s="96"/>
      <c r="M55" s="96"/>
      <c r="N55" s="99"/>
      <c r="O55" s="99"/>
      <c r="P55" s="99"/>
      <c r="Q55" s="82">
        <f t="shared" si="11"/>
        <v>42526</v>
      </c>
      <c r="R55" s="369">
        <f t="shared" si="11"/>
        <v>42527</v>
      </c>
      <c r="S55" s="369">
        <f>IF(MONTH($Q$52)&lt;&gt;MONTH($Q$52-(WEEKDAY($Q$52,1)-($I$4-1))-IF((WEEKDAY($Q$52,1)-($I$4-1))&lt;=0,7,0)+(ROW(S55)-ROW($Q$54))*7+(COLUMN(S55)-COLUMN($Q$54)+1)),"",$Q$52-(WEEKDAY($Q$52,1)-($I$4-1))-IF((WEEKDAY($Q$52,1)-($I$4-1))&lt;=0,7,0)+(ROW(S55)-ROW($Q$54))*7+(COLUMN(S55)-COLUMN($Q$54)+1))</f>
        <v>42528</v>
      </c>
      <c r="T55" s="348">
        <f t="shared" si="11"/>
        <v>42529</v>
      </c>
      <c r="U55" s="369">
        <f t="shared" si="11"/>
        <v>42530</v>
      </c>
      <c r="V55" s="94">
        <f t="shared" si="11"/>
        <v>42531</v>
      </c>
      <c r="W55" s="82">
        <f t="shared" si="11"/>
        <v>42532</v>
      </c>
      <c r="X55" s="291"/>
      <c r="Y55" s="54"/>
      <c r="Z55" s="99"/>
      <c r="AA55" s="99"/>
      <c r="AB55" s="99"/>
    </row>
    <row r="56" spans="1:29">
      <c r="A56" s="82">
        <f t="shared" si="10"/>
        <v>42351</v>
      </c>
      <c r="B56" s="81">
        <f t="shared" si="10"/>
        <v>42352</v>
      </c>
      <c r="C56" s="82">
        <f t="shared" si="10"/>
        <v>42353</v>
      </c>
      <c r="D56" s="82">
        <f t="shared" si="10"/>
        <v>42354</v>
      </c>
      <c r="E56" s="82">
        <f t="shared" si="10"/>
        <v>42355</v>
      </c>
      <c r="F56" s="94">
        <f t="shared" si="10"/>
        <v>42356</v>
      </c>
      <c r="G56" s="372">
        <f t="shared" si="10"/>
        <v>42357</v>
      </c>
      <c r="H56" s="22"/>
      <c r="I56" s="17"/>
      <c r="J56" s="317"/>
      <c r="K56" s="54"/>
      <c r="L56" s="99"/>
      <c r="M56" s="96"/>
      <c r="N56" s="99"/>
      <c r="O56" s="99"/>
      <c r="P56" s="99"/>
      <c r="Q56" s="82">
        <f t="shared" si="11"/>
        <v>42533</v>
      </c>
      <c r="R56" s="369">
        <f t="shared" si="11"/>
        <v>42534</v>
      </c>
      <c r="S56" s="369">
        <f t="shared" si="11"/>
        <v>42535</v>
      </c>
      <c r="T56" s="82">
        <f t="shared" si="11"/>
        <v>42536</v>
      </c>
      <c r="U56" s="369">
        <f t="shared" si="11"/>
        <v>42537</v>
      </c>
      <c r="V56" s="82">
        <f t="shared" si="11"/>
        <v>42538</v>
      </c>
      <c r="W56" s="82">
        <f t="shared" si="11"/>
        <v>42539</v>
      </c>
      <c r="X56" s="317"/>
      <c r="Y56" s="54"/>
      <c r="Z56" s="99"/>
      <c r="AA56" s="99"/>
      <c r="AB56" s="99"/>
    </row>
    <row r="57" spans="1:29">
      <c r="A57" s="92">
        <f t="shared" si="10"/>
        <v>42358</v>
      </c>
      <c r="B57" s="92">
        <f t="shared" si="10"/>
        <v>42359</v>
      </c>
      <c r="C57" s="357">
        <f t="shared" si="10"/>
        <v>42360</v>
      </c>
      <c r="D57" s="92">
        <f t="shared" si="10"/>
        <v>42361</v>
      </c>
      <c r="E57" s="92">
        <f t="shared" si="10"/>
        <v>42362</v>
      </c>
      <c r="F57" s="92">
        <f t="shared" si="10"/>
        <v>42363</v>
      </c>
      <c r="G57" s="373">
        <f t="shared" si="10"/>
        <v>42364</v>
      </c>
      <c r="I57" s="17"/>
      <c r="J57" s="290"/>
      <c r="K57" s="54"/>
      <c r="L57" s="99"/>
      <c r="M57" s="99"/>
      <c r="N57" s="99"/>
      <c r="O57" s="99"/>
      <c r="P57" s="99"/>
      <c r="Q57" s="84">
        <f t="shared" si="11"/>
        <v>42540</v>
      </c>
      <c r="R57" s="467">
        <f t="shared" si="11"/>
        <v>42541</v>
      </c>
      <c r="S57" s="467">
        <f t="shared" si="11"/>
        <v>42542</v>
      </c>
      <c r="T57" s="348">
        <f t="shared" si="11"/>
        <v>42543</v>
      </c>
      <c r="U57" s="467">
        <f t="shared" si="11"/>
        <v>42544</v>
      </c>
      <c r="V57" s="98">
        <f t="shared" si="11"/>
        <v>42545</v>
      </c>
      <c r="W57" s="92">
        <f t="shared" si="11"/>
        <v>42546</v>
      </c>
      <c r="X57" s="291"/>
      <c r="Y57" s="54"/>
      <c r="Z57" s="99"/>
      <c r="AA57" s="99"/>
      <c r="AB57" s="99"/>
    </row>
    <row r="58" spans="1:29" ht="18.75" customHeight="1">
      <c r="A58" s="92">
        <f t="shared" si="10"/>
        <v>42365</v>
      </c>
      <c r="B58" s="92">
        <f t="shared" si="10"/>
        <v>42366</v>
      </c>
      <c r="C58" s="92">
        <f t="shared" si="10"/>
        <v>42367</v>
      </c>
      <c r="D58" s="92">
        <f t="shared" si="10"/>
        <v>42368</v>
      </c>
      <c r="E58" s="92">
        <f t="shared" si="10"/>
        <v>42369</v>
      </c>
      <c r="F58" s="92" t="str">
        <f t="shared" si="10"/>
        <v/>
      </c>
      <c r="G58" s="373" t="str">
        <f t="shared" si="10"/>
        <v/>
      </c>
      <c r="I58" s="17"/>
      <c r="J58" s="85"/>
      <c r="K58" s="54"/>
      <c r="L58" s="99"/>
      <c r="M58" s="99"/>
      <c r="N58" s="99"/>
      <c r="O58" s="99"/>
      <c r="P58" s="99"/>
      <c r="Q58" s="84">
        <f t="shared" si="11"/>
        <v>42547</v>
      </c>
      <c r="R58" s="467">
        <f t="shared" si="11"/>
        <v>42548</v>
      </c>
      <c r="S58" s="467">
        <f t="shared" si="11"/>
        <v>42549</v>
      </c>
      <c r="T58" s="84">
        <f t="shared" si="11"/>
        <v>42550</v>
      </c>
      <c r="U58" s="411">
        <f t="shared" si="11"/>
        <v>42551</v>
      </c>
      <c r="V58" s="81" t="str">
        <f t="shared" si="11"/>
        <v/>
      </c>
      <c r="W58" s="81" t="str">
        <f t="shared" si="11"/>
        <v/>
      </c>
      <c r="X58" s="291" t="s">
        <v>336</v>
      </c>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t="s">
        <v>160</v>
      </c>
      <c r="P61" s="70"/>
      <c r="Q61" s="70"/>
      <c r="R61" s="70"/>
      <c r="S61" s="25"/>
      <c r="T61" s="370"/>
      <c r="U61" s="70" t="s">
        <v>162</v>
      </c>
      <c r="V61" s="74"/>
      <c r="W61" s="25"/>
      <c r="X61" s="72"/>
      <c r="Y61" s="70"/>
      <c r="Z61" s="73"/>
    </row>
    <row r="62" spans="1:29" ht="15.75" thickBot="1">
      <c r="A62" s="45"/>
      <c r="B62" s="70" t="s">
        <v>161</v>
      </c>
      <c r="C62" s="70"/>
      <c r="D62" s="70"/>
      <c r="E62" s="70"/>
      <c r="F62" s="71"/>
      <c r="G62" s="71"/>
      <c r="H62" s="72"/>
      <c r="I62" s="70"/>
      <c r="J62" s="73"/>
      <c r="K62" s="6"/>
      <c r="L62" s="6"/>
      <c r="N62" s="3"/>
      <c r="V62" s="71"/>
      <c r="W62" s="87"/>
      <c r="X62" s="104"/>
      <c r="Y62" s="25"/>
      <c r="Z62" s="25"/>
      <c r="AC62" s="29"/>
    </row>
    <row r="63" spans="1:29">
      <c r="A63" s="292"/>
      <c r="B63" s="293" t="s">
        <v>126</v>
      </c>
      <c r="C63" s="293"/>
      <c r="D63" s="293"/>
      <c r="E63" s="293"/>
      <c r="F63" s="77"/>
      <c r="G63" s="77"/>
      <c r="H63" s="70"/>
      <c r="I63" s="70"/>
      <c r="J63" s="73"/>
      <c r="K63" s="6"/>
      <c r="L63" s="6"/>
      <c r="T63" s="70"/>
      <c r="U63" s="70"/>
      <c r="V63" s="70"/>
      <c r="W63" s="70"/>
      <c r="X63" s="70"/>
      <c r="Y63" s="70"/>
      <c r="Z63" s="70"/>
    </row>
    <row r="64" spans="1:29">
      <c r="B64" s="70"/>
      <c r="C64" s="70"/>
      <c r="D64" s="70"/>
      <c r="E64" s="70"/>
      <c r="F64" s="70"/>
      <c r="G64" s="70"/>
      <c r="H64" s="72"/>
      <c r="I64" s="70"/>
      <c r="J64" s="73"/>
      <c r="K64" s="6"/>
      <c r="L64" s="6"/>
    </row>
    <row r="74" spans="1:24">
      <c r="A74" s="30" t="s">
        <v>20</v>
      </c>
      <c r="H74"/>
      <c r="X74"/>
    </row>
  </sheetData>
  <mergeCells count="21">
    <mergeCell ref="A16:G16"/>
    <mergeCell ref="Q16:W16"/>
    <mergeCell ref="A1:P1"/>
    <mergeCell ref="A2:G2"/>
    <mergeCell ref="R2:X2"/>
    <mergeCell ref="A3:C3"/>
    <mergeCell ref="E3:G3"/>
    <mergeCell ref="I3:L3"/>
    <mergeCell ref="A4:C4"/>
    <mergeCell ref="E4:G4"/>
    <mergeCell ref="I4:L4"/>
    <mergeCell ref="A7:G7"/>
    <mergeCell ref="Q7:W7"/>
    <mergeCell ref="A52:G52"/>
    <mergeCell ref="Q52:W52"/>
    <mergeCell ref="A25:G25"/>
    <mergeCell ref="Q25:W25"/>
    <mergeCell ref="A34:G34"/>
    <mergeCell ref="Q34:W34"/>
    <mergeCell ref="A43:G43"/>
    <mergeCell ref="Q43:W43"/>
  </mergeCells>
  <conditionalFormatting sqref="Q36:W41 Q54:W59 Q45:W50 Q27:W32 Q18:W23 Q9:W14 A54:G59 A45:G50 A36:G41 A27:G32 A9:G14 A18:G23 B61">
    <cfRule type="cellIs" dxfId="5" priority="1" stopIfTrue="1" operator="equal">
      <formula>""</formula>
    </cfRule>
  </conditionalFormatting>
  <hyperlinks>
    <hyperlink ref="A2" r:id="rId1"/>
    <hyperlink ref="A74" r:id="rId2"/>
  </hyperlinks>
  <pageMargins left="0.25" right="0.25" top="0.61093750000000002" bottom="0.5" header="0.3" footer="0.3"/>
  <pageSetup scale="88" orientation="portrait" r:id="rId3"/>
  <headerFooter>
    <oddHeader>&amp;C&amp;20 2015-2016 AIU3 Adult Education Citizenship</oddHeader>
  </headerFooter>
  <drawing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248"/>
  <sheetViews>
    <sheetView workbookViewId="0">
      <pane ySplit="1" topLeftCell="A141" activePane="bottomLeft" state="frozen"/>
      <selection activeCell="AG26" sqref="AG26"/>
      <selection pane="bottomLeft" activeCell="C1" sqref="C1:C1048576"/>
    </sheetView>
  </sheetViews>
  <sheetFormatPr defaultRowHeight="15"/>
  <cols>
    <col min="1" max="1" width="11.85546875" customWidth="1"/>
    <col min="2" max="2" width="16.7109375" customWidth="1"/>
    <col min="3" max="3" width="8.28515625" customWidth="1"/>
    <col min="4" max="4" width="8.42578125" customWidth="1"/>
    <col min="5" max="5" width="8.42578125" bestFit="1" customWidth="1"/>
    <col min="6" max="7" width="8.42578125" customWidth="1"/>
    <col min="8" max="9" width="7" bestFit="1" customWidth="1"/>
    <col min="10" max="10" width="7" customWidth="1"/>
    <col min="11" max="11" width="7" bestFit="1" customWidth="1"/>
    <col min="12" max="12" width="4.28515625" bestFit="1" customWidth="1"/>
    <col min="13" max="13" width="5" customWidth="1"/>
    <col min="14" max="14" width="5.85546875" customWidth="1"/>
    <col min="15" max="15" width="7.28515625" customWidth="1"/>
    <col min="16" max="16" width="8" customWidth="1"/>
    <col min="17" max="17" width="6.140625" customWidth="1"/>
    <col min="18" max="18" width="9" customWidth="1"/>
    <col min="27" max="27" width="25.140625" customWidth="1"/>
  </cols>
  <sheetData>
    <row r="1" spans="1:28" ht="75">
      <c r="A1" s="69" t="s">
        <v>215</v>
      </c>
      <c r="B1" s="69" t="s">
        <v>214</v>
      </c>
      <c r="C1" s="69" t="s">
        <v>206</v>
      </c>
      <c r="D1" s="69" t="s">
        <v>220</v>
      </c>
      <c r="E1" s="69" t="s">
        <v>207</v>
      </c>
      <c r="F1" s="69" t="s">
        <v>247</v>
      </c>
      <c r="G1" s="69" t="s">
        <v>248</v>
      </c>
      <c r="H1" s="69" t="s">
        <v>245</v>
      </c>
      <c r="I1" s="69" t="s">
        <v>246</v>
      </c>
      <c r="J1" s="69" t="s">
        <v>285</v>
      </c>
      <c r="K1" s="69" t="s">
        <v>284</v>
      </c>
      <c r="L1" s="69" t="s">
        <v>233</v>
      </c>
      <c r="M1" s="69" t="s">
        <v>234</v>
      </c>
      <c r="N1" s="69" t="s">
        <v>210</v>
      </c>
      <c r="O1" s="69" t="s">
        <v>211</v>
      </c>
      <c r="P1" s="69" t="s">
        <v>212</v>
      </c>
      <c r="Q1" s="69" t="s">
        <v>213</v>
      </c>
      <c r="R1" s="69" t="s">
        <v>222</v>
      </c>
      <c r="AA1" t="s">
        <v>243</v>
      </c>
    </row>
    <row r="2" spans="1:28" hidden="1">
      <c r="A2" s="416">
        <v>42195</v>
      </c>
      <c r="B2" s="62" t="s">
        <v>12</v>
      </c>
      <c r="C2" s="62"/>
      <c r="D2" s="62">
        <v>6.5</v>
      </c>
      <c r="E2" s="62"/>
      <c r="F2" s="62"/>
      <c r="G2" s="62"/>
      <c r="H2" s="62"/>
      <c r="I2" s="62"/>
      <c r="J2" s="62"/>
      <c r="K2" s="62"/>
      <c r="L2" s="62"/>
      <c r="M2" s="62"/>
      <c r="N2" s="62"/>
      <c r="O2" s="62"/>
      <c r="P2" s="62"/>
      <c r="Q2" s="62"/>
      <c r="R2" s="62"/>
      <c r="S2" s="66" t="s">
        <v>217</v>
      </c>
    </row>
    <row r="3" spans="1:28">
      <c r="A3" s="416">
        <v>42195</v>
      </c>
      <c r="B3" s="62" t="s">
        <v>10</v>
      </c>
      <c r="C3" s="417">
        <v>0</v>
      </c>
      <c r="D3" s="418">
        <v>6.5</v>
      </c>
      <c r="E3" s="62"/>
      <c r="F3" s="62"/>
      <c r="G3" s="62"/>
      <c r="H3" s="62"/>
      <c r="I3" s="62"/>
      <c r="J3" s="62"/>
      <c r="K3" s="62"/>
      <c r="L3" s="62"/>
      <c r="M3" s="62"/>
      <c r="N3" s="62"/>
      <c r="O3" s="62"/>
      <c r="P3" s="62"/>
      <c r="Q3" s="62"/>
      <c r="R3" s="62"/>
      <c r="S3" s="415" t="s">
        <v>218</v>
      </c>
      <c r="U3" t="s">
        <v>219</v>
      </c>
      <c r="AA3" s="69" t="s">
        <v>206</v>
      </c>
      <c r="AB3">
        <f>SUM(C:C)</f>
        <v>928.5</v>
      </c>
    </row>
    <row r="4" spans="1:28">
      <c r="A4" s="416">
        <v>42195</v>
      </c>
      <c r="B4" s="62" t="s">
        <v>9</v>
      </c>
      <c r="C4" s="417">
        <v>0</v>
      </c>
      <c r="D4" s="418">
        <v>16.25</v>
      </c>
      <c r="E4" s="62"/>
      <c r="F4" s="62"/>
      <c r="G4" s="62"/>
      <c r="H4" s="62"/>
      <c r="I4" s="62"/>
      <c r="J4" s="62"/>
      <c r="K4" s="62"/>
      <c r="L4" s="62"/>
      <c r="M4" s="62"/>
      <c r="N4" s="62"/>
      <c r="O4" s="62"/>
      <c r="P4" s="62"/>
      <c r="Q4" s="62"/>
      <c r="R4" s="62"/>
      <c r="S4" s="66" t="s">
        <v>230</v>
      </c>
      <c r="AA4" s="69" t="s">
        <v>220</v>
      </c>
      <c r="AB4">
        <f>SUM(D:D)</f>
        <v>2048</v>
      </c>
    </row>
    <row r="5" spans="1:28">
      <c r="A5" s="416">
        <v>42195</v>
      </c>
      <c r="B5" s="62" t="s">
        <v>52</v>
      </c>
      <c r="C5" s="62">
        <v>6.5</v>
      </c>
      <c r="D5" s="62"/>
      <c r="E5" s="62">
        <v>13</v>
      </c>
      <c r="F5" s="62"/>
      <c r="G5" s="62"/>
      <c r="H5" s="62"/>
      <c r="I5" s="62"/>
      <c r="J5" s="62"/>
      <c r="K5" s="62"/>
      <c r="L5" s="62"/>
      <c r="M5" s="62"/>
      <c r="N5" s="62"/>
      <c r="O5" s="62"/>
      <c r="P5" s="62"/>
      <c r="Q5" s="62"/>
      <c r="R5" s="62"/>
      <c r="AA5" s="69" t="s">
        <v>207</v>
      </c>
      <c r="AB5">
        <f>SUM(E:E)</f>
        <v>524.75</v>
      </c>
    </row>
    <row r="6" spans="1:28">
      <c r="A6" s="416">
        <v>42195</v>
      </c>
      <c r="B6" s="62" t="s">
        <v>221</v>
      </c>
      <c r="C6" s="62">
        <v>13</v>
      </c>
      <c r="D6" s="62"/>
      <c r="E6" s="62"/>
      <c r="F6" s="62"/>
      <c r="G6" s="62"/>
      <c r="H6" s="62"/>
      <c r="I6" s="62"/>
      <c r="J6" s="62"/>
      <c r="K6" s="62"/>
      <c r="L6" s="62"/>
      <c r="M6" s="62"/>
      <c r="N6" s="62"/>
      <c r="O6" s="62"/>
      <c r="P6" s="62"/>
      <c r="Q6" s="62"/>
      <c r="R6" s="62"/>
      <c r="AA6" s="69" t="s">
        <v>286</v>
      </c>
      <c r="AB6">
        <f>SUM(F:F)</f>
        <v>46.25</v>
      </c>
    </row>
    <row r="7" spans="1:28" hidden="1">
      <c r="A7" s="416">
        <v>42195</v>
      </c>
      <c r="B7" s="62" t="s">
        <v>39</v>
      </c>
      <c r="C7" s="62"/>
      <c r="D7" s="62"/>
      <c r="E7" s="62">
        <v>3.25</v>
      </c>
      <c r="F7" s="62"/>
      <c r="G7" s="62"/>
      <c r="H7" s="62"/>
      <c r="I7" s="62"/>
      <c r="J7" s="62"/>
      <c r="K7" s="62"/>
      <c r="L7" s="62"/>
      <c r="M7" s="62"/>
      <c r="N7" s="62"/>
      <c r="O7" s="62"/>
      <c r="P7" s="62"/>
      <c r="Q7" s="62">
        <v>3.25</v>
      </c>
      <c r="R7" s="62"/>
      <c r="AA7" s="69" t="s">
        <v>287</v>
      </c>
      <c r="AB7">
        <f>SUM(G:G)</f>
        <v>13.75</v>
      </c>
    </row>
    <row r="8" spans="1:28">
      <c r="A8" s="416">
        <v>42195</v>
      </c>
      <c r="B8" s="62" t="s">
        <v>74</v>
      </c>
      <c r="C8" s="62">
        <v>7.5</v>
      </c>
      <c r="D8" s="62"/>
      <c r="E8" s="62"/>
      <c r="F8" s="62"/>
      <c r="G8" s="62"/>
      <c r="H8" s="62"/>
      <c r="I8" s="62"/>
      <c r="J8" s="62"/>
      <c r="K8" s="62"/>
      <c r="L8" s="62"/>
      <c r="M8" s="62"/>
      <c r="N8" s="62"/>
      <c r="O8" s="62"/>
      <c r="P8" s="62"/>
      <c r="Q8" s="62"/>
      <c r="R8" s="62"/>
      <c r="AA8" s="69" t="s">
        <v>288</v>
      </c>
      <c r="AB8">
        <f>SUM(H:H)</f>
        <v>146.75</v>
      </c>
    </row>
    <row r="9" spans="1:28" hidden="1">
      <c r="A9" s="416">
        <v>42195</v>
      </c>
      <c r="B9" s="62" t="s">
        <v>7</v>
      </c>
      <c r="C9" s="62"/>
      <c r="D9" s="62"/>
      <c r="E9" s="62"/>
      <c r="F9" s="62"/>
      <c r="G9" s="62"/>
      <c r="H9" s="62">
        <v>5.25</v>
      </c>
      <c r="I9" s="62">
        <v>1.75</v>
      </c>
      <c r="J9" s="62"/>
      <c r="K9" s="62"/>
      <c r="L9" s="62"/>
      <c r="M9" s="62"/>
      <c r="N9" s="62"/>
      <c r="O9" s="62"/>
      <c r="P9" s="62"/>
      <c r="Q9" s="62"/>
      <c r="R9" s="62"/>
      <c r="AA9" s="69" t="s">
        <v>289</v>
      </c>
      <c r="AB9">
        <f>SUM(I:I)</f>
        <v>52</v>
      </c>
    </row>
    <row r="10" spans="1:28" hidden="1">
      <c r="A10" s="416">
        <v>42195</v>
      </c>
      <c r="B10" s="62" t="s">
        <v>13</v>
      </c>
      <c r="C10" s="62"/>
      <c r="D10" s="62"/>
      <c r="E10" s="62"/>
      <c r="F10" s="62"/>
      <c r="G10" s="62"/>
      <c r="H10" s="62"/>
      <c r="I10" s="62"/>
      <c r="J10" s="62"/>
      <c r="K10" s="62"/>
      <c r="L10" s="62"/>
      <c r="M10" s="62"/>
      <c r="N10" s="62">
        <v>29</v>
      </c>
      <c r="O10" s="62">
        <v>10</v>
      </c>
      <c r="P10" s="62"/>
      <c r="Q10" s="62"/>
      <c r="R10" s="62"/>
      <c r="AA10" s="69" t="s">
        <v>290</v>
      </c>
      <c r="AB10">
        <f>SUM(J:J)</f>
        <v>6.5</v>
      </c>
    </row>
    <row r="11" spans="1:28" hidden="1">
      <c r="A11" s="416">
        <v>42195</v>
      </c>
      <c r="B11" s="62" t="s">
        <v>8</v>
      </c>
      <c r="C11" s="62"/>
      <c r="D11" s="62">
        <v>6.5</v>
      </c>
      <c r="E11" s="62"/>
      <c r="F11" s="62"/>
      <c r="G11" s="62"/>
      <c r="H11" s="62"/>
      <c r="I11" s="62"/>
      <c r="J11" s="62"/>
      <c r="K11" s="62"/>
      <c r="L11" s="62"/>
      <c r="M11" s="62"/>
      <c r="N11" s="62"/>
      <c r="O11" s="62"/>
      <c r="P11" s="62"/>
      <c r="Q11" s="62"/>
      <c r="R11" s="62"/>
      <c r="AA11" s="69" t="s">
        <v>291</v>
      </c>
      <c r="AB11">
        <f>SUM(K:K)</f>
        <v>3.25</v>
      </c>
    </row>
    <row r="12" spans="1:28" hidden="1">
      <c r="A12" s="416">
        <v>42195</v>
      </c>
      <c r="B12" s="62" t="s">
        <v>232</v>
      </c>
      <c r="C12" s="62"/>
      <c r="D12" s="62">
        <v>6.5</v>
      </c>
      <c r="E12" s="62"/>
      <c r="F12" s="62"/>
      <c r="G12" s="62"/>
      <c r="H12" s="62">
        <v>5</v>
      </c>
      <c r="I12" s="62">
        <v>1.5</v>
      </c>
      <c r="J12" s="62"/>
      <c r="K12" s="62"/>
      <c r="L12" s="62"/>
      <c r="M12" s="62"/>
      <c r="N12" s="62"/>
      <c r="O12" s="62"/>
      <c r="P12" s="62"/>
      <c r="Q12" s="62"/>
      <c r="R12" s="62"/>
      <c r="AA12" s="69" t="s">
        <v>208</v>
      </c>
      <c r="AB12">
        <f>SUM(L:L)</f>
        <v>0</v>
      </c>
    </row>
    <row r="13" spans="1:28" hidden="1">
      <c r="AA13" s="69" t="s">
        <v>209</v>
      </c>
      <c r="AB13">
        <f>SUM(M:M)</f>
        <v>0</v>
      </c>
    </row>
    <row r="14" spans="1:28">
      <c r="A14" s="419">
        <v>42209</v>
      </c>
      <c r="B14" s="62" t="s">
        <v>74</v>
      </c>
      <c r="C14" s="62">
        <v>13</v>
      </c>
      <c r="D14" s="62"/>
      <c r="E14" s="62"/>
      <c r="F14" s="62"/>
      <c r="G14" s="62"/>
      <c r="H14" s="62"/>
      <c r="I14" s="62"/>
      <c r="J14" s="62"/>
      <c r="K14" s="62"/>
      <c r="L14" s="62"/>
      <c r="M14" s="62"/>
      <c r="N14" s="62"/>
      <c r="O14" s="62"/>
      <c r="P14" s="62"/>
      <c r="Q14" s="62"/>
      <c r="R14" s="62"/>
      <c r="AA14" s="69" t="s">
        <v>210</v>
      </c>
      <c r="AB14">
        <f>SUM(N:N)</f>
        <v>911.25</v>
      </c>
    </row>
    <row r="15" spans="1:28" hidden="1">
      <c r="A15" s="419">
        <v>42209</v>
      </c>
      <c r="B15" s="62" t="s">
        <v>7</v>
      </c>
      <c r="C15" s="62"/>
      <c r="D15" s="62"/>
      <c r="E15" s="62"/>
      <c r="F15" s="62"/>
      <c r="G15" s="62"/>
      <c r="H15" s="62">
        <v>7.5</v>
      </c>
      <c r="I15" s="62">
        <v>2.5</v>
      </c>
      <c r="J15" s="62"/>
      <c r="K15" s="62"/>
      <c r="L15" s="62"/>
      <c r="M15" s="62"/>
      <c r="N15" s="62"/>
      <c r="O15" s="62"/>
      <c r="P15" s="62"/>
      <c r="Q15" s="62"/>
      <c r="R15" s="62"/>
      <c r="AA15" s="69" t="s">
        <v>211</v>
      </c>
      <c r="AB15">
        <f>SUM(O:O)</f>
        <v>313.25</v>
      </c>
    </row>
    <row r="16" spans="1:28" hidden="1">
      <c r="A16" s="419">
        <v>42209</v>
      </c>
      <c r="B16" s="62" t="s">
        <v>216</v>
      </c>
      <c r="C16" s="62"/>
      <c r="D16" s="62">
        <v>16.25</v>
      </c>
      <c r="E16" s="62"/>
      <c r="F16" s="62"/>
      <c r="G16" s="62"/>
      <c r="H16" s="62"/>
      <c r="I16" s="62"/>
      <c r="J16" s="62"/>
      <c r="K16" s="62"/>
      <c r="L16" s="62"/>
      <c r="M16" s="62"/>
      <c r="N16" s="62"/>
      <c r="O16" s="62"/>
      <c r="P16" s="62"/>
      <c r="Q16" s="62">
        <v>8.25</v>
      </c>
      <c r="R16" s="62"/>
      <c r="AA16" s="69" t="s">
        <v>212</v>
      </c>
      <c r="AB16">
        <f>SUM(P:P)</f>
        <v>9.75</v>
      </c>
    </row>
    <row r="17" spans="1:28">
      <c r="A17" s="419">
        <v>42209</v>
      </c>
      <c r="B17" s="62" t="s">
        <v>9</v>
      </c>
      <c r="C17" s="417">
        <v>0</v>
      </c>
      <c r="D17" s="418">
        <v>9.75</v>
      </c>
      <c r="E17" s="62"/>
      <c r="F17" s="62"/>
      <c r="G17" s="62"/>
      <c r="H17" s="62"/>
      <c r="I17" s="62"/>
      <c r="J17" s="62"/>
      <c r="K17" s="62"/>
      <c r="L17" s="62"/>
      <c r="M17" s="62"/>
      <c r="N17" s="62"/>
      <c r="O17" s="62"/>
      <c r="P17" s="62"/>
      <c r="Q17" s="62"/>
      <c r="R17" s="62"/>
      <c r="AA17" s="69" t="s">
        <v>213</v>
      </c>
      <c r="AB17">
        <f>SUM(Q:Q)</f>
        <v>378.5</v>
      </c>
    </row>
    <row r="18" spans="1:28">
      <c r="A18" s="419">
        <v>42209</v>
      </c>
      <c r="B18" s="62" t="s">
        <v>52</v>
      </c>
      <c r="C18" s="417">
        <v>13</v>
      </c>
      <c r="D18" s="420">
        <v>9.75</v>
      </c>
      <c r="E18" s="62">
        <v>26</v>
      </c>
      <c r="F18" s="62"/>
      <c r="G18" s="62"/>
      <c r="H18" s="62"/>
      <c r="I18" s="62"/>
      <c r="J18" s="62"/>
      <c r="K18" s="62"/>
      <c r="L18" s="62"/>
      <c r="M18" s="62"/>
      <c r="N18" s="62"/>
      <c r="O18" s="62"/>
      <c r="P18" s="62"/>
      <c r="Q18" s="62"/>
      <c r="R18" s="62"/>
      <c r="AA18" s="69" t="s">
        <v>222</v>
      </c>
      <c r="AB18">
        <f>SUM(R:R)</f>
        <v>111.25</v>
      </c>
    </row>
    <row r="19" spans="1:28">
      <c r="A19" s="419">
        <v>42209</v>
      </c>
      <c r="B19" s="62" t="s">
        <v>10</v>
      </c>
      <c r="C19" s="421">
        <v>0</v>
      </c>
      <c r="D19" s="420">
        <v>6.5</v>
      </c>
      <c r="E19" s="62"/>
      <c r="F19" s="62"/>
      <c r="G19" s="62"/>
      <c r="H19" s="62"/>
      <c r="I19" s="62"/>
      <c r="J19" s="62"/>
      <c r="K19" s="62"/>
      <c r="L19" s="62"/>
      <c r="M19" s="62"/>
      <c r="N19" s="62"/>
      <c r="O19" s="62"/>
      <c r="P19" s="62"/>
      <c r="Q19" s="62"/>
      <c r="R19" s="62"/>
    </row>
    <row r="20" spans="1:28">
      <c r="A20" s="419">
        <v>42209</v>
      </c>
      <c r="B20" s="62" t="s">
        <v>17</v>
      </c>
      <c r="C20" s="62">
        <v>35.75</v>
      </c>
      <c r="D20" s="62"/>
      <c r="E20" s="62"/>
      <c r="F20" s="62"/>
      <c r="G20" s="62"/>
      <c r="H20" s="62"/>
      <c r="I20" s="62"/>
      <c r="J20" s="62"/>
      <c r="K20" s="62"/>
      <c r="L20" s="62"/>
      <c r="M20" s="62"/>
      <c r="N20" s="62"/>
      <c r="O20" s="62"/>
      <c r="P20" s="62"/>
      <c r="Q20" s="62"/>
      <c r="R20" s="62"/>
    </row>
    <row r="21" spans="1:28" hidden="1">
      <c r="A21" s="419">
        <v>42209</v>
      </c>
      <c r="B21" s="62" t="s">
        <v>89</v>
      </c>
      <c r="C21" s="62"/>
      <c r="D21" s="62">
        <v>11.75</v>
      </c>
      <c r="E21" s="62"/>
      <c r="F21" s="62"/>
      <c r="G21" s="62"/>
      <c r="H21" s="62"/>
      <c r="I21" s="62"/>
      <c r="J21" s="62"/>
      <c r="K21" s="62"/>
      <c r="L21" s="62"/>
      <c r="M21" s="62"/>
      <c r="N21" s="62"/>
      <c r="O21" s="62"/>
      <c r="P21" s="62"/>
      <c r="Q21" s="62"/>
      <c r="R21" s="62"/>
    </row>
    <row r="22" spans="1:28" hidden="1">
      <c r="A22" s="419">
        <v>42209</v>
      </c>
      <c r="B22" s="62" t="s">
        <v>39</v>
      </c>
      <c r="C22" s="62"/>
      <c r="D22" s="417">
        <v>0</v>
      </c>
      <c r="E22" s="418">
        <v>26</v>
      </c>
      <c r="F22" s="418"/>
      <c r="G22" s="418"/>
      <c r="H22" s="62"/>
      <c r="I22" s="62"/>
      <c r="J22" s="62"/>
      <c r="K22" s="62"/>
      <c r="L22" s="62"/>
      <c r="M22" s="62"/>
      <c r="N22" s="62"/>
      <c r="O22" s="62"/>
      <c r="P22" s="62"/>
      <c r="Q22" s="62"/>
      <c r="R22" s="62">
        <v>1.5</v>
      </c>
    </row>
    <row r="23" spans="1:28" hidden="1">
      <c r="A23" s="419">
        <v>42209</v>
      </c>
      <c r="B23" s="62" t="s">
        <v>13</v>
      </c>
      <c r="C23" s="62"/>
      <c r="D23" s="62"/>
      <c r="E23" s="62"/>
      <c r="F23" s="62"/>
      <c r="G23" s="62"/>
      <c r="H23" s="62"/>
      <c r="I23" s="62"/>
      <c r="J23" s="62"/>
      <c r="K23" s="62"/>
      <c r="L23" s="62"/>
      <c r="M23" s="62"/>
      <c r="N23" s="62">
        <v>37</v>
      </c>
      <c r="O23" s="62">
        <v>12</v>
      </c>
      <c r="P23" s="62"/>
      <c r="Q23" s="62"/>
      <c r="R23" s="62"/>
    </row>
    <row r="24" spans="1:28" hidden="1">
      <c r="A24" s="419">
        <v>42209</v>
      </c>
      <c r="B24" s="62" t="s">
        <v>115</v>
      </c>
      <c r="C24" s="62"/>
      <c r="D24" s="62">
        <v>1</v>
      </c>
      <c r="E24" s="62"/>
      <c r="F24" s="62"/>
      <c r="G24" s="62"/>
      <c r="H24" s="62"/>
      <c r="I24" s="62"/>
      <c r="J24" s="62"/>
      <c r="K24" s="62"/>
      <c r="L24" s="62"/>
      <c r="M24" s="62"/>
      <c r="N24" s="62"/>
      <c r="O24" s="62"/>
      <c r="P24" s="62"/>
      <c r="Q24" s="62"/>
      <c r="R24" s="62"/>
    </row>
    <row r="25" spans="1:28" hidden="1">
      <c r="A25" s="419">
        <v>42209</v>
      </c>
      <c r="B25" s="62" t="s">
        <v>8</v>
      </c>
      <c r="C25" s="62"/>
      <c r="D25" s="62">
        <v>16.25</v>
      </c>
      <c r="E25" s="62"/>
      <c r="F25" s="62"/>
      <c r="G25" s="62"/>
      <c r="H25" s="62"/>
      <c r="I25" s="62"/>
      <c r="J25" s="62"/>
      <c r="K25" s="62"/>
      <c r="L25" s="62"/>
      <c r="M25" s="62"/>
      <c r="N25" s="62"/>
      <c r="O25" s="62"/>
      <c r="P25" s="62"/>
      <c r="Q25" s="62"/>
      <c r="R25" s="62"/>
    </row>
    <row r="26" spans="1:28" hidden="1">
      <c r="A26" s="419">
        <v>42209</v>
      </c>
      <c r="B26" s="62" t="s">
        <v>232</v>
      </c>
      <c r="C26" s="62"/>
      <c r="D26" s="62">
        <v>19.5</v>
      </c>
      <c r="E26" s="62"/>
      <c r="F26" s="62"/>
      <c r="G26" s="62"/>
      <c r="H26" s="62">
        <v>9.75</v>
      </c>
      <c r="I26" s="62">
        <v>3.25</v>
      </c>
      <c r="J26" s="62"/>
      <c r="K26" s="62"/>
      <c r="L26" s="62"/>
      <c r="M26" s="62"/>
      <c r="N26" s="62"/>
      <c r="O26" s="62"/>
      <c r="P26" s="62"/>
      <c r="Q26" s="62"/>
      <c r="R26" s="62"/>
    </row>
    <row r="27" spans="1:28" hidden="1"/>
    <row r="28" spans="1:28">
      <c r="A28" s="79">
        <v>42226</v>
      </c>
      <c r="B28" s="62" t="s">
        <v>52</v>
      </c>
      <c r="C28" s="417">
        <v>13</v>
      </c>
      <c r="D28" s="418">
        <v>19.5</v>
      </c>
      <c r="E28" s="62">
        <v>26</v>
      </c>
      <c r="F28" s="62"/>
      <c r="G28" s="62"/>
      <c r="H28" s="62"/>
      <c r="I28" s="62"/>
      <c r="J28" s="62"/>
      <c r="K28" s="62"/>
      <c r="L28" s="62"/>
      <c r="M28" s="62"/>
      <c r="N28" s="62"/>
      <c r="O28" s="62"/>
      <c r="P28" s="62"/>
      <c r="Q28" s="62"/>
      <c r="R28" s="62"/>
    </row>
    <row r="29" spans="1:28" hidden="1">
      <c r="A29" s="79">
        <v>42226</v>
      </c>
      <c r="B29" s="62" t="s">
        <v>10</v>
      </c>
      <c r="C29" s="62"/>
      <c r="D29" s="62">
        <v>13</v>
      </c>
      <c r="E29" s="62"/>
      <c r="F29" s="62"/>
      <c r="G29" s="62"/>
      <c r="H29" s="62"/>
      <c r="I29" s="62"/>
      <c r="J29" s="62"/>
      <c r="K29" s="62"/>
      <c r="L29" s="62"/>
      <c r="M29" s="62"/>
      <c r="N29" s="62"/>
      <c r="O29" s="62"/>
      <c r="P29" s="62"/>
      <c r="Q29" s="62"/>
      <c r="R29" s="62"/>
    </row>
    <row r="30" spans="1:28">
      <c r="A30" s="79">
        <v>42226</v>
      </c>
      <c r="B30" s="62" t="s">
        <v>223</v>
      </c>
      <c r="C30" s="62">
        <v>39</v>
      </c>
      <c r="D30" s="62"/>
      <c r="E30" s="62"/>
      <c r="F30" s="62"/>
      <c r="G30" s="62"/>
      <c r="H30" s="62"/>
      <c r="I30" s="62"/>
      <c r="J30" s="62"/>
      <c r="K30" s="62"/>
      <c r="L30" s="62"/>
      <c r="M30" s="62"/>
      <c r="N30" s="62"/>
      <c r="O30" s="62"/>
      <c r="P30" s="62"/>
      <c r="Q30" s="62"/>
      <c r="R30" s="62"/>
    </row>
    <row r="31" spans="1:28" hidden="1">
      <c r="A31" s="79">
        <v>42226</v>
      </c>
      <c r="B31" s="62" t="s">
        <v>224</v>
      </c>
      <c r="C31" s="62"/>
      <c r="D31" s="62">
        <v>13</v>
      </c>
      <c r="E31" s="62"/>
      <c r="F31" s="62"/>
      <c r="G31" s="62"/>
      <c r="H31" s="62"/>
      <c r="I31" s="62"/>
      <c r="J31" s="62"/>
      <c r="K31" s="62"/>
      <c r="L31" s="62"/>
      <c r="M31" s="62"/>
      <c r="N31" s="62"/>
      <c r="O31" s="62"/>
      <c r="P31" s="62"/>
      <c r="Q31" s="62"/>
      <c r="R31" s="62"/>
    </row>
    <row r="32" spans="1:28" hidden="1">
      <c r="A32" s="79">
        <v>42226</v>
      </c>
      <c r="B32" s="62" t="s">
        <v>89</v>
      </c>
      <c r="C32" s="62"/>
      <c r="D32" s="62">
        <v>9.75</v>
      </c>
      <c r="E32" s="62"/>
      <c r="F32" s="62"/>
      <c r="G32" s="62"/>
      <c r="H32" s="62"/>
      <c r="I32" s="62"/>
      <c r="J32" s="62"/>
      <c r="K32" s="62"/>
      <c r="L32" s="62"/>
      <c r="M32" s="62"/>
      <c r="N32" s="62"/>
      <c r="O32" s="62"/>
      <c r="P32" s="62"/>
      <c r="Q32" s="62"/>
      <c r="R32" s="62"/>
    </row>
    <row r="33" spans="1:18" hidden="1">
      <c r="A33" s="79">
        <v>42226</v>
      </c>
      <c r="B33" s="62" t="s">
        <v>39</v>
      </c>
      <c r="C33" s="62"/>
      <c r="D33" s="62"/>
      <c r="E33" s="62">
        <v>13</v>
      </c>
      <c r="F33" s="62"/>
      <c r="G33" s="62"/>
      <c r="H33" s="62"/>
      <c r="I33" s="62"/>
      <c r="J33" s="62"/>
      <c r="K33" s="62"/>
      <c r="L33" s="62"/>
      <c r="M33" s="62"/>
      <c r="N33" s="62"/>
      <c r="O33" s="62"/>
      <c r="P33" s="62"/>
      <c r="Q33" s="62">
        <v>13</v>
      </c>
      <c r="R33" s="62"/>
    </row>
    <row r="34" spans="1:18">
      <c r="A34" s="79">
        <v>42226</v>
      </c>
      <c r="B34" s="62" t="s">
        <v>74</v>
      </c>
      <c r="C34" s="62">
        <v>13</v>
      </c>
      <c r="D34" s="62"/>
      <c r="E34" s="62"/>
      <c r="F34" s="62"/>
      <c r="G34" s="62"/>
      <c r="H34" s="62"/>
      <c r="I34" s="62"/>
      <c r="J34" s="62"/>
      <c r="K34" s="62"/>
      <c r="L34" s="62"/>
      <c r="M34" s="62"/>
      <c r="N34" s="62"/>
      <c r="O34" s="62"/>
      <c r="P34" s="62"/>
      <c r="Q34" s="62"/>
      <c r="R34" s="62"/>
    </row>
    <row r="35" spans="1:18" hidden="1">
      <c r="A35" s="79">
        <v>42226</v>
      </c>
      <c r="B35" s="62" t="s">
        <v>7</v>
      </c>
      <c r="C35" s="62"/>
      <c r="D35" s="62"/>
      <c r="E35" s="62"/>
      <c r="F35" s="62"/>
      <c r="G35" s="62"/>
      <c r="H35" s="62">
        <v>6.25</v>
      </c>
      <c r="I35" s="62">
        <v>4.75</v>
      </c>
      <c r="J35" s="62"/>
      <c r="K35" s="62"/>
      <c r="L35" s="62"/>
      <c r="M35" s="62"/>
      <c r="N35" s="62"/>
      <c r="O35" s="62"/>
      <c r="P35" s="62"/>
      <c r="Q35" s="62"/>
      <c r="R35" s="62"/>
    </row>
    <row r="36" spans="1:18">
      <c r="A36" s="79">
        <v>42226</v>
      </c>
      <c r="B36" s="62" t="s">
        <v>12</v>
      </c>
      <c r="C36" s="417">
        <v>0</v>
      </c>
      <c r="D36" s="418">
        <v>19.5</v>
      </c>
      <c r="E36" s="62"/>
      <c r="F36" s="62"/>
      <c r="G36" s="62"/>
      <c r="H36" s="62"/>
      <c r="I36" s="62"/>
      <c r="J36" s="62"/>
      <c r="K36" s="62"/>
      <c r="L36" s="62"/>
      <c r="M36" s="62"/>
      <c r="N36" s="62"/>
      <c r="O36" s="62"/>
      <c r="P36" s="62"/>
      <c r="Q36" s="62">
        <v>9</v>
      </c>
      <c r="R36" s="62"/>
    </row>
    <row r="37" spans="1:18" hidden="1">
      <c r="A37" s="79">
        <v>42226</v>
      </c>
      <c r="B37" s="62" t="s">
        <v>13</v>
      </c>
      <c r="C37" s="62"/>
      <c r="D37" s="62"/>
      <c r="E37" s="62"/>
      <c r="F37" s="62"/>
      <c r="G37" s="62"/>
      <c r="H37" s="62"/>
      <c r="I37" s="62"/>
      <c r="J37" s="62"/>
      <c r="K37" s="62"/>
      <c r="L37" s="62"/>
      <c r="M37" s="62"/>
      <c r="N37" s="62">
        <v>45</v>
      </c>
      <c r="O37" s="62">
        <v>15</v>
      </c>
      <c r="P37" s="62"/>
      <c r="Q37" s="62"/>
      <c r="R37" s="62"/>
    </row>
    <row r="38" spans="1:18" hidden="1">
      <c r="A38" s="79">
        <v>42226</v>
      </c>
      <c r="B38" s="62" t="s">
        <v>8</v>
      </c>
      <c r="C38" s="62"/>
      <c r="D38" s="62">
        <v>19.5</v>
      </c>
      <c r="E38" s="62"/>
      <c r="F38" s="62"/>
      <c r="G38" s="62"/>
      <c r="H38" s="62"/>
      <c r="I38" s="62"/>
      <c r="J38" s="62"/>
      <c r="K38" s="62"/>
      <c r="L38" s="62"/>
      <c r="M38" s="62"/>
      <c r="N38" s="62"/>
      <c r="O38" s="62"/>
      <c r="P38" s="62"/>
      <c r="Q38" s="62"/>
      <c r="R38" s="62"/>
    </row>
    <row r="39" spans="1:18" hidden="1">
      <c r="A39" s="79">
        <v>42226</v>
      </c>
      <c r="B39" s="62" t="s">
        <v>232</v>
      </c>
      <c r="C39" s="62"/>
      <c r="D39" s="62">
        <v>19.5</v>
      </c>
      <c r="E39" s="62"/>
      <c r="F39" s="62"/>
      <c r="G39" s="62"/>
      <c r="H39" s="62">
        <v>9.75</v>
      </c>
      <c r="I39" s="62">
        <v>3.25</v>
      </c>
      <c r="J39" s="62"/>
      <c r="K39" s="62"/>
      <c r="L39" s="62"/>
      <c r="M39" s="62"/>
      <c r="N39" s="62"/>
      <c r="O39" s="62"/>
      <c r="P39" s="62"/>
      <c r="Q39" s="62"/>
      <c r="R39" s="62"/>
    </row>
    <row r="40" spans="1:18" hidden="1"/>
    <row r="41" spans="1:18">
      <c r="A41" s="419">
        <v>42237</v>
      </c>
      <c r="B41" s="62" t="s">
        <v>17</v>
      </c>
      <c r="C41" s="62">
        <v>5</v>
      </c>
      <c r="D41" s="62"/>
      <c r="E41" s="62"/>
      <c r="F41" s="62"/>
      <c r="G41" s="62"/>
      <c r="H41" s="62"/>
      <c r="I41" s="62"/>
      <c r="J41" s="62"/>
      <c r="K41" s="62"/>
      <c r="L41" s="62"/>
      <c r="M41" s="62"/>
      <c r="N41" s="62"/>
      <c r="O41" s="62"/>
      <c r="P41" s="62"/>
      <c r="Q41" s="62"/>
      <c r="R41" s="62"/>
    </row>
    <row r="42" spans="1:18">
      <c r="A42" s="419">
        <v>42237</v>
      </c>
      <c r="B42" s="62" t="s">
        <v>52</v>
      </c>
      <c r="C42" s="62">
        <v>5</v>
      </c>
      <c r="D42" s="62"/>
      <c r="E42" s="62"/>
      <c r="F42" s="62"/>
      <c r="G42" s="62"/>
      <c r="H42" s="62"/>
      <c r="I42" s="62"/>
      <c r="J42" s="62"/>
      <c r="K42" s="62"/>
      <c r="L42" s="62"/>
      <c r="M42" s="62"/>
      <c r="N42" s="62"/>
      <c r="O42" s="62"/>
      <c r="P42" s="62"/>
      <c r="Q42" s="62"/>
      <c r="R42" s="62"/>
    </row>
    <row r="43" spans="1:18" hidden="1">
      <c r="A43" s="419">
        <v>42237</v>
      </c>
      <c r="B43" s="62" t="s">
        <v>10</v>
      </c>
      <c r="C43" s="62"/>
      <c r="D43" s="62">
        <v>5</v>
      </c>
      <c r="E43" s="62"/>
      <c r="F43" s="62"/>
      <c r="G43" s="62"/>
      <c r="H43" s="62"/>
      <c r="I43" s="62"/>
      <c r="J43" s="62"/>
      <c r="K43" s="62"/>
      <c r="L43" s="62"/>
      <c r="M43" s="62"/>
      <c r="N43" s="62"/>
      <c r="O43" s="62"/>
      <c r="P43" s="62"/>
      <c r="Q43" s="62"/>
      <c r="R43" s="62"/>
    </row>
    <row r="44" spans="1:18" hidden="1">
      <c r="A44" s="419">
        <v>42237</v>
      </c>
      <c r="B44" s="62" t="s">
        <v>9</v>
      </c>
      <c r="C44" s="62"/>
      <c r="D44" s="62">
        <v>5</v>
      </c>
      <c r="E44" s="62"/>
      <c r="F44" s="62"/>
      <c r="G44" s="62"/>
      <c r="H44" s="62"/>
      <c r="I44" s="62"/>
      <c r="J44" s="62"/>
      <c r="K44" s="62"/>
      <c r="L44" s="62"/>
      <c r="M44" s="62"/>
      <c r="N44" s="62"/>
      <c r="O44" s="62"/>
      <c r="P44" s="62"/>
      <c r="Q44" s="62"/>
      <c r="R44" s="62"/>
    </row>
    <row r="45" spans="1:18" hidden="1">
      <c r="A45" s="419">
        <v>42237</v>
      </c>
      <c r="B45" s="62" t="s">
        <v>221</v>
      </c>
      <c r="C45" s="62"/>
      <c r="D45" s="62"/>
      <c r="E45" s="62"/>
      <c r="F45" s="62"/>
      <c r="G45" s="62"/>
      <c r="H45" s="62"/>
      <c r="I45" s="62"/>
      <c r="J45" s="62"/>
      <c r="K45" s="62"/>
      <c r="L45" s="62"/>
      <c r="M45" s="62"/>
      <c r="N45" s="62">
        <v>2.5</v>
      </c>
      <c r="O45" s="62">
        <v>1</v>
      </c>
      <c r="P45" s="62"/>
      <c r="Q45" s="62"/>
      <c r="R45" s="62"/>
    </row>
    <row r="46" spans="1:18" hidden="1">
      <c r="A46" s="419">
        <v>42237</v>
      </c>
      <c r="B46" s="62" t="s">
        <v>12</v>
      </c>
      <c r="C46" s="62"/>
      <c r="D46" s="62">
        <v>5</v>
      </c>
      <c r="E46" s="62"/>
      <c r="F46" s="62"/>
      <c r="G46" s="62"/>
      <c r="H46" s="62"/>
      <c r="I46" s="62"/>
      <c r="J46" s="62"/>
      <c r="K46" s="62"/>
      <c r="L46" s="62"/>
      <c r="M46" s="62"/>
      <c r="N46" s="62"/>
      <c r="O46" s="62"/>
      <c r="P46" s="62"/>
      <c r="Q46" s="62"/>
      <c r="R46" s="62"/>
    </row>
    <row r="47" spans="1:18" hidden="1">
      <c r="A47" s="419">
        <v>42237</v>
      </c>
      <c r="B47" s="62" t="s">
        <v>13</v>
      </c>
      <c r="C47" s="62"/>
      <c r="D47" s="62"/>
      <c r="E47" s="62"/>
      <c r="F47" s="62"/>
      <c r="G47" s="62"/>
      <c r="H47" s="62"/>
      <c r="I47" s="62"/>
      <c r="J47" s="62"/>
      <c r="K47" s="62"/>
      <c r="L47" s="62"/>
      <c r="M47" s="62"/>
      <c r="N47" s="62">
        <v>24</v>
      </c>
      <c r="O47" s="62">
        <v>8.5</v>
      </c>
      <c r="P47" s="62"/>
      <c r="Q47" s="62"/>
      <c r="R47" s="62"/>
    </row>
    <row r="48" spans="1:18" hidden="1">
      <c r="A48" s="419">
        <v>42237</v>
      </c>
      <c r="B48" s="62" t="s">
        <v>115</v>
      </c>
      <c r="C48" s="62"/>
      <c r="D48" s="62">
        <v>7</v>
      </c>
      <c r="E48" s="62"/>
      <c r="F48" s="62"/>
      <c r="G48" s="62"/>
      <c r="H48" s="62"/>
      <c r="I48" s="62"/>
      <c r="J48" s="62"/>
      <c r="K48" s="62"/>
      <c r="L48" s="62"/>
      <c r="M48" s="62"/>
      <c r="N48" s="62"/>
      <c r="O48" s="62"/>
      <c r="P48" s="62"/>
      <c r="Q48" s="62"/>
      <c r="R48" s="62"/>
    </row>
    <row r="49" spans="1:20" hidden="1">
      <c r="A49" s="419">
        <v>42237</v>
      </c>
      <c r="B49" s="62" t="s">
        <v>232</v>
      </c>
      <c r="C49" s="62"/>
      <c r="D49" s="62">
        <v>5</v>
      </c>
      <c r="E49" s="62"/>
      <c r="F49" s="62"/>
      <c r="G49" s="62"/>
      <c r="H49" s="62"/>
      <c r="I49" s="62"/>
      <c r="J49" s="62"/>
      <c r="K49" s="62"/>
      <c r="L49" s="62"/>
      <c r="M49" s="62"/>
      <c r="N49" s="62"/>
      <c r="O49" s="62"/>
      <c r="P49" s="62"/>
      <c r="Q49" s="62"/>
      <c r="R49" s="62"/>
    </row>
    <row r="50" spans="1:20" hidden="1">
      <c r="A50" s="61"/>
    </row>
    <row r="51" spans="1:20" hidden="1">
      <c r="A51" s="419">
        <v>42256</v>
      </c>
      <c r="B51" s="62" t="s">
        <v>12</v>
      </c>
      <c r="C51" s="62"/>
      <c r="D51" s="62">
        <v>22.75</v>
      </c>
      <c r="E51" s="62"/>
      <c r="F51" s="62"/>
      <c r="G51" s="62"/>
      <c r="H51" s="62"/>
      <c r="I51" s="62"/>
      <c r="J51" s="62"/>
      <c r="K51" s="62"/>
      <c r="L51" s="62"/>
      <c r="M51" s="62"/>
      <c r="N51" s="62"/>
      <c r="O51" s="62"/>
      <c r="P51" s="62"/>
      <c r="Q51" s="62">
        <v>17</v>
      </c>
      <c r="R51" s="62"/>
    </row>
    <row r="52" spans="1:20" hidden="1">
      <c r="A52" s="419">
        <v>42256</v>
      </c>
      <c r="B52" s="62" t="s">
        <v>41</v>
      </c>
      <c r="C52" s="62"/>
      <c r="D52" s="62"/>
      <c r="E52" s="62">
        <v>3.25</v>
      </c>
      <c r="F52" s="62"/>
      <c r="G52" s="62"/>
      <c r="H52" s="62"/>
      <c r="I52" s="62"/>
      <c r="J52" s="62"/>
      <c r="K52" s="62"/>
      <c r="L52" s="62"/>
      <c r="M52" s="62"/>
      <c r="N52" s="62"/>
      <c r="O52" s="62"/>
      <c r="P52" s="62"/>
      <c r="Q52" s="62">
        <v>38.5</v>
      </c>
      <c r="R52" s="62">
        <v>9.75</v>
      </c>
    </row>
    <row r="53" spans="1:20">
      <c r="A53" s="419">
        <v>42256</v>
      </c>
      <c r="B53" s="62" t="s">
        <v>17</v>
      </c>
      <c r="C53" s="62">
        <v>47.75</v>
      </c>
      <c r="D53" s="62"/>
      <c r="E53" s="62"/>
      <c r="F53" s="62"/>
      <c r="G53" s="62"/>
      <c r="H53" s="62"/>
      <c r="I53" s="62"/>
      <c r="J53" s="62"/>
      <c r="K53" s="62"/>
      <c r="L53" s="62"/>
      <c r="M53" s="62"/>
      <c r="N53" s="62"/>
      <c r="O53" s="62"/>
      <c r="P53" s="62"/>
      <c r="Q53" s="62"/>
      <c r="R53" s="62"/>
    </row>
    <row r="54" spans="1:20" hidden="1">
      <c r="A54" s="419">
        <v>42256</v>
      </c>
      <c r="B54" s="62" t="s">
        <v>9</v>
      </c>
      <c r="C54" s="62"/>
      <c r="D54" s="62">
        <v>41.25</v>
      </c>
      <c r="E54" s="62"/>
      <c r="F54" s="62"/>
      <c r="G54" s="62"/>
      <c r="H54" s="62"/>
      <c r="I54" s="62"/>
      <c r="J54" s="62"/>
      <c r="K54" s="62"/>
      <c r="L54" s="62"/>
      <c r="M54" s="62"/>
      <c r="N54" s="62"/>
      <c r="O54" s="62"/>
      <c r="P54" s="62"/>
      <c r="Q54" s="62"/>
      <c r="R54" s="62"/>
    </row>
    <row r="55" spans="1:20">
      <c r="A55" s="419">
        <v>42256</v>
      </c>
      <c r="B55" s="62" t="s">
        <v>52</v>
      </c>
      <c r="C55" s="422">
        <v>18.5</v>
      </c>
      <c r="D55" s="422">
        <v>22.75</v>
      </c>
      <c r="E55" s="62">
        <v>13.5</v>
      </c>
      <c r="F55" s="62"/>
      <c r="G55" s="62"/>
      <c r="H55" s="62"/>
      <c r="I55" s="62"/>
      <c r="J55" s="62"/>
      <c r="K55" s="62"/>
      <c r="L55" s="62"/>
      <c r="M55" s="62"/>
      <c r="N55" s="62"/>
      <c r="O55" s="62"/>
      <c r="P55" s="62"/>
      <c r="Q55" s="62"/>
      <c r="R55" s="62"/>
      <c r="T55" t="s">
        <v>227</v>
      </c>
    </row>
    <row r="56" spans="1:20" hidden="1">
      <c r="A56" s="419">
        <v>42256</v>
      </c>
      <c r="B56" s="62" t="s">
        <v>10</v>
      </c>
      <c r="C56" s="62"/>
      <c r="D56" s="62">
        <v>21</v>
      </c>
      <c r="E56" s="62"/>
      <c r="F56" s="62"/>
      <c r="G56" s="62"/>
      <c r="H56" s="62"/>
      <c r="I56" s="62"/>
      <c r="J56" s="62"/>
      <c r="K56" s="62"/>
      <c r="L56" s="62"/>
      <c r="M56" s="62"/>
      <c r="N56" s="62"/>
      <c r="O56" s="62"/>
      <c r="P56" s="62"/>
      <c r="Q56" s="62"/>
      <c r="R56" s="62"/>
    </row>
    <row r="57" spans="1:20">
      <c r="A57" s="419">
        <v>42256</v>
      </c>
      <c r="B57" s="62" t="s">
        <v>115</v>
      </c>
      <c r="C57" s="418">
        <v>13</v>
      </c>
      <c r="D57" s="417">
        <v>26</v>
      </c>
      <c r="E57" s="62"/>
      <c r="F57" s="62"/>
      <c r="G57" s="62"/>
      <c r="H57" s="62"/>
      <c r="I57" s="62"/>
      <c r="J57" s="62"/>
      <c r="K57" s="62"/>
      <c r="L57" s="62"/>
      <c r="M57" s="62"/>
      <c r="N57" s="62"/>
      <c r="O57" s="62"/>
      <c r="P57" s="62"/>
      <c r="Q57" s="62"/>
      <c r="R57" s="62"/>
    </row>
    <row r="58" spans="1:20" hidden="1">
      <c r="A58" s="419">
        <v>42256</v>
      </c>
      <c r="B58" s="62" t="s">
        <v>8</v>
      </c>
      <c r="C58" s="62"/>
      <c r="D58" s="62">
        <v>19</v>
      </c>
      <c r="E58" s="62"/>
      <c r="F58" s="62"/>
      <c r="G58" s="62"/>
      <c r="H58" s="62"/>
      <c r="I58" s="62"/>
      <c r="J58" s="62"/>
      <c r="K58" s="62"/>
      <c r="L58" s="62"/>
      <c r="M58" s="62"/>
      <c r="N58" s="62"/>
      <c r="O58" s="62"/>
      <c r="P58" s="62"/>
      <c r="Q58" s="62"/>
      <c r="R58" s="62"/>
    </row>
    <row r="59" spans="1:20" hidden="1">
      <c r="A59" s="419">
        <v>42256</v>
      </c>
      <c r="B59" s="62" t="s">
        <v>13</v>
      </c>
      <c r="C59" s="62"/>
      <c r="D59" s="62"/>
      <c r="E59" s="62"/>
      <c r="F59" s="62"/>
      <c r="G59" s="62"/>
      <c r="H59" s="62"/>
      <c r="I59" s="62"/>
      <c r="J59" s="62"/>
      <c r="K59" s="62"/>
      <c r="L59" s="62"/>
      <c r="M59" s="62"/>
      <c r="N59" s="422">
        <v>41</v>
      </c>
      <c r="O59" s="422">
        <v>13.5</v>
      </c>
      <c r="P59" s="62"/>
      <c r="Q59" s="62"/>
      <c r="R59" s="62"/>
      <c r="T59" t="s">
        <v>227</v>
      </c>
    </row>
    <row r="60" spans="1:20" hidden="1">
      <c r="A60" s="419">
        <v>42256</v>
      </c>
      <c r="B60" s="62" t="s">
        <v>225</v>
      </c>
      <c r="C60" s="62"/>
      <c r="D60" s="62">
        <v>24.75</v>
      </c>
      <c r="E60" s="62"/>
      <c r="F60" s="62"/>
      <c r="G60" s="62"/>
      <c r="H60" s="62"/>
      <c r="I60" s="62"/>
      <c r="J60" s="62"/>
      <c r="K60" s="62"/>
      <c r="L60" s="62"/>
      <c r="M60" s="62"/>
      <c r="N60" s="62"/>
      <c r="O60" s="62"/>
      <c r="P60" s="62"/>
      <c r="Q60" s="62"/>
      <c r="R60" s="62"/>
    </row>
    <row r="61" spans="1:20" hidden="1">
      <c r="A61" s="419">
        <v>42256</v>
      </c>
      <c r="B61" s="62" t="s">
        <v>7</v>
      </c>
      <c r="C61" s="62"/>
      <c r="D61" s="62"/>
      <c r="E61" s="62"/>
      <c r="F61" s="62"/>
      <c r="G61" s="62"/>
      <c r="H61" s="62">
        <v>9</v>
      </c>
      <c r="I61" s="62">
        <v>3</v>
      </c>
      <c r="J61" s="62"/>
      <c r="K61" s="62"/>
      <c r="L61" s="62"/>
      <c r="M61" s="62"/>
      <c r="N61" s="62"/>
      <c r="O61" s="62"/>
      <c r="P61" s="62"/>
      <c r="Q61" s="62"/>
      <c r="R61" s="62"/>
    </row>
    <row r="62" spans="1:20" hidden="1">
      <c r="A62" s="419">
        <v>42256</v>
      </c>
      <c r="B62" s="62" t="s">
        <v>89</v>
      </c>
      <c r="C62" s="62"/>
      <c r="D62" s="422">
        <v>3.25</v>
      </c>
      <c r="E62" s="62"/>
      <c r="F62" s="62"/>
      <c r="G62" s="62"/>
      <c r="H62" s="62"/>
      <c r="I62" s="62"/>
      <c r="J62" s="62"/>
      <c r="K62" s="62"/>
      <c r="L62" s="62"/>
      <c r="M62" s="62"/>
      <c r="N62" s="62"/>
      <c r="O62" s="62"/>
      <c r="P62" s="62"/>
      <c r="Q62" s="62"/>
      <c r="R62" s="62"/>
      <c r="T62" t="s">
        <v>226</v>
      </c>
    </row>
    <row r="63" spans="1:20" s="3" customFormat="1" hidden="1">
      <c r="A63" s="419">
        <v>42256</v>
      </c>
      <c r="B63" s="62" t="s">
        <v>232</v>
      </c>
      <c r="C63" s="64"/>
      <c r="D63" s="64">
        <v>28.25</v>
      </c>
      <c r="E63" s="64"/>
      <c r="F63" s="64"/>
      <c r="G63" s="64"/>
      <c r="H63" s="64">
        <v>9.75</v>
      </c>
      <c r="I63" s="64">
        <v>3.25</v>
      </c>
      <c r="J63" s="64"/>
      <c r="K63" s="64"/>
      <c r="L63" s="64"/>
      <c r="M63" s="64"/>
      <c r="N63" s="64"/>
      <c r="O63" s="64"/>
      <c r="P63" s="64"/>
      <c r="Q63" s="64"/>
      <c r="R63" s="64"/>
    </row>
    <row r="64" spans="1:20" hidden="1"/>
    <row r="65" spans="1:20" hidden="1">
      <c r="A65" s="419">
        <v>42271</v>
      </c>
      <c r="B65" s="62" t="s">
        <v>10</v>
      </c>
      <c r="C65" s="62"/>
      <c r="D65" s="62">
        <v>17.5</v>
      </c>
      <c r="E65" s="62"/>
      <c r="F65" s="62"/>
      <c r="G65" s="62"/>
      <c r="H65" s="62"/>
      <c r="I65" s="62"/>
      <c r="J65" s="62"/>
      <c r="K65" s="62"/>
      <c r="L65" s="62"/>
      <c r="M65" s="62"/>
      <c r="N65" s="62"/>
      <c r="O65" s="62"/>
      <c r="P65" s="62"/>
      <c r="Q65" s="62"/>
      <c r="R65" s="62"/>
    </row>
    <row r="66" spans="1:20">
      <c r="A66" s="419">
        <v>42271</v>
      </c>
      <c r="B66" s="62" t="s">
        <v>17</v>
      </c>
      <c r="C66" s="62">
        <v>26</v>
      </c>
      <c r="D66" s="62"/>
      <c r="E66" s="62"/>
      <c r="F66" s="62"/>
      <c r="G66" s="62"/>
      <c r="H66" s="62"/>
      <c r="I66" s="62"/>
      <c r="J66" s="62"/>
      <c r="K66" s="62"/>
      <c r="L66" s="62"/>
      <c r="M66" s="62"/>
      <c r="N66" s="62"/>
      <c r="O66" s="62"/>
      <c r="P66" s="62"/>
      <c r="Q66" s="62"/>
      <c r="R66" s="62"/>
    </row>
    <row r="67" spans="1:20">
      <c r="A67" s="419">
        <v>42271</v>
      </c>
      <c r="B67" s="62" t="s">
        <v>9</v>
      </c>
      <c r="C67" s="417">
        <v>0</v>
      </c>
      <c r="D67" s="420">
        <v>26</v>
      </c>
      <c r="E67" s="62"/>
      <c r="F67" s="62"/>
      <c r="G67" s="62"/>
      <c r="H67" s="62"/>
      <c r="I67" s="62"/>
      <c r="J67" s="62"/>
      <c r="K67" s="62"/>
      <c r="L67" s="62"/>
      <c r="M67" s="62"/>
      <c r="N67" s="62"/>
      <c r="O67" s="62"/>
      <c r="P67" s="62"/>
      <c r="Q67" s="62"/>
      <c r="R67" s="62"/>
    </row>
    <row r="68" spans="1:20" hidden="1">
      <c r="A68" s="419">
        <v>42271</v>
      </c>
      <c r="B68" s="62" t="s">
        <v>228</v>
      </c>
      <c r="C68" s="62"/>
      <c r="D68" s="62">
        <v>9.75</v>
      </c>
      <c r="E68" s="62"/>
      <c r="F68" s="62"/>
      <c r="G68" s="62"/>
      <c r="H68" s="62"/>
      <c r="I68" s="62"/>
      <c r="J68" s="62"/>
      <c r="K68" s="62"/>
      <c r="L68" s="62"/>
      <c r="M68" s="62"/>
      <c r="N68" s="62"/>
      <c r="O68" s="62"/>
      <c r="P68" s="62"/>
      <c r="Q68" s="62"/>
      <c r="R68" s="62"/>
    </row>
    <row r="69" spans="1:20">
      <c r="A69" s="419">
        <v>42271</v>
      </c>
      <c r="B69" s="62" t="s">
        <v>18</v>
      </c>
      <c r="C69" s="62">
        <v>6.5</v>
      </c>
      <c r="D69" s="62"/>
      <c r="E69" s="62"/>
      <c r="F69" s="62"/>
      <c r="G69" s="62"/>
      <c r="H69" s="62"/>
      <c r="I69" s="62"/>
      <c r="J69" s="62"/>
      <c r="K69" s="62"/>
      <c r="L69" s="62"/>
      <c r="M69" s="62"/>
      <c r="N69" s="62"/>
      <c r="O69" s="62"/>
      <c r="P69" s="62"/>
      <c r="Q69" s="62"/>
      <c r="R69" s="62"/>
    </row>
    <row r="70" spans="1:20" hidden="1">
      <c r="A70" s="419">
        <v>42271</v>
      </c>
      <c r="B70" s="62" t="s">
        <v>229</v>
      </c>
      <c r="C70" s="62"/>
      <c r="D70" s="62"/>
      <c r="E70" s="62"/>
      <c r="F70" s="62"/>
      <c r="G70" s="62"/>
      <c r="H70" s="62"/>
      <c r="I70" s="62"/>
      <c r="J70" s="62"/>
      <c r="K70" s="62"/>
      <c r="L70" s="62"/>
      <c r="M70" s="62"/>
      <c r="N70" s="62">
        <v>33.75</v>
      </c>
      <c r="O70" s="62">
        <v>11.25</v>
      </c>
      <c r="P70" s="62"/>
      <c r="Q70" s="62"/>
      <c r="R70" s="62"/>
    </row>
    <row r="71" spans="1:20" hidden="1">
      <c r="A71" s="419">
        <v>42271</v>
      </c>
      <c r="B71" s="62" t="s">
        <v>41</v>
      </c>
      <c r="C71" s="62"/>
      <c r="D71" s="62"/>
      <c r="E71" s="62">
        <v>13</v>
      </c>
      <c r="F71" s="62"/>
      <c r="G71" s="62"/>
      <c r="H71" s="62"/>
      <c r="I71" s="62"/>
      <c r="J71" s="62"/>
      <c r="K71" s="62"/>
      <c r="L71" s="62"/>
      <c r="M71" s="62"/>
      <c r="N71" s="62"/>
      <c r="O71" s="62"/>
      <c r="P71" s="62"/>
      <c r="Q71" s="62">
        <v>37</v>
      </c>
      <c r="R71" s="62"/>
    </row>
    <row r="72" spans="1:20" hidden="1">
      <c r="A72" s="419">
        <v>42271</v>
      </c>
      <c r="B72" s="62" t="s">
        <v>225</v>
      </c>
      <c r="C72" s="62"/>
      <c r="D72" s="62">
        <v>29.25</v>
      </c>
      <c r="E72" s="62"/>
      <c r="F72" s="62"/>
      <c r="G72" s="62"/>
      <c r="H72" s="62"/>
      <c r="I72" s="62"/>
      <c r="J72" s="62"/>
      <c r="K72" s="62"/>
      <c r="L72" s="62"/>
      <c r="M72" s="62"/>
      <c r="N72" s="62"/>
      <c r="O72" s="62"/>
      <c r="P72" s="62"/>
      <c r="Q72" s="62"/>
      <c r="R72" s="62"/>
    </row>
    <row r="73" spans="1:20" hidden="1">
      <c r="A73" s="419">
        <v>42271</v>
      </c>
      <c r="B73" s="62" t="s">
        <v>7</v>
      </c>
      <c r="C73" s="62"/>
      <c r="D73" s="62"/>
      <c r="E73" s="62"/>
      <c r="F73" s="62"/>
      <c r="G73" s="62"/>
      <c r="H73" s="62">
        <v>6</v>
      </c>
      <c r="I73" s="62">
        <v>2</v>
      </c>
      <c r="J73" s="62"/>
      <c r="K73" s="62"/>
      <c r="L73" s="62"/>
      <c r="M73" s="62"/>
      <c r="N73" s="62"/>
      <c r="O73" s="62"/>
      <c r="P73" s="62"/>
      <c r="Q73" s="62"/>
      <c r="R73" s="62"/>
    </row>
    <row r="74" spans="1:20" hidden="1">
      <c r="A74" s="419">
        <v>42271</v>
      </c>
      <c r="B74" s="62" t="s">
        <v>12</v>
      </c>
      <c r="C74" s="62"/>
      <c r="D74" s="62">
        <v>22.75</v>
      </c>
      <c r="E74" s="62"/>
      <c r="F74" s="62"/>
      <c r="G74" s="62"/>
      <c r="H74" s="62"/>
      <c r="I74" s="62"/>
      <c r="J74" s="62"/>
      <c r="K74" s="62"/>
      <c r="L74" s="62"/>
      <c r="M74" s="62"/>
      <c r="N74" s="62"/>
      <c r="O74" s="62"/>
      <c r="P74" s="62"/>
      <c r="Q74" s="62">
        <v>16.5</v>
      </c>
      <c r="R74" s="62"/>
    </row>
    <row r="75" spans="1:20" hidden="1">
      <c r="A75" s="419">
        <v>42271</v>
      </c>
      <c r="B75" s="62" t="s">
        <v>13</v>
      </c>
      <c r="C75" s="62"/>
      <c r="D75" s="62"/>
      <c r="E75" s="62"/>
      <c r="F75" s="62"/>
      <c r="G75" s="62"/>
      <c r="H75" s="62"/>
      <c r="I75" s="62"/>
      <c r="J75" s="62"/>
      <c r="K75" s="62"/>
      <c r="L75" s="62"/>
      <c r="M75" s="62"/>
      <c r="N75" s="62">
        <v>22.5</v>
      </c>
      <c r="O75" s="62">
        <v>7.5</v>
      </c>
      <c r="P75" s="62"/>
      <c r="Q75" s="62"/>
      <c r="R75" s="62"/>
    </row>
    <row r="76" spans="1:20" hidden="1">
      <c r="A76" s="419">
        <v>42271</v>
      </c>
      <c r="B76" s="62" t="s">
        <v>8</v>
      </c>
      <c r="C76" s="62"/>
      <c r="D76" s="62">
        <v>19.5</v>
      </c>
      <c r="E76" s="62"/>
      <c r="F76" s="62"/>
      <c r="G76" s="62"/>
      <c r="H76" s="62"/>
      <c r="I76" s="62"/>
      <c r="J76" s="62"/>
      <c r="K76" s="62"/>
      <c r="L76" s="62"/>
      <c r="M76" s="62"/>
      <c r="N76" s="62"/>
      <c r="O76" s="62"/>
      <c r="P76" s="62"/>
      <c r="Q76" s="62"/>
      <c r="R76" s="62"/>
    </row>
    <row r="77" spans="1:20">
      <c r="A77" s="419">
        <v>42271</v>
      </c>
      <c r="B77" s="62" t="s">
        <v>115</v>
      </c>
      <c r="C77" s="417">
        <v>16.25</v>
      </c>
      <c r="D77" s="420">
        <v>16.25</v>
      </c>
      <c r="E77" s="62"/>
      <c r="F77" s="62"/>
      <c r="G77" s="62"/>
      <c r="H77" s="62"/>
      <c r="I77" s="62"/>
      <c r="J77" s="62"/>
      <c r="K77" s="62"/>
      <c r="L77" s="62"/>
      <c r="M77" s="62"/>
      <c r="N77" s="62"/>
      <c r="O77" s="62"/>
      <c r="P77" s="62"/>
      <c r="Q77" s="62"/>
      <c r="R77" s="62"/>
    </row>
    <row r="78" spans="1:20" hidden="1">
      <c r="A78" s="419">
        <v>42271</v>
      </c>
      <c r="B78" s="62" t="s">
        <v>235</v>
      </c>
      <c r="C78" s="62"/>
      <c r="D78" s="62">
        <v>19.5</v>
      </c>
      <c r="E78" s="62"/>
      <c r="F78" s="62"/>
      <c r="G78" s="62"/>
      <c r="H78" s="62">
        <v>10.25</v>
      </c>
      <c r="I78" s="62">
        <v>3.5</v>
      </c>
      <c r="J78" s="62"/>
      <c r="K78" s="62"/>
      <c r="L78" s="62"/>
      <c r="M78" s="62"/>
      <c r="N78" s="62"/>
      <c r="O78" s="62"/>
      <c r="P78" s="62"/>
      <c r="Q78" s="62"/>
      <c r="R78" s="62"/>
    </row>
    <row r="79" spans="1:20">
      <c r="A79" s="419">
        <v>42271</v>
      </c>
      <c r="B79" s="62" t="s">
        <v>52</v>
      </c>
      <c r="C79" s="423">
        <v>16.25</v>
      </c>
      <c r="D79" s="423">
        <v>19.5</v>
      </c>
      <c r="E79" s="62">
        <v>36.5</v>
      </c>
      <c r="F79" s="62"/>
      <c r="G79" s="62"/>
      <c r="H79" s="62"/>
      <c r="I79" s="62"/>
      <c r="J79" s="62"/>
      <c r="K79" s="62"/>
      <c r="L79" s="62"/>
      <c r="M79" s="62"/>
      <c r="N79" s="62"/>
      <c r="O79" s="62"/>
      <c r="P79" s="62"/>
      <c r="Q79" s="62"/>
      <c r="R79" s="62"/>
      <c r="T79" t="s">
        <v>231</v>
      </c>
    </row>
    <row r="80" spans="1:20" hidden="1"/>
    <row r="81" spans="1:19">
      <c r="A81" s="419">
        <v>42286</v>
      </c>
      <c r="B81" s="62" t="s">
        <v>52</v>
      </c>
      <c r="C81" s="417">
        <v>18.25</v>
      </c>
      <c r="D81" s="418">
        <v>13</v>
      </c>
      <c r="E81" s="62">
        <v>26</v>
      </c>
      <c r="F81" s="62"/>
      <c r="G81" s="62"/>
      <c r="H81" s="62"/>
      <c r="I81" s="62"/>
      <c r="J81" s="62"/>
      <c r="K81" s="62"/>
      <c r="L81" s="62"/>
      <c r="M81" s="62"/>
      <c r="N81" s="62"/>
      <c r="O81" s="62"/>
      <c r="P81" s="62"/>
      <c r="Q81" s="62"/>
      <c r="R81" s="62"/>
    </row>
    <row r="82" spans="1:19" hidden="1">
      <c r="A82" s="419">
        <v>42286</v>
      </c>
      <c r="B82" s="62" t="s">
        <v>10</v>
      </c>
      <c r="C82" s="62"/>
      <c r="D82" s="62">
        <v>15.5</v>
      </c>
      <c r="E82" s="62"/>
      <c r="F82" s="62"/>
      <c r="G82" s="62"/>
      <c r="H82" s="62"/>
      <c r="I82" s="62"/>
      <c r="J82" s="62"/>
      <c r="K82" s="62"/>
      <c r="L82" s="62"/>
      <c r="M82" s="62"/>
      <c r="N82" s="62"/>
      <c r="O82" s="62"/>
      <c r="P82" s="62"/>
      <c r="Q82" s="62"/>
      <c r="R82" s="62"/>
    </row>
    <row r="83" spans="1:19">
      <c r="A83" s="419">
        <v>42286</v>
      </c>
      <c r="B83" s="62" t="s">
        <v>17</v>
      </c>
      <c r="C83" s="62">
        <v>42.5</v>
      </c>
      <c r="D83" s="62"/>
      <c r="E83" s="62"/>
      <c r="F83" s="62"/>
      <c r="G83" s="62"/>
      <c r="H83" s="62"/>
      <c r="I83" s="62"/>
      <c r="J83" s="62"/>
      <c r="K83" s="62"/>
      <c r="L83" s="62"/>
      <c r="M83" s="62"/>
      <c r="N83" s="62"/>
      <c r="O83" s="62"/>
      <c r="P83" s="62"/>
      <c r="Q83" s="62"/>
      <c r="R83" s="62"/>
    </row>
    <row r="84" spans="1:19" hidden="1">
      <c r="A84" s="419">
        <v>42286</v>
      </c>
      <c r="B84" s="62" t="s">
        <v>9</v>
      </c>
      <c r="C84" s="62"/>
      <c r="D84" s="62">
        <v>32.5</v>
      </c>
      <c r="E84" s="62"/>
      <c r="F84" s="62"/>
      <c r="G84" s="62"/>
      <c r="H84" s="62"/>
      <c r="I84" s="62"/>
      <c r="J84" s="62"/>
      <c r="K84" s="62"/>
      <c r="L84" s="62"/>
      <c r="M84" s="62"/>
      <c r="N84" s="62"/>
      <c r="O84" s="62"/>
      <c r="P84" s="62"/>
      <c r="Q84" s="62"/>
      <c r="R84" s="62"/>
    </row>
    <row r="85" spans="1:19" hidden="1">
      <c r="A85" s="419">
        <v>42286</v>
      </c>
      <c r="B85" s="62" t="s">
        <v>229</v>
      </c>
      <c r="C85" s="62"/>
      <c r="D85" s="62"/>
      <c r="E85" s="62"/>
      <c r="F85" s="62"/>
      <c r="G85" s="62"/>
      <c r="H85" s="62"/>
      <c r="I85" s="62"/>
      <c r="J85" s="62"/>
      <c r="K85" s="62"/>
      <c r="L85" s="62"/>
      <c r="M85" s="62"/>
      <c r="N85" s="62">
        <v>48.75</v>
      </c>
      <c r="O85" s="62">
        <v>16.25</v>
      </c>
      <c r="P85" s="62"/>
      <c r="Q85" s="62"/>
      <c r="R85" s="62"/>
    </row>
    <row r="86" spans="1:19" hidden="1">
      <c r="A86" s="419">
        <v>42286</v>
      </c>
      <c r="B86" s="62" t="s">
        <v>39</v>
      </c>
      <c r="C86" s="62"/>
      <c r="D86" s="62"/>
      <c r="E86" s="62">
        <v>15</v>
      </c>
      <c r="F86" s="62"/>
      <c r="G86" s="62"/>
      <c r="H86" s="62"/>
      <c r="I86" s="62"/>
      <c r="J86" s="62"/>
      <c r="K86" s="62"/>
      <c r="L86" s="62"/>
      <c r="M86" s="62"/>
      <c r="N86" s="62"/>
      <c r="O86" s="62"/>
      <c r="P86" s="62"/>
      <c r="Q86" s="62">
        <v>13</v>
      </c>
      <c r="R86" s="62"/>
    </row>
    <row r="87" spans="1:19" hidden="1">
      <c r="A87" s="419">
        <v>42286</v>
      </c>
      <c r="B87" s="62" t="s">
        <v>225</v>
      </c>
      <c r="C87" s="62"/>
      <c r="D87" s="62">
        <v>28.5</v>
      </c>
      <c r="E87" s="62"/>
      <c r="F87" s="62"/>
      <c r="G87" s="62"/>
      <c r="H87" s="62"/>
      <c r="I87" s="62"/>
      <c r="J87" s="62"/>
      <c r="K87" s="62"/>
      <c r="L87" s="62"/>
      <c r="M87" s="62"/>
      <c r="N87" s="62"/>
      <c r="O87" s="62"/>
      <c r="P87" s="62"/>
      <c r="Q87" s="62"/>
      <c r="R87" s="62"/>
    </row>
    <row r="88" spans="1:19" hidden="1">
      <c r="A88" s="419">
        <v>42286</v>
      </c>
      <c r="B88" s="62" t="s">
        <v>7</v>
      </c>
      <c r="C88" s="62"/>
      <c r="D88" s="62"/>
      <c r="E88" s="62"/>
      <c r="F88" s="62"/>
      <c r="G88" s="62"/>
      <c r="H88" s="62">
        <v>3</v>
      </c>
      <c r="I88" s="62">
        <v>1</v>
      </c>
      <c r="J88" s="62"/>
      <c r="K88" s="62"/>
      <c r="L88" s="62"/>
      <c r="M88" s="62"/>
      <c r="N88" s="62"/>
      <c r="O88" s="62"/>
      <c r="P88" s="62"/>
      <c r="Q88" s="62"/>
      <c r="R88" s="62"/>
    </row>
    <row r="89" spans="1:19" hidden="1">
      <c r="A89" s="419">
        <v>42286</v>
      </c>
      <c r="B89" s="62" t="s">
        <v>12</v>
      </c>
      <c r="C89" s="62"/>
      <c r="D89" s="62">
        <v>22.5</v>
      </c>
      <c r="E89" s="62"/>
      <c r="F89" s="62"/>
      <c r="G89" s="62"/>
      <c r="H89" s="62"/>
      <c r="I89" s="62"/>
      <c r="J89" s="62"/>
      <c r="K89" s="62"/>
      <c r="L89" s="62"/>
      <c r="M89" s="62"/>
      <c r="N89" s="62"/>
      <c r="O89" s="62"/>
      <c r="P89" s="62"/>
      <c r="Q89" s="62">
        <v>11.5</v>
      </c>
      <c r="R89" s="62"/>
    </row>
    <row r="90" spans="1:19" hidden="1">
      <c r="A90" s="419">
        <v>42286</v>
      </c>
      <c r="B90" s="62" t="s">
        <v>232</v>
      </c>
      <c r="C90" s="62"/>
      <c r="D90" s="62">
        <v>25.75</v>
      </c>
      <c r="E90" s="62"/>
      <c r="F90" s="62"/>
      <c r="G90" s="62"/>
      <c r="H90" s="62">
        <v>5</v>
      </c>
      <c r="I90" s="62">
        <v>1.5</v>
      </c>
      <c r="J90" s="62"/>
      <c r="K90" s="62"/>
      <c r="L90" s="62"/>
      <c r="M90" s="62"/>
      <c r="N90" s="62"/>
      <c r="O90" s="62"/>
      <c r="P90" s="62"/>
      <c r="Q90" s="62"/>
      <c r="R90" s="62"/>
    </row>
    <row r="91" spans="1:19" hidden="1">
      <c r="A91" s="419">
        <v>42286</v>
      </c>
      <c r="B91" s="62" t="s">
        <v>13</v>
      </c>
      <c r="C91" s="421"/>
      <c r="D91" s="421"/>
      <c r="E91" s="62"/>
      <c r="F91" s="62"/>
      <c r="G91" s="62"/>
      <c r="H91" s="62"/>
      <c r="I91" s="62"/>
      <c r="J91" s="62"/>
      <c r="K91" s="62"/>
      <c r="L91" s="62"/>
      <c r="M91" s="62"/>
      <c r="N91" s="62">
        <v>25.5</v>
      </c>
      <c r="O91" s="62">
        <v>8.5</v>
      </c>
      <c r="P91" s="62"/>
      <c r="Q91" s="62"/>
      <c r="R91" s="62"/>
    </row>
    <row r="92" spans="1:19" hidden="1">
      <c r="A92" s="419">
        <v>42286</v>
      </c>
      <c r="B92" s="62" t="s">
        <v>8</v>
      </c>
      <c r="C92" s="421"/>
      <c r="D92" s="421">
        <v>22.5</v>
      </c>
      <c r="E92" s="62"/>
      <c r="F92" s="62"/>
      <c r="G92" s="62"/>
      <c r="H92" s="62"/>
      <c r="I92" s="62"/>
      <c r="J92" s="62"/>
      <c r="K92" s="62"/>
      <c r="L92" s="62"/>
      <c r="M92" s="62"/>
      <c r="N92" s="62"/>
      <c r="O92" s="62"/>
      <c r="P92" s="62"/>
      <c r="Q92" s="62"/>
      <c r="R92" s="62"/>
    </row>
    <row r="93" spans="1:19">
      <c r="A93" s="419">
        <v>42286</v>
      </c>
      <c r="B93" s="62" t="s">
        <v>115</v>
      </c>
      <c r="C93" s="421">
        <v>13</v>
      </c>
      <c r="D93" s="418">
        <v>13</v>
      </c>
      <c r="E93" s="62"/>
      <c r="F93" s="62"/>
      <c r="G93" s="62"/>
      <c r="H93" s="62"/>
      <c r="I93" s="62"/>
      <c r="J93" s="62"/>
      <c r="K93" s="62"/>
      <c r="L93" s="62"/>
      <c r="M93" s="62"/>
      <c r="N93" s="62"/>
      <c r="O93" s="62"/>
      <c r="P93" s="62"/>
      <c r="Q93" s="62"/>
      <c r="R93" s="62"/>
    </row>
    <row r="94" spans="1:19" hidden="1">
      <c r="A94" s="61"/>
    </row>
    <row r="95" spans="1:19">
      <c r="A95" s="61">
        <v>42300</v>
      </c>
      <c r="B95" s="64" t="s">
        <v>52</v>
      </c>
      <c r="C95" s="64">
        <v>9.75</v>
      </c>
      <c r="D95" s="64">
        <v>9.75</v>
      </c>
      <c r="E95" s="64">
        <v>20</v>
      </c>
      <c r="F95" s="64"/>
      <c r="G95" s="64"/>
      <c r="H95" s="64"/>
      <c r="I95" s="64"/>
      <c r="J95" s="64"/>
      <c r="K95" s="64"/>
      <c r="L95" s="64"/>
      <c r="M95" s="64"/>
      <c r="N95" s="64"/>
      <c r="O95" s="64"/>
      <c r="P95" s="64"/>
      <c r="Q95" s="64"/>
      <c r="R95" s="64"/>
      <c r="S95" t="s">
        <v>282</v>
      </c>
    </row>
    <row r="96" spans="1:19" hidden="1">
      <c r="A96" s="61">
        <v>42300</v>
      </c>
      <c r="B96" s="62" t="s">
        <v>10</v>
      </c>
      <c r="C96" s="62"/>
      <c r="D96" s="62">
        <v>16.25</v>
      </c>
      <c r="E96" s="62"/>
      <c r="F96" s="62"/>
      <c r="G96" s="62"/>
      <c r="H96" s="62"/>
      <c r="I96" s="62"/>
      <c r="J96" s="62"/>
      <c r="K96" s="62"/>
      <c r="L96" s="62"/>
      <c r="M96" s="62"/>
      <c r="N96" s="62"/>
      <c r="O96" s="62"/>
      <c r="P96" s="62"/>
      <c r="Q96" s="62"/>
      <c r="R96" s="62"/>
    </row>
    <row r="97" spans="1:18">
      <c r="A97" s="61">
        <v>42300</v>
      </c>
      <c r="B97" s="62" t="s">
        <v>17</v>
      </c>
      <c r="C97" s="62">
        <v>42</v>
      </c>
      <c r="D97" s="62"/>
      <c r="E97" s="62"/>
      <c r="F97" s="62"/>
      <c r="G97" s="62"/>
      <c r="H97" s="62"/>
      <c r="I97" s="62"/>
      <c r="J97" s="62"/>
      <c r="K97" s="62"/>
      <c r="L97" s="62"/>
      <c r="M97" s="62"/>
      <c r="N97" s="62"/>
      <c r="O97" s="62"/>
      <c r="P97" s="62"/>
      <c r="Q97" s="62"/>
      <c r="R97" s="62"/>
    </row>
    <row r="98" spans="1:18" hidden="1">
      <c r="A98" s="61">
        <v>42300</v>
      </c>
      <c r="B98" s="62" t="s">
        <v>9</v>
      </c>
      <c r="C98" s="62"/>
      <c r="D98" s="62">
        <v>38.5</v>
      </c>
      <c r="E98" s="62"/>
      <c r="F98" s="62"/>
      <c r="G98" s="62"/>
      <c r="H98" s="62"/>
      <c r="I98" s="62"/>
      <c r="J98" s="62"/>
      <c r="K98" s="62"/>
      <c r="L98" s="62"/>
      <c r="M98" s="62"/>
      <c r="N98" s="62"/>
      <c r="O98" s="62"/>
      <c r="P98" s="62"/>
      <c r="Q98" s="62"/>
      <c r="R98" s="62"/>
    </row>
    <row r="99" spans="1:18" hidden="1">
      <c r="A99" s="61">
        <v>42300</v>
      </c>
      <c r="B99" s="447" t="s">
        <v>228</v>
      </c>
      <c r="C99" s="62"/>
      <c r="D99" s="62">
        <v>9.75</v>
      </c>
      <c r="E99" s="62"/>
      <c r="F99" s="62"/>
      <c r="G99" s="62"/>
      <c r="H99" s="62"/>
      <c r="I99" s="62"/>
      <c r="J99" s="62"/>
      <c r="K99" s="62"/>
      <c r="L99" s="62"/>
      <c r="M99" s="62"/>
      <c r="N99" s="62"/>
      <c r="O99" s="62"/>
      <c r="P99" s="62"/>
      <c r="Q99" s="62"/>
      <c r="R99" s="62"/>
    </row>
    <row r="100" spans="1:18" hidden="1">
      <c r="A100" s="61">
        <v>42300</v>
      </c>
      <c r="B100" s="62" t="s">
        <v>229</v>
      </c>
      <c r="C100" s="62"/>
      <c r="D100" s="62"/>
      <c r="E100" s="62"/>
      <c r="F100" s="62"/>
      <c r="G100" s="62"/>
      <c r="H100" s="62"/>
      <c r="I100" s="62"/>
      <c r="J100" s="62"/>
      <c r="K100" s="62"/>
      <c r="L100" s="62"/>
      <c r="M100" s="62"/>
      <c r="N100" s="62">
        <v>40</v>
      </c>
      <c r="O100" s="62">
        <v>20</v>
      </c>
      <c r="P100" s="62"/>
      <c r="Q100" s="62"/>
      <c r="R100" s="62"/>
    </row>
    <row r="101" spans="1:18" hidden="1">
      <c r="A101" s="61">
        <v>42300</v>
      </c>
      <c r="B101" s="62" t="s">
        <v>41</v>
      </c>
      <c r="C101" s="62"/>
      <c r="D101" s="62"/>
      <c r="E101" s="62">
        <v>7.5</v>
      </c>
      <c r="F101" s="62"/>
      <c r="G101" s="62"/>
      <c r="H101" s="62"/>
      <c r="I101" s="62"/>
      <c r="J101" s="62"/>
      <c r="K101" s="62"/>
      <c r="L101" s="62"/>
      <c r="M101" s="62"/>
      <c r="N101" s="62"/>
      <c r="O101" s="62"/>
      <c r="P101" s="62"/>
      <c r="Q101" s="62">
        <v>13</v>
      </c>
      <c r="R101" s="62"/>
    </row>
    <row r="102" spans="1:18" hidden="1">
      <c r="A102" s="61">
        <v>42300</v>
      </c>
      <c r="B102" s="448" t="s">
        <v>225</v>
      </c>
      <c r="C102" s="62"/>
      <c r="D102" s="62">
        <v>22.5</v>
      </c>
      <c r="E102" s="62"/>
      <c r="F102" s="62"/>
      <c r="G102" s="62"/>
      <c r="H102" s="62"/>
      <c r="I102" s="62"/>
      <c r="J102" s="62"/>
      <c r="K102" s="62"/>
      <c r="L102" s="62"/>
      <c r="M102" s="62"/>
      <c r="N102" s="62"/>
      <c r="O102" s="62"/>
      <c r="P102" s="62"/>
      <c r="Q102" s="62"/>
      <c r="R102" s="62"/>
    </row>
    <row r="103" spans="1:18" hidden="1">
      <c r="A103" s="61">
        <v>42300</v>
      </c>
      <c r="B103" s="448" t="s">
        <v>7</v>
      </c>
      <c r="C103" s="62"/>
      <c r="D103" s="62"/>
      <c r="E103" s="62"/>
      <c r="F103" s="62"/>
      <c r="G103" s="62"/>
      <c r="H103" s="62">
        <v>3</v>
      </c>
      <c r="I103" s="62">
        <v>1</v>
      </c>
      <c r="J103" s="62"/>
      <c r="K103" s="62"/>
      <c r="L103" s="62"/>
      <c r="M103" s="62"/>
      <c r="N103" s="62"/>
      <c r="O103" s="62"/>
      <c r="P103" s="62"/>
      <c r="Q103" s="62"/>
      <c r="R103" s="62"/>
    </row>
    <row r="104" spans="1:18" hidden="1">
      <c r="A104" s="61">
        <v>42300</v>
      </c>
      <c r="B104" s="448" t="s">
        <v>12</v>
      </c>
      <c r="C104" s="62"/>
      <c r="D104" s="62">
        <v>22.5</v>
      </c>
      <c r="E104" s="62"/>
      <c r="F104" s="62"/>
      <c r="G104" s="62"/>
      <c r="H104" s="62"/>
      <c r="I104" s="62"/>
      <c r="J104" s="62"/>
      <c r="K104" s="62"/>
      <c r="L104" s="62"/>
      <c r="M104" s="62"/>
      <c r="N104" s="62"/>
      <c r="O104" s="62"/>
      <c r="P104" s="62"/>
      <c r="Q104" s="62">
        <v>10.5</v>
      </c>
      <c r="R104" s="62"/>
    </row>
    <row r="105" spans="1:18" hidden="1">
      <c r="A105" s="61">
        <v>42300</v>
      </c>
      <c r="B105" s="62" t="s">
        <v>11</v>
      </c>
      <c r="C105" s="62"/>
      <c r="D105" s="62">
        <v>12.75</v>
      </c>
      <c r="E105" s="62"/>
      <c r="F105" s="62"/>
      <c r="G105" s="62"/>
      <c r="H105" s="62">
        <v>4</v>
      </c>
      <c r="I105" s="62">
        <v>2.5</v>
      </c>
      <c r="J105" s="62"/>
      <c r="K105" s="62"/>
      <c r="L105" s="62"/>
      <c r="M105" s="62"/>
      <c r="N105" s="62"/>
      <c r="O105" s="62"/>
      <c r="P105" s="62"/>
      <c r="Q105" s="62"/>
      <c r="R105" s="62"/>
    </row>
    <row r="106" spans="1:18" hidden="1">
      <c r="A106" s="61">
        <v>42300</v>
      </c>
      <c r="B106" s="62" t="s">
        <v>13</v>
      </c>
      <c r="C106" s="62"/>
      <c r="D106" s="62"/>
      <c r="E106" s="62"/>
      <c r="F106" s="62"/>
      <c r="G106" s="62"/>
      <c r="H106" s="62"/>
      <c r="I106" s="62"/>
      <c r="J106" s="62"/>
      <c r="K106" s="62"/>
      <c r="L106" s="62"/>
      <c r="M106" s="62"/>
      <c r="N106" s="62">
        <v>17</v>
      </c>
      <c r="O106" s="62">
        <v>5.5</v>
      </c>
      <c r="P106" s="62"/>
      <c r="Q106" s="62"/>
      <c r="R106" s="62"/>
    </row>
    <row r="107" spans="1:18" hidden="1">
      <c r="A107" s="61">
        <v>42300</v>
      </c>
      <c r="B107" s="62" t="s">
        <v>8</v>
      </c>
      <c r="C107" s="62"/>
      <c r="D107" s="62">
        <v>22.5</v>
      </c>
      <c r="E107" s="62"/>
      <c r="F107" s="62"/>
      <c r="G107" s="62"/>
      <c r="H107" s="62"/>
      <c r="I107" s="62"/>
      <c r="J107" s="62"/>
      <c r="K107" s="62"/>
      <c r="L107" s="62"/>
      <c r="M107" s="62"/>
      <c r="N107" s="62"/>
      <c r="O107" s="62"/>
      <c r="P107" s="62"/>
      <c r="Q107" s="62"/>
      <c r="R107" s="62"/>
    </row>
    <row r="108" spans="1:18">
      <c r="A108" s="61">
        <v>42300</v>
      </c>
      <c r="B108" s="62" t="s">
        <v>115</v>
      </c>
      <c r="C108" s="62">
        <v>13</v>
      </c>
      <c r="D108" s="62">
        <v>13</v>
      </c>
      <c r="E108" s="62"/>
      <c r="F108" s="62"/>
      <c r="G108" s="62"/>
      <c r="H108" s="62"/>
      <c r="I108" s="62"/>
      <c r="J108" s="62"/>
      <c r="K108" s="62"/>
      <c r="L108" s="62"/>
      <c r="M108" s="62"/>
      <c r="N108" s="62"/>
      <c r="O108" s="62"/>
      <c r="P108" s="62"/>
      <c r="Q108" s="62"/>
      <c r="R108" s="62"/>
    </row>
    <row r="109" spans="1:18" hidden="1"/>
    <row r="110" spans="1:18">
      <c r="A110" s="61">
        <v>42313</v>
      </c>
      <c r="B110" s="64" t="s">
        <v>52</v>
      </c>
      <c r="C110" s="62">
        <v>13</v>
      </c>
      <c r="D110" s="62">
        <v>16.25</v>
      </c>
      <c r="E110" s="62">
        <v>15.75</v>
      </c>
      <c r="F110" s="62"/>
      <c r="G110" s="62"/>
      <c r="H110" s="62"/>
      <c r="I110" s="62"/>
      <c r="J110" s="62"/>
      <c r="K110" s="62"/>
      <c r="L110" s="62"/>
      <c r="M110" s="62"/>
      <c r="N110" s="62"/>
      <c r="O110" s="62"/>
      <c r="P110" s="62"/>
      <c r="Q110" s="62"/>
      <c r="R110" s="62"/>
    </row>
    <row r="111" spans="1:18" hidden="1">
      <c r="A111" s="61">
        <v>42313</v>
      </c>
      <c r="B111" s="62" t="s">
        <v>10</v>
      </c>
      <c r="C111" s="62"/>
      <c r="D111" s="62">
        <v>9.75</v>
      </c>
      <c r="E111" s="62"/>
      <c r="F111" s="62"/>
      <c r="G111" s="62"/>
      <c r="H111" s="62"/>
      <c r="I111" s="62"/>
      <c r="J111" s="62"/>
      <c r="K111" s="62"/>
      <c r="L111" s="62"/>
      <c r="M111" s="62"/>
      <c r="N111" s="62"/>
      <c r="O111" s="62"/>
      <c r="P111" s="62"/>
      <c r="Q111" s="62"/>
      <c r="R111" s="62"/>
    </row>
    <row r="112" spans="1:18">
      <c r="A112" s="61">
        <v>42313</v>
      </c>
      <c r="B112" s="62" t="s">
        <v>17</v>
      </c>
      <c r="C112" s="62">
        <v>37.75</v>
      </c>
      <c r="D112" s="62"/>
      <c r="E112" s="62"/>
      <c r="F112" s="62"/>
      <c r="G112" s="62"/>
      <c r="H112" s="62"/>
      <c r="I112" s="62"/>
      <c r="J112" s="62"/>
      <c r="K112" s="62"/>
      <c r="L112" s="62"/>
      <c r="M112" s="62"/>
      <c r="N112" s="62"/>
      <c r="O112" s="62"/>
      <c r="P112" s="62"/>
      <c r="Q112" s="62"/>
      <c r="R112" s="62"/>
    </row>
    <row r="113" spans="1:19" hidden="1">
      <c r="A113" s="61">
        <v>42313</v>
      </c>
      <c r="B113" s="62" t="s">
        <v>9</v>
      </c>
      <c r="C113" s="62"/>
      <c r="D113" s="62">
        <v>29.25</v>
      </c>
      <c r="E113" s="62"/>
      <c r="F113" s="62"/>
      <c r="G113" s="62"/>
      <c r="H113" s="62"/>
      <c r="I113" s="62"/>
      <c r="J113" s="62"/>
      <c r="K113" s="62"/>
      <c r="L113" s="62"/>
      <c r="M113" s="62"/>
      <c r="N113" s="62"/>
      <c r="O113" s="62"/>
      <c r="P113" s="62"/>
      <c r="Q113" s="62"/>
      <c r="R113" s="62"/>
    </row>
    <row r="114" spans="1:19" hidden="1">
      <c r="A114" s="61">
        <v>42313</v>
      </c>
      <c r="B114" s="447" t="s">
        <v>18</v>
      </c>
      <c r="C114" s="62"/>
      <c r="D114" s="62">
        <v>3.25</v>
      </c>
      <c r="E114" s="62"/>
      <c r="F114" s="62"/>
      <c r="G114" s="62"/>
      <c r="H114" s="62"/>
      <c r="I114" s="62"/>
      <c r="J114" s="62"/>
      <c r="K114" s="62"/>
      <c r="L114" s="62"/>
      <c r="M114" s="62"/>
      <c r="N114" s="62"/>
      <c r="O114" s="62"/>
      <c r="P114" s="62"/>
      <c r="Q114" s="62"/>
      <c r="R114" s="62"/>
    </row>
    <row r="115" spans="1:19" hidden="1">
      <c r="A115" s="61">
        <v>42313</v>
      </c>
      <c r="B115" s="62" t="s">
        <v>229</v>
      </c>
      <c r="C115" s="62"/>
      <c r="D115" s="62"/>
      <c r="E115" s="62"/>
      <c r="F115" s="62"/>
      <c r="G115" s="62"/>
      <c r="H115" s="62"/>
      <c r="I115" s="62"/>
      <c r="J115" s="62"/>
      <c r="K115" s="62"/>
      <c r="L115" s="62"/>
      <c r="M115" s="62"/>
      <c r="N115" s="62">
        <v>40.5</v>
      </c>
      <c r="O115" s="62">
        <v>13.5</v>
      </c>
      <c r="P115" s="62"/>
      <c r="Q115" s="62"/>
      <c r="R115" s="62"/>
    </row>
    <row r="116" spans="1:19" hidden="1">
      <c r="A116" s="61">
        <v>42313</v>
      </c>
      <c r="B116" s="62" t="s">
        <v>41</v>
      </c>
      <c r="C116" s="62"/>
      <c r="D116" s="62"/>
      <c r="E116" s="62">
        <v>13</v>
      </c>
      <c r="F116" s="62"/>
      <c r="G116" s="62"/>
      <c r="H116" s="62"/>
      <c r="I116" s="62"/>
      <c r="J116" s="62"/>
      <c r="K116" s="62"/>
      <c r="L116" s="62"/>
      <c r="M116" s="62"/>
      <c r="N116" s="62"/>
      <c r="O116" s="62"/>
      <c r="P116" s="62"/>
      <c r="Q116" s="62">
        <v>13</v>
      </c>
      <c r="R116" s="62"/>
    </row>
    <row r="117" spans="1:19" hidden="1">
      <c r="A117" s="61">
        <v>42313</v>
      </c>
      <c r="B117" s="448" t="s">
        <v>225</v>
      </c>
      <c r="C117" s="62"/>
      <c r="D117" s="62">
        <v>26</v>
      </c>
      <c r="E117" s="62"/>
      <c r="F117" s="62"/>
      <c r="G117" s="62"/>
      <c r="H117" s="62"/>
      <c r="I117" s="62"/>
      <c r="J117" s="62"/>
      <c r="K117" s="62"/>
      <c r="L117" s="62"/>
      <c r="M117" s="62"/>
      <c r="N117" s="62"/>
      <c r="O117" s="62"/>
      <c r="P117" s="62"/>
      <c r="Q117" s="62"/>
      <c r="R117" s="62"/>
    </row>
    <row r="118" spans="1:19" hidden="1">
      <c r="A118" s="61">
        <v>42313</v>
      </c>
      <c r="B118" s="448" t="s">
        <v>7</v>
      </c>
      <c r="C118" s="62"/>
      <c r="D118" s="62"/>
      <c r="E118" s="62"/>
      <c r="F118" s="62">
        <v>6</v>
      </c>
      <c r="G118" s="62">
        <v>2</v>
      </c>
      <c r="H118" s="62"/>
      <c r="I118" s="62"/>
      <c r="J118" s="62"/>
      <c r="K118" s="62"/>
      <c r="L118" s="62"/>
      <c r="M118" s="62"/>
      <c r="N118" s="62"/>
      <c r="O118" s="62"/>
      <c r="P118" s="62"/>
      <c r="Q118" s="62"/>
      <c r="R118" s="62"/>
    </row>
    <row r="119" spans="1:19" hidden="1">
      <c r="A119" s="61">
        <v>42313</v>
      </c>
      <c r="B119" s="448" t="s">
        <v>12</v>
      </c>
      <c r="C119" s="62"/>
      <c r="D119" s="62">
        <v>16.25</v>
      </c>
      <c r="E119" s="62"/>
      <c r="F119" s="62"/>
      <c r="G119" s="62"/>
      <c r="H119" s="62"/>
      <c r="I119" s="62"/>
      <c r="J119" s="62"/>
      <c r="K119" s="62"/>
      <c r="L119" s="62"/>
      <c r="M119" s="62"/>
      <c r="N119" s="62"/>
      <c r="O119" s="62"/>
      <c r="P119" s="62"/>
      <c r="Q119" s="62">
        <v>10.5</v>
      </c>
      <c r="R119" s="62"/>
    </row>
    <row r="120" spans="1:19" hidden="1">
      <c r="A120" s="61">
        <v>42313</v>
      </c>
      <c r="B120" s="62" t="s">
        <v>11</v>
      </c>
      <c r="C120" s="62"/>
      <c r="D120" s="62">
        <v>16.25</v>
      </c>
      <c r="E120" s="62"/>
      <c r="F120" s="62"/>
      <c r="G120" s="62"/>
      <c r="H120" s="62">
        <v>9.5</v>
      </c>
      <c r="I120" s="62">
        <v>3</v>
      </c>
      <c r="J120" s="62"/>
      <c r="K120" s="62"/>
      <c r="L120" s="62"/>
      <c r="M120" s="62"/>
      <c r="N120" s="62"/>
      <c r="O120" s="62"/>
      <c r="P120" s="62"/>
      <c r="Q120" s="62"/>
      <c r="R120" s="62"/>
    </row>
    <row r="121" spans="1:19" hidden="1">
      <c r="A121" s="61">
        <v>42313</v>
      </c>
      <c r="B121" s="62" t="s">
        <v>13</v>
      </c>
      <c r="C121" s="62"/>
      <c r="D121" s="62"/>
      <c r="E121" s="62"/>
      <c r="F121" s="62"/>
      <c r="G121" s="62"/>
      <c r="H121" s="62"/>
      <c r="I121" s="62"/>
      <c r="J121" s="62"/>
      <c r="K121" s="62"/>
      <c r="L121" s="62"/>
      <c r="M121" s="62"/>
      <c r="N121" s="62">
        <v>20</v>
      </c>
      <c r="O121" s="62">
        <v>6.5</v>
      </c>
      <c r="P121" s="62"/>
      <c r="Q121" s="62"/>
      <c r="R121" s="62"/>
    </row>
    <row r="122" spans="1:19" hidden="1">
      <c r="A122" s="61">
        <v>42313</v>
      </c>
      <c r="B122" s="62" t="s">
        <v>8</v>
      </c>
      <c r="C122" s="62"/>
      <c r="D122" s="62">
        <v>22.5</v>
      </c>
      <c r="E122" s="62"/>
      <c r="F122" s="62"/>
      <c r="G122" s="62"/>
      <c r="H122" s="62"/>
      <c r="I122" s="62"/>
      <c r="J122" s="62"/>
      <c r="K122" s="62"/>
      <c r="L122" s="62"/>
      <c r="M122" s="62"/>
      <c r="N122" s="62"/>
      <c r="O122" s="62"/>
      <c r="P122" s="62"/>
      <c r="Q122" s="62"/>
      <c r="R122" s="62"/>
    </row>
    <row r="123" spans="1:19">
      <c r="A123" s="61">
        <v>42313</v>
      </c>
      <c r="B123" s="62" t="s">
        <v>115</v>
      </c>
      <c r="C123" s="62">
        <v>6.5</v>
      </c>
      <c r="D123" s="62">
        <v>6.5</v>
      </c>
      <c r="E123" s="62"/>
      <c r="F123" s="62"/>
      <c r="G123" s="62"/>
      <c r="H123" s="62"/>
      <c r="I123" s="62"/>
      <c r="J123" s="62"/>
      <c r="K123" s="62"/>
      <c r="L123" s="62"/>
      <c r="M123" s="62"/>
      <c r="N123" s="62"/>
      <c r="O123" s="62"/>
      <c r="P123" s="62"/>
      <c r="Q123" s="62"/>
      <c r="R123" s="62"/>
    </row>
    <row r="124" spans="1:19" hidden="1"/>
    <row r="125" spans="1:19">
      <c r="A125" s="61">
        <v>42327</v>
      </c>
      <c r="B125" s="62" t="s">
        <v>283</v>
      </c>
      <c r="C125" s="62">
        <v>1</v>
      </c>
      <c r="D125" s="62"/>
      <c r="E125" s="62"/>
      <c r="F125" s="62"/>
      <c r="G125" s="62"/>
      <c r="H125" s="62"/>
      <c r="I125" s="62"/>
      <c r="J125" s="62"/>
      <c r="K125" s="62"/>
      <c r="L125" s="62"/>
      <c r="M125" s="62"/>
      <c r="N125" s="62"/>
      <c r="O125" s="62"/>
      <c r="P125" s="62"/>
      <c r="Q125" s="62"/>
      <c r="R125" s="62"/>
    </row>
    <row r="126" spans="1:19">
      <c r="A126" s="61">
        <v>42327</v>
      </c>
      <c r="B126" s="64" t="s">
        <v>52</v>
      </c>
      <c r="C126" s="62">
        <v>13</v>
      </c>
      <c r="D126" s="62">
        <v>19.25</v>
      </c>
      <c r="E126" s="62">
        <v>22.75</v>
      </c>
      <c r="F126" s="62"/>
      <c r="G126" s="62"/>
      <c r="H126" s="62"/>
      <c r="I126" s="62"/>
      <c r="J126" s="62"/>
      <c r="K126" s="62"/>
      <c r="L126" s="62"/>
      <c r="M126" s="62"/>
      <c r="N126" s="62"/>
      <c r="O126" s="62"/>
      <c r="P126" s="62"/>
      <c r="Q126" s="62"/>
      <c r="R126" s="62"/>
      <c r="S126" t="s">
        <v>360</v>
      </c>
    </row>
    <row r="127" spans="1:19" hidden="1">
      <c r="A127" s="61">
        <v>42327</v>
      </c>
      <c r="B127" s="62" t="s">
        <v>10</v>
      </c>
      <c r="C127" s="62"/>
      <c r="D127" s="62">
        <v>16.25</v>
      </c>
      <c r="E127" s="62"/>
      <c r="F127" s="62"/>
      <c r="G127" s="62"/>
      <c r="H127" s="62"/>
      <c r="I127" s="62"/>
      <c r="J127" s="62"/>
      <c r="K127" s="62"/>
      <c r="L127" s="62"/>
      <c r="M127" s="62"/>
      <c r="N127" s="62"/>
      <c r="O127" s="62"/>
      <c r="P127" s="62"/>
      <c r="Q127" s="62"/>
      <c r="R127" s="62"/>
    </row>
    <row r="128" spans="1:19">
      <c r="A128" s="61">
        <v>42327</v>
      </c>
      <c r="B128" s="62" t="s">
        <v>17</v>
      </c>
      <c r="C128" s="62">
        <v>42</v>
      </c>
      <c r="D128" s="62"/>
      <c r="E128" s="62"/>
      <c r="F128" s="62"/>
      <c r="G128" s="62"/>
      <c r="H128" s="62"/>
      <c r="I128" s="62"/>
      <c r="J128" s="62"/>
      <c r="K128" s="62"/>
      <c r="L128" s="62"/>
      <c r="M128" s="62"/>
      <c r="N128" s="62"/>
      <c r="O128" s="62"/>
      <c r="P128" s="62"/>
      <c r="Q128" s="62"/>
      <c r="R128" s="62"/>
    </row>
    <row r="129" spans="1:18">
      <c r="A129" s="61">
        <v>42327</v>
      </c>
      <c r="B129" s="62" t="s">
        <v>9</v>
      </c>
      <c r="C129" s="62">
        <v>32.5</v>
      </c>
      <c r="D129" s="62"/>
      <c r="E129" s="62"/>
      <c r="F129" s="62"/>
      <c r="G129" s="62"/>
      <c r="H129" s="62"/>
      <c r="I129" s="62"/>
      <c r="J129" s="62"/>
      <c r="K129" s="62"/>
      <c r="L129" s="62"/>
      <c r="M129" s="62"/>
      <c r="N129" s="62"/>
      <c r="O129" s="62"/>
      <c r="P129" s="62"/>
      <c r="Q129" s="62"/>
      <c r="R129" s="62"/>
    </row>
    <row r="130" spans="1:18">
      <c r="A130" s="61">
        <v>42327</v>
      </c>
      <c r="B130" s="447" t="s">
        <v>228</v>
      </c>
      <c r="C130" s="62">
        <v>3</v>
      </c>
      <c r="D130" s="62"/>
      <c r="E130" s="62"/>
      <c r="F130" s="62"/>
      <c r="G130" s="62"/>
      <c r="H130" s="62"/>
      <c r="I130" s="62"/>
      <c r="J130" s="62"/>
      <c r="K130" s="62"/>
      <c r="L130" s="62"/>
      <c r="M130" s="62"/>
      <c r="N130" s="62"/>
      <c r="O130" s="62"/>
      <c r="P130" s="62"/>
      <c r="Q130" s="62"/>
      <c r="R130" s="62"/>
    </row>
    <row r="131" spans="1:18" hidden="1">
      <c r="A131" s="61">
        <v>42327</v>
      </c>
      <c r="B131" s="62" t="s">
        <v>229</v>
      </c>
      <c r="C131" s="62"/>
      <c r="D131" s="62"/>
      <c r="E131" s="62"/>
      <c r="F131" s="62"/>
      <c r="G131" s="62"/>
      <c r="H131" s="62"/>
      <c r="I131" s="62"/>
      <c r="J131" s="62"/>
      <c r="K131" s="62"/>
      <c r="L131" s="62"/>
      <c r="M131" s="62"/>
      <c r="N131" s="62">
        <v>45</v>
      </c>
      <c r="O131" s="62">
        <v>15</v>
      </c>
      <c r="P131" s="62"/>
      <c r="Q131" s="62"/>
      <c r="R131" s="62"/>
    </row>
    <row r="132" spans="1:18" hidden="1">
      <c r="A132" s="61">
        <v>42327</v>
      </c>
      <c r="B132" s="62" t="s">
        <v>41</v>
      </c>
      <c r="C132" s="62"/>
      <c r="D132" s="62"/>
      <c r="E132" s="62">
        <v>9.75</v>
      </c>
      <c r="F132" s="62"/>
      <c r="G132" s="62"/>
      <c r="H132" s="62"/>
      <c r="I132" s="62"/>
      <c r="J132" s="62"/>
      <c r="K132" s="62">
        <v>3.25</v>
      </c>
      <c r="L132" s="62"/>
      <c r="M132" s="62"/>
      <c r="N132" s="62"/>
      <c r="O132" s="62"/>
      <c r="P132" s="62">
        <v>3.25</v>
      </c>
      <c r="Q132" s="62">
        <v>9.75</v>
      </c>
      <c r="R132" s="62">
        <v>20</v>
      </c>
    </row>
    <row r="133" spans="1:18" hidden="1">
      <c r="A133" s="61">
        <v>42327</v>
      </c>
      <c r="B133" s="448" t="s">
        <v>225</v>
      </c>
      <c r="C133" s="62"/>
      <c r="D133" s="62">
        <v>29</v>
      </c>
      <c r="E133" s="62"/>
      <c r="F133" s="62"/>
      <c r="G133" s="62"/>
      <c r="H133" s="62">
        <v>3</v>
      </c>
      <c r="I133" s="62">
        <v>1</v>
      </c>
      <c r="J133" s="62"/>
      <c r="K133" s="62"/>
      <c r="L133" s="62"/>
      <c r="M133" s="62"/>
      <c r="N133" s="62"/>
      <c r="O133" s="62"/>
      <c r="P133" s="62"/>
      <c r="Q133" s="62"/>
      <c r="R133" s="62"/>
    </row>
    <row r="134" spans="1:18" hidden="1">
      <c r="A134" s="61">
        <v>42327</v>
      </c>
      <c r="B134" s="447" t="s">
        <v>7</v>
      </c>
      <c r="C134" s="62"/>
      <c r="D134" s="62"/>
      <c r="E134" s="62"/>
      <c r="F134" s="62"/>
      <c r="G134" s="62"/>
      <c r="H134" s="62"/>
      <c r="I134" s="62"/>
      <c r="J134" s="62"/>
      <c r="K134" s="62"/>
      <c r="L134" s="62"/>
      <c r="M134" s="62"/>
      <c r="N134" s="62"/>
      <c r="O134" s="62"/>
      <c r="P134" s="62"/>
      <c r="Q134" s="62"/>
      <c r="R134" s="62"/>
    </row>
    <row r="135" spans="1:18" hidden="1">
      <c r="A135" s="61">
        <v>42327</v>
      </c>
      <c r="B135" s="448" t="s">
        <v>12</v>
      </c>
      <c r="C135" s="62"/>
      <c r="D135" s="62">
        <v>20.5</v>
      </c>
      <c r="E135" s="62"/>
      <c r="F135" s="62"/>
      <c r="G135" s="62"/>
      <c r="H135" s="62"/>
      <c r="I135" s="62"/>
      <c r="J135" s="62"/>
      <c r="K135" s="62"/>
      <c r="L135" s="62"/>
      <c r="M135" s="62"/>
      <c r="N135" s="62"/>
      <c r="O135" s="62"/>
      <c r="P135" s="62"/>
      <c r="Q135" s="62">
        <v>11.5</v>
      </c>
      <c r="R135" s="62"/>
    </row>
    <row r="136" spans="1:18" hidden="1">
      <c r="A136" s="61">
        <v>42327</v>
      </c>
      <c r="B136" s="62" t="s">
        <v>11</v>
      </c>
      <c r="C136" s="62"/>
      <c r="D136" s="62">
        <v>22.5</v>
      </c>
      <c r="E136" s="62"/>
      <c r="F136" s="62">
        <v>5</v>
      </c>
      <c r="G136" s="62">
        <v>1.5</v>
      </c>
      <c r="H136" s="62">
        <v>6.75</v>
      </c>
      <c r="I136" s="62">
        <v>2.5</v>
      </c>
      <c r="J136" s="62"/>
      <c r="K136" s="62"/>
      <c r="L136" s="62"/>
      <c r="M136" s="62"/>
      <c r="N136" s="62"/>
      <c r="O136" s="62"/>
      <c r="P136" s="62"/>
      <c r="Q136" s="62"/>
      <c r="R136" s="62"/>
    </row>
    <row r="137" spans="1:18" hidden="1">
      <c r="A137" s="61">
        <v>42327</v>
      </c>
      <c r="B137" s="62" t="s">
        <v>13</v>
      </c>
      <c r="C137" s="62"/>
      <c r="D137" s="62"/>
      <c r="E137" s="62"/>
      <c r="F137" s="62"/>
      <c r="G137" s="62"/>
      <c r="H137" s="62"/>
      <c r="I137" s="62"/>
      <c r="J137" s="62"/>
      <c r="K137" s="62"/>
      <c r="L137" s="62"/>
      <c r="M137" s="62"/>
      <c r="N137" s="62">
        <v>21</v>
      </c>
      <c r="O137" s="62">
        <v>8</v>
      </c>
      <c r="P137" s="62"/>
      <c r="Q137" s="62"/>
      <c r="R137" s="62"/>
    </row>
    <row r="138" spans="1:18" hidden="1">
      <c r="A138" s="61">
        <v>42327</v>
      </c>
      <c r="B138" s="62" t="s">
        <v>8</v>
      </c>
      <c r="C138" s="62"/>
      <c r="D138" s="62">
        <v>19.5</v>
      </c>
      <c r="E138" s="62"/>
      <c r="F138" s="62"/>
      <c r="G138" s="62"/>
      <c r="H138" s="62"/>
      <c r="I138" s="62"/>
      <c r="J138" s="62"/>
      <c r="K138" s="62"/>
      <c r="L138" s="62"/>
      <c r="M138" s="62"/>
      <c r="N138" s="62"/>
      <c r="O138" s="62"/>
      <c r="P138" s="62"/>
      <c r="Q138" s="62"/>
      <c r="R138" s="62"/>
    </row>
    <row r="139" spans="1:18" hidden="1"/>
    <row r="140" spans="1:18" hidden="1">
      <c r="A140" s="61">
        <v>42340</v>
      </c>
      <c r="B140" s="62" t="s">
        <v>283</v>
      </c>
      <c r="C140" s="62"/>
      <c r="D140" s="62">
        <v>5.5</v>
      </c>
      <c r="E140" s="62"/>
      <c r="F140" s="62"/>
      <c r="G140" s="62"/>
      <c r="H140" s="62"/>
      <c r="I140" s="62"/>
      <c r="J140" s="62"/>
      <c r="K140" s="62"/>
      <c r="L140" s="62"/>
      <c r="M140" s="62"/>
      <c r="N140" s="62"/>
      <c r="O140" s="62"/>
      <c r="P140" s="62"/>
      <c r="Q140" s="62"/>
      <c r="R140" s="62"/>
    </row>
    <row r="141" spans="1:18">
      <c r="A141" s="61">
        <v>42340</v>
      </c>
      <c r="B141" s="64" t="s">
        <v>52</v>
      </c>
      <c r="C141" s="62">
        <v>13</v>
      </c>
      <c r="D141" s="62">
        <v>26</v>
      </c>
      <c r="E141" s="62">
        <v>23.25</v>
      </c>
      <c r="F141" s="62"/>
      <c r="G141" s="62"/>
      <c r="H141" s="62"/>
      <c r="I141" s="62"/>
      <c r="J141" s="62">
        <v>6.5</v>
      </c>
      <c r="K141" s="62"/>
      <c r="L141" s="62"/>
      <c r="M141" s="62"/>
      <c r="N141" s="62"/>
      <c r="O141" s="62"/>
      <c r="P141" s="62">
        <v>6.5</v>
      </c>
      <c r="Q141" s="62"/>
      <c r="R141" s="62"/>
    </row>
    <row r="142" spans="1:18" hidden="1">
      <c r="A142" s="61">
        <v>42340</v>
      </c>
      <c r="B142" s="62" t="s">
        <v>10</v>
      </c>
      <c r="C142" s="62"/>
      <c r="D142" s="62">
        <v>12.75</v>
      </c>
      <c r="E142" s="62"/>
      <c r="F142" s="62"/>
      <c r="G142" s="62"/>
      <c r="H142" s="62"/>
      <c r="I142" s="62"/>
      <c r="J142" s="62"/>
      <c r="K142" s="62"/>
      <c r="L142" s="62"/>
      <c r="M142" s="62"/>
      <c r="N142" s="62"/>
      <c r="O142" s="62"/>
      <c r="P142" s="62"/>
      <c r="Q142" s="62"/>
      <c r="R142" s="62"/>
    </row>
    <row r="143" spans="1:18">
      <c r="A143" s="61">
        <v>42340</v>
      </c>
      <c r="B143" s="62" t="s">
        <v>17</v>
      </c>
      <c r="C143" s="62">
        <v>45.25</v>
      </c>
      <c r="D143" s="62"/>
      <c r="E143" s="62"/>
      <c r="F143" s="62"/>
      <c r="G143" s="62"/>
      <c r="H143" s="62"/>
      <c r="I143" s="62"/>
      <c r="J143" s="62"/>
      <c r="K143" s="62"/>
      <c r="L143" s="62"/>
      <c r="M143" s="62"/>
      <c r="N143" s="62"/>
      <c r="O143" s="62"/>
      <c r="P143" s="62"/>
      <c r="Q143" s="62"/>
      <c r="R143" s="62"/>
    </row>
    <row r="144" spans="1:18" hidden="1">
      <c r="A144" s="61">
        <v>42340</v>
      </c>
      <c r="B144" s="62" t="s">
        <v>9</v>
      </c>
      <c r="C144" s="62"/>
      <c r="D144" s="62">
        <v>32.25</v>
      </c>
      <c r="E144" s="62"/>
      <c r="F144" s="62"/>
      <c r="G144" s="62"/>
      <c r="H144" s="62"/>
      <c r="I144" s="62"/>
      <c r="J144" s="62"/>
      <c r="K144" s="62"/>
      <c r="L144" s="62"/>
      <c r="M144" s="62"/>
      <c r="N144" s="62"/>
      <c r="O144" s="62"/>
      <c r="P144" s="62"/>
      <c r="Q144" s="62"/>
      <c r="R144" s="62"/>
    </row>
    <row r="145" spans="1:18" hidden="1">
      <c r="A145" s="61">
        <v>42340</v>
      </c>
      <c r="B145" s="447" t="s">
        <v>228</v>
      </c>
      <c r="C145" s="62"/>
      <c r="D145" s="62"/>
      <c r="E145" s="62"/>
      <c r="F145" s="62"/>
      <c r="G145" s="62"/>
      <c r="H145" s="62"/>
      <c r="I145" s="62"/>
      <c r="J145" s="62"/>
      <c r="K145" s="62"/>
      <c r="L145" s="62"/>
      <c r="M145" s="62"/>
      <c r="N145" s="62"/>
      <c r="O145" s="62"/>
      <c r="P145" s="62"/>
      <c r="Q145" s="62">
        <v>6.5</v>
      </c>
      <c r="R145" s="62"/>
    </row>
    <row r="146" spans="1:18" hidden="1">
      <c r="A146" s="61">
        <v>42340</v>
      </c>
      <c r="B146" s="62" t="s">
        <v>229</v>
      </c>
      <c r="C146" s="62"/>
      <c r="D146" s="62"/>
      <c r="E146" s="62"/>
      <c r="F146" s="62"/>
      <c r="G146" s="62"/>
      <c r="H146" s="62"/>
      <c r="I146" s="62"/>
      <c r="J146" s="62"/>
      <c r="K146" s="62"/>
      <c r="L146" s="62"/>
      <c r="M146" s="62"/>
      <c r="N146" s="62">
        <v>30</v>
      </c>
      <c r="O146" s="62">
        <v>10</v>
      </c>
      <c r="P146" s="62"/>
      <c r="Q146" s="62"/>
      <c r="R146" s="62"/>
    </row>
    <row r="147" spans="1:18" hidden="1">
      <c r="A147" s="61">
        <v>42340</v>
      </c>
      <c r="B147" s="62" t="s">
        <v>41</v>
      </c>
      <c r="C147" s="62"/>
      <c r="D147" s="62"/>
      <c r="E147" s="62">
        <v>3</v>
      </c>
      <c r="F147" s="62"/>
      <c r="G147" s="62"/>
      <c r="H147" s="62"/>
      <c r="I147" s="62"/>
      <c r="J147" s="62"/>
      <c r="K147" s="62"/>
      <c r="L147" s="62"/>
      <c r="M147" s="62"/>
      <c r="N147" s="62"/>
      <c r="O147" s="62"/>
      <c r="P147" s="62"/>
      <c r="Q147" s="62"/>
      <c r="R147" s="62">
        <v>10</v>
      </c>
    </row>
    <row r="148" spans="1:18" hidden="1">
      <c r="A148" s="61">
        <v>42340</v>
      </c>
      <c r="B148" s="448" t="s">
        <v>225</v>
      </c>
      <c r="C148" s="62"/>
      <c r="D148" s="62">
        <v>16.25</v>
      </c>
      <c r="E148" s="62"/>
      <c r="F148" s="62"/>
      <c r="G148" s="62"/>
      <c r="H148" s="62"/>
      <c r="I148" s="62"/>
      <c r="J148" s="62"/>
      <c r="K148" s="62"/>
      <c r="L148" s="62"/>
      <c r="M148" s="62"/>
      <c r="N148" s="62"/>
      <c r="O148" s="62"/>
      <c r="P148" s="62"/>
      <c r="Q148" s="62"/>
      <c r="R148" s="62"/>
    </row>
    <row r="149" spans="1:18" hidden="1">
      <c r="A149" s="61">
        <v>42340</v>
      </c>
      <c r="B149" s="447" t="s">
        <v>7</v>
      </c>
      <c r="C149" s="62"/>
      <c r="D149" s="62"/>
      <c r="E149" s="62"/>
      <c r="F149" s="62">
        <v>2</v>
      </c>
      <c r="G149" s="62">
        <v>1</v>
      </c>
      <c r="H149" s="62"/>
      <c r="I149" s="62"/>
      <c r="J149" s="62"/>
      <c r="K149" s="62"/>
      <c r="L149" s="62"/>
      <c r="M149" s="62"/>
      <c r="N149" s="62"/>
      <c r="O149" s="62"/>
      <c r="P149" s="62"/>
      <c r="Q149" s="62"/>
      <c r="R149" s="62"/>
    </row>
    <row r="150" spans="1:18" hidden="1">
      <c r="A150" s="61">
        <v>42340</v>
      </c>
      <c r="B150" s="448" t="s">
        <v>12</v>
      </c>
      <c r="C150" s="62"/>
      <c r="D150" s="62">
        <v>24.5</v>
      </c>
      <c r="E150" s="62"/>
      <c r="F150" s="62"/>
      <c r="G150" s="62"/>
      <c r="H150" s="62"/>
      <c r="I150" s="62"/>
      <c r="J150" s="62"/>
      <c r="K150" s="62"/>
      <c r="L150" s="62"/>
      <c r="M150" s="62"/>
      <c r="N150" s="62"/>
      <c r="O150" s="62"/>
      <c r="P150" s="62"/>
      <c r="Q150" s="62">
        <v>14.75</v>
      </c>
      <c r="R150" s="62"/>
    </row>
    <row r="151" spans="1:18" hidden="1">
      <c r="A151" s="61">
        <v>42340</v>
      </c>
      <c r="B151" s="62" t="s">
        <v>11</v>
      </c>
      <c r="C151" s="62"/>
      <c r="D151" s="62">
        <v>19</v>
      </c>
      <c r="E151" s="62"/>
      <c r="F151" s="62"/>
      <c r="G151" s="62"/>
      <c r="H151" s="62">
        <v>7</v>
      </c>
      <c r="I151" s="62">
        <v>2.25</v>
      </c>
      <c r="J151" s="62"/>
      <c r="K151" s="62"/>
      <c r="L151" s="62"/>
      <c r="M151" s="62"/>
      <c r="N151" s="62"/>
      <c r="O151" s="62"/>
      <c r="P151" s="62"/>
      <c r="Q151" s="62"/>
      <c r="R151" s="62"/>
    </row>
    <row r="152" spans="1:18" hidden="1">
      <c r="A152" s="61">
        <v>42340</v>
      </c>
      <c r="B152" s="62" t="s">
        <v>13</v>
      </c>
      <c r="C152" s="62"/>
      <c r="D152" s="62"/>
      <c r="E152" s="62"/>
      <c r="F152" s="62"/>
      <c r="G152" s="62"/>
      <c r="H152" s="62"/>
      <c r="I152" s="62"/>
      <c r="J152" s="62"/>
      <c r="K152" s="62"/>
      <c r="L152" s="62"/>
      <c r="M152" s="62"/>
      <c r="N152" s="62">
        <v>28</v>
      </c>
      <c r="O152" s="62">
        <v>9.5</v>
      </c>
      <c r="P152" s="62"/>
      <c r="Q152" s="62"/>
      <c r="R152" s="62"/>
    </row>
    <row r="153" spans="1:18" hidden="1">
      <c r="A153" s="61">
        <v>42340</v>
      </c>
      <c r="B153" s="62" t="s">
        <v>8</v>
      </c>
      <c r="C153" s="62"/>
      <c r="D153" s="62">
        <v>21.25</v>
      </c>
      <c r="E153" s="62"/>
      <c r="F153" s="62"/>
      <c r="G153" s="62"/>
      <c r="H153" s="62"/>
      <c r="I153" s="62"/>
      <c r="J153" s="62"/>
      <c r="K153" s="62"/>
      <c r="L153" s="62"/>
      <c r="M153" s="62"/>
      <c r="N153" s="62"/>
      <c r="O153" s="62"/>
      <c r="P153" s="62"/>
      <c r="Q153" s="62"/>
      <c r="R153" s="62"/>
    </row>
    <row r="154" spans="1:18" hidden="1"/>
    <row r="155" spans="1:18">
      <c r="A155" s="61">
        <v>42360</v>
      </c>
      <c r="B155" s="62" t="s">
        <v>283</v>
      </c>
      <c r="C155" s="62">
        <v>9</v>
      </c>
      <c r="D155" s="62"/>
      <c r="E155" s="62"/>
      <c r="F155" s="62"/>
      <c r="G155" s="62"/>
      <c r="H155" s="62"/>
      <c r="I155" s="62"/>
      <c r="J155" s="62"/>
      <c r="K155" s="62"/>
      <c r="L155" s="62"/>
      <c r="M155" s="62"/>
      <c r="N155" s="62"/>
      <c r="O155" s="62"/>
      <c r="P155" s="62"/>
      <c r="Q155" s="62"/>
      <c r="R155" s="62"/>
    </row>
    <row r="156" spans="1:18">
      <c r="A156" s="61">
        <v>42360</v>
      </c>
      <c r="B156" s="64" t="s">
        <v>52</v>
      </c>
      <c r="C156" s="62">
        <v>9.75</v>
      </c>
      <c r="D156" s="62">
        <v>14.75</v>
      </c>
      <c r="E156" s="62">
        <v>19</v>
      </c>
      <c r="F156" s="62"/>
      <c r="G156" s="62"/>
      <c r="H156" s="62"/>
      <c r="I156" s="62"/>
      <c r="J156" s="62"/>
      <c r="K156" s="62"/>
      <c r="L156" s="62"/>
      <c r="M156" s="62"/>
      <c r="N156" s="62"/>
      <c r="O156" s="62"/>
      <c r="P156" s="62"/>
      <c r="Q156" s="62"/>
      <c r="R156" s="62"/>
    </row>
    <row r="157" spans="1:18" hidden="1">
      <c r="A157" s="61">
        <v>42360</v>
      </c>
      <c r="B157" s="62" t="s">
        <v>10</v>
      </c>
      <c r="C157" s="62"/>
      <c r="D157" s="62">
        <v>8.5</v>
      </c>
      <c r="E157" s="62"/>
      <c r="F157" s="62"/>
      <c r="G157" s="62"/>
      <c r="H157" s="62"/>
      <c r="I157" s="62"/>
      <c r="J157" s="62"/>
      <c r="K157" s="62"/>
      <c r="L157" s="62"/>
      <c r="M157" s="62"/>
      <c r="N157" s="62"/>
      <c r="O157" s="62"/>
      <c r="P157" s="62"/>
      <c r="Q157" s="62"/>
      <c r="R157" s="62"/>
    </row>
    <row r="158" spans="1:18" hidden="1">
      <c r="A158" s="61">
        <v>42360</v>
      </c>
      <c r="B158" s="62" t="s">
        <v>361</v>
      </c>
      <c r="C158" s="62"/>
      <c r="D158" s="62">
        <v>6</v>
      </c>
      <c r="E158" s="62"/>
      <c r="F158" s="62"/>
      <c r="G158" s="62"/>
      <c r="H158" s="62"/>
      <c r="I158" s="62"/>
      <c r="J158" s="62"/>
      <c r="K158" s="62"/>
      <c r="L158" s="62"/>
      <c r="M158" s="62"/>
      <c r="N158" s="62"/>
      <c r="O158" s="62"/>
      <c r="P158" s="62"/>
      <c r="Q158" s="62"/>
      <c r="R158" s="62"/>
    </row>
    <row r="159" spans="1:18">
      <c r="A159" s="61">
        <v>42360</v>
      </c>
      <c r="B159" s="62" t="s">
        <v>17</v>
      </c>
      <c r="C159" s="62">
        <v>30.25</v>
      </c>
      <c r="D159" s="62"/>
      <c r="E159" s="62"/>
      <c r="F159" s="62"/>
      <c r="G159" s="62"/>
      <c r="H159" s="62"/>
      <c r="I159" s="62"/>
      <c r="J159" s="62"/>
      <c r="K159" s="62"/>
      <c r="L159" s="62"/>
      <c r="M159" s="62"/>
      <c r="N159" s="62"/>
      <c r="O159" s="62"/>
      <c r="P159" s="62"/>
      <c r="Q159" s="62"/>
      <c r="R159" s="62"/>
    </row>
    <row r="160" spans="1:18" hidden="1">
      <c r="A160" s="61">
        <v>42360</v>
      </c>
      <c r="B160" s="62" t="s">
        <v>9</v>
      </c>
      <c r="C160" s="62"/>
      <c r="D160" s="62">
        <v>39.5</v>
      </c>
      <c r="E160" s="62"/>
      <c r="F160" s="62"/>
      <c r="G160" s="62"/>
      <c r="H160" s="62"/>
      <c r="I160" s="62"/>
      <c r="J160" s="62"/>
      <c r="K160" s="62"/>
      <c r="L160" s="62"/>
      <c r="M160" s="62"/>
      <c r="N160" s="62"/>
      <c r="O160" s="62"/>
      <c r="P160" s="62"/>
      <c r="Q160" s="62"/>
      <c r="R160" s="62"/>
    </row>
    <row r="161" spans="1:19" hidden="1">
      <c r="A161" s="61">
        <v>42360</v>
      </c>
      <c r="B161" s="447" t="s">
        <v>228</v>
      </c>
      <c r="C161" s="62"/>
      <c r="D161" s="62"/>
      <c r="E161" s="62"/>
      <c r="F161" s="62"/>
      <c r="G161" s="62"/>
      <c r="H161" s="62"/>
      <c r="I161" s="62"/>
      <c r="J161" s="62"/>
      <c r="K161" s="62"/>
      <c r="L161" s="62"/>
      <c r="M161" s="62"/>
      <c r="N161" s="62"/>
      <c r="O161" s="62"/>
      <c r="P161" s="62"/>
      <c r="Q161" s="62">
        <v>13.75</v>
      </c>
      <c r="R161" s="62"/>
    </row>
    <row r="162" spans="1:19" hidden="1">
      <c r="A162" s="61">
        <v>42360</v>
      </c>
      <c r="B162" s="62" t="s">
        <v>229</v>
      </c>
      <c r="C162" s="62"/>
      <c r="D162" s="62"/>
      <c r="E162" s="62"/>
      <c r="F162" s="62"/>
      <c r="G162" s="62"/>
      <c r="H162" s="62"/>
      <c r="I162" s="62"/>
      <c r="J162" s="62"/>
      <c r="K162" s="62"/>
      <c r="L162" s="62"/>
      <c r="M162" s="62"/>
      <c r="N162" s="62">
        <v>63</v>
      </c>
      <c r="O162" s="62">
        <v>21</v>
      </c>
      <c r="P162" s="62"/>
      <c r="Q162" s="62"/>
      <c r="R162" s="62"/>
    </row>
    <row r="163" spans="1:19" hidden="1">
      <c r="A163" s="61">
        <v>42360</v>
      </c>
      <c r="B163" s="62" t="s">
        <v>41</v>
      </c>
      <c r="C163" s="62"/>
      <c r="D163" s="62"/>
      <c r="E163" s="62">
        <v>5</v>
      </c>
      <c r="F163" s="62"/>
      <c r="G163" s="62"/>
      <c r="H163" s="62"/>
      <c r="I163" s="62"/>
      <c r="J163" s="62"/>
      <c r="K163" s="62"/>
      <c r="L163" s="62"/>
      <c r="M163" s="62"/>
      <c r="N163" s="62"/>
      <c r="O163" s="62"/>
      <c r="P163" s="62"/>
      <c r="Q163" s="62"/>
      <c r="R163" s="62">
        <v>20</v>
      </c>
    </row>
    <row r="164" spans="1:19" hidden="1">
      <c r="A164" s="61">
        <v>42360</v>
      </c>
      <c r="B164" s="448" t="s">
        <v>225</v>
      </c>
      <c r="C164" s="62"/>
      <c r="D164" s="62">
        <v>29.25</v>
      </c>
      <c r="E164" s="62"/>
      <c r="F164" s="62"/>
      <c r="G164" s="62"/>
      <c r="H164" s="62"/>
      <c r="I164" s="62"/>
      <c r="J164" s="62"/>
      <c r="K164" s="62"/>
      <c r="L164" s="62"/>
      <c r="M164" s="62"/>
      <c r="N164" s="62"/>
      <c r="O164" s="62"/>
      <c r="P164" s="62"/>
      <c r="Q164" s="62"/>
      <c r="R164" s="62"/>
    </row>
    <row r="165" spans="1:19" hidden="1">
      <c r="A165" s="61">
        <v>42360</v>
      </c>
      <c r="B165" s="448" t="s">
        <v>12</v>
      </c>
      <c r="C165" s="62"/>
      <c r="D165" s="62">
        <v>18</v>
      </c>
      <c r="E165" s="62"/>
      <c r="F165" s="62"/>
      <c r="G165" s="62"/>
      <c r="H165" s="62"/>
      <c r="I165" s="62"/>
      <c r="J165" s="62"/>
      <c r="K165" s="62"/>
      <c r="L165" s="62"/>
      <c r="M165" s="62"/>
      <c r="N165" s="62"/>
      <c r="O165" s="62"/>
      <c r="P165" s="62"/>
      <c r="Q165" s="62">
        <v>7</v>
      </c>
      <c r="R165" s="62"/>
    </row>
    <row r="166" spans="1:19">
      <c r="A166" s="61">
        <v>42360</v>
      </c>
      <c r="B166" s="62" t="s">
        <v>11</v>
      </c>
      <c r="C166" s="62">
        <v>29.75</v>
      </c>
      <c r="D166" s="62"/>
      <c r="E166" s="62"/>
      <c r="F166" s="62">
        <v>5</v>
      </c>
      <c r="G166" s="62">
        <v>1.5</v>
      </c>
      <c r="H166" s="62">
        <v>8</v>
      </c>
      <c r="I166" s="62">
        <v>2.5</v>
      </c>
      <c r="J166" s="62"/>
      <c r="K166" s="62"/>
      <c r="L166" s="62"/>
      <c r="M166" s="62"/>
      <c r="N166" s="62"/>
      <c r="O166" s="62"/>
      <c r="P166" s="62"/>
      <c r="Q166" s="62"/>
      <c r="R166" s="62"/>
    </row>
    <row r="167" spans="1:19" hidden="1">
      <c r="A167" s="61">
        <v>42360</v>
      </c>
      <c r="B167" s="62" t="s">
        <v>13</v>
      </c>
      <c r="C167" s="62"/>
      <c r="D167" s="62"/>
      <c r="E167" s="62"/>
      <c r="F167" s="62"/>
      <c r="G167" s="62"/>
      <c r="H167" s="62"/>
      <c r="I167" s="62"/>
      <c r="J167" s="62"/>
      <c r="K167" s="62"/>
      <c r="L167" s="62"/>
      <c r="M167" s="62"/>
      <c r="N167" s="62">
        <v>22</v>
      </c>
      <c r="O167" s="62">
        <v>7</v>
      </c>
      <c r="P167" s="62"/>
      <c r="Q167" s="62"/>
      <c r="R167" s="62"/>
    </row>
    <row r="168" spans="1:19" hidden="1">
      <c r="A168" s="61">
        <v>42360</v>
      </c>
      <c r="B168" s="62" t="s">
        <v>8</v>
      </c>
      <c r="C168" s="62"/>
      <c r="D168" s="62">
        <v>18</v>
      </c>
      <c r="E168" s="62"/>
      <c r="F168" s="62"/>
      <c r="G168" s="62"/>
      <c r="H168" s="62"/>
      <c r="I168" s="62"/>
      <c r="J168" s="62"/>
      <c r="K168" s="62"/>
      <c r="L168" s="62"/>
      <c r="M168" s="62"/>
      <c r="N168" s="62"/>
      <c r="O168" s="62"/>
      <c r="P168" s="62"/>
      <c r="Q168" s="62"/>
      <c r="R168" s="62"/>
    </row>
    <row r="169" spans="1:19" hidden="1"/>
    <row r="170" spans="1:19">
      <c r="A170" s="61">
        <v>42376</v>
      </c>
      <c r="B170" s="62" t="s">
        <v>283</v>
      </c>
      <c r="C170" s="417">
        <v>15</v>
      </c>
      <c r="D170" s="62"/>
      <c r="E170" s="62"/>
      <c r="F170" s="62"/>
      <c r="G170" s="62"/>
      <c r="H170" s="62"/>
      <c r="I170" s="62"/>
      <c r="J170" s="62"/>
      <c r="K170" s="62"/>
      <c r="L170" s="62"/>
      <c r="M170" s="62"/>
      <c r="N170" s="62"/>
      <c r="O170" s="62"/>
      <c r="P170" s="62"/>
      <c r="Q170" s="62"/>
      <c r="R170" s="62"/>
      <c r="S170" s="66" t="s">
        <v>363</v>
      </c>
    </row>
    <row r="171" spans="1:19" hidden="1">
      <c r="A171" s="61">
        <v>42376</v>
      </c>
      <c r="B171" s="64" t="s">
        <v>52</v>
      </c>
      <c r="C171" s="62"/>
      <c r="D171" s="62">
        <v>6.5</v>
      </c>
      <c r="E171" s="62">
        <v>13</v>
      </c>
      <c r="F171" s="62"/>
      <c r="G171" s="62"/>
      <c r="H171" s="62"/>
      <c r="I171" s="62"/>
      <c r="J171" s="62"/>
      <c r="K171" s="62"/>
      <c r="L171" s="62"/>
      <c r="M171" s="62"/>
      <c r="N171" s="62"/>
      <c r="O171" s="62"/>
      <c r="P171" s="62"/>
      <c r="Q171" s="62"/>
      <c r="R171" s="62"/>
    </row>
    <row r="172" spans="1:19" hidden="1">
      <c r="A172" s="61">
        <v>42376</v>
      </c>
      <c r="B172" s="62" t="s">
        <v>10</v>
      </c>
      <c r="C172" s="62"/>
      <c r="D172" s="62">
        <v>6.5</v>
      </c>
      <c r="E172" s="62"/>
      <c r="F172" s="62"/>
      <c r="G172" s="62"/>
      <c r="H172" s="62"/>
      <c r="I172" s="62"/>
      <c r="J172" s="62"/>
      <c r="K172" s="62"/>
      <c r="L172" s="62"/>
      <c r="M172" s="62"/>
      <c r="N172" s="62"/>
      <c r="O172" s="62"/>
      <c r="P172" s="62"/>
      <c r="Q172" s="62"/>
      <c r="R172" s="62"/>
    </row>
    <row r="173" spans="1:19" hidden="1">
      <c r="A173" s="61">
        <v>42376</v>
      </c>
      <c r="B173" s="62" t="s">
        <v>362</v>
      </c>
      <c r="C173" s="62"/>
      <c r="D173" s="62"/>
      <c r="E173" s="62"/>
      <c r="F173" s="62"/>
      <c r="G173" s="62"/>
      <c r="H173" s="62"/>
      <c r="I173" s="62"/>
      <c r="J173" s="62"/>
      <c r="K173" s="62"/>
      <c r="L173" s="62"/>
      <c r="M173" s="62"/>
      <c r="N173" s="62"/>
      <c r="O173" s="62"/>
      <c r="P173" s="62"/>
      <c r="Q173" s="62">
        <v>2</v>
      </c>
      <c r="R173" s="62"/>
    </row>
    <row r="174" spans="1:19" hidden="1">
      <c r="A174" s="61">
        <v>42376</v>
      </c>
      <c r="B174" s="62" t="s">
        <v>361</v>
      </c>
      <c r="C174" s="62"/>
      <c r="D174" s="62"/>
      <c r="E174" s="62"/>
      <c r="F174" s="62"/>
      <c r="G174" s="62"/>
      <c r="H174" s="62"/>
      <c r="I174" s="62"/>
      <c r="J174" s="62"/>
      <c r="K174" s="62"/>
      <c r="L174" s="62"/>
      <c r="M174" s="62"/>
      <c r="N174" s="62"/>
      <c r="O174" s="62"/>
      <c r="P174" s="62"/>
      <c r="Q174" s="62"/>
      <c r="R174" s="62"/>
    </row>
    <row r="175" spans="1:19">
      <c r="A175" s="61">
        <v>42376</v>
      </c>
      <c r="B175" s="62" t="s">
        <v>17</v>
      </c>
      <c r="C175" s="62">
        <v>16.25</v>
      </c>
      <c r="D175" s="62"/>
      <c r="E175" s="62"/>
      <c r="F175" s="62"/>
      <c r="G175" s="62"/>
      <c r="H175" s="62"/>
      <c r="I175" s="62"/>
      <c r="J175" s="62"/>
      <c r="K175" s="62"/>
      <c r="L175" s="62"/>
      <c r="M175" s="62"/>
      <c r="N175" s="62"/>
      <c r="O175" s="62"/>
      <c r="P175" s="62"/>
      <c r="Q175" s="62"/>
      <c r="R175" s="62"/>
    </row>
    <row r="176" spans="1:19" hidden="1">
      <c r="A176" s="61">
        <v>42376</v>
      </c>
      <c r="B176" s="62" t="s">
        <v>9</v>
      </c>
      <c r="C176" s="62"/>
      <c r="D176" s="62">
        <v>15</v>
      </c>
      <c r="E176" s="62"/>
      <c r="F176" s="62"/>
      <c r="G176" s="62"/>
      <c r="H176" s="62"/>
      <c r="I176" s="62"/>
      <c r="J176" s="62"/>
      <c r="K176" s="62"/>
      <c r="L176" s="62"/>
      <c r="M176" s="62"/>
      <c r="N176" s="62"/>
      <c r="O176" s="62"/>
      <c r="P176" s="62"/>
      <c r="Q176" s="62"/>
      <c r="R176" s="62"/>
    </row>
    <row r="177" spans="1:18" hidden="1">
      <c r="A177" s="61">
        <v>42376</v>
      </c>
      <c r="B177" s="447" t="s">
        <v>228</v>
      </c>
      <c r="C177" s="62"/>
      <c r="D177" s="62"/>
      <c r="E177" s="62"/>
      <c r="F177" s="62"/>
      <c r="G177" s="62"/>
      <c r="H177" s="62"/>
      <c r="I177" s="62"/>
      <c r="J177" s="62"/>
      <c r="K177" s="62"/>
      <c r="L177" s="62"/>
      <c r="M177" s="62"/>
      <c r="N177" s="62"/>
      <c r="O177" s="62"/>
      <c r="P177" s="62"/>
      <c r="Q177" s="62"/>
      <c r="R177" s="62"/>
    </row>
    <row r="178" spans="1:18" hidden="1">
      <c r="A178" s="61">
        <v>42376</v>
      </c>
      <c r="B178" s="62" t="s">
        <v>229</v>
      </c>
      <c r="C178" s="62"/>
      <c r="D178" s="62"/>
      <c r="E178" s="62"/>
      <c r="F178" s="62"/>
      <c r="G178" s="62"/>
      <c r="H178" s="62"/>
      <c r="I178" s="62"/>
      <c r="J178" s="62"/>
      <c r="K178" s="62"/>
      <c r="L178" s="62"/>
      <c r="M178" s="62"/>
      <c r="N178" s="62">
        <v>36</v>
      </c>
      <c r="O178" s="62">
        <v>12</v>
      </c>
      <c r="P178" s="62"/>
      <c r="Q178" s="62"/>
      <c r="R178" s="62"/>
    </row>
    <row r="179" spans="1:18" hidden="1">
      <c r="A179" s="61">
        <v>42376</v>
      </c>
      <c r="B179" s="62" t="s">
        <v>41</v>
      </c>
      <c r="C179" s="62"/>
      <c r="D179" s="62"/>
      <c r="E179" s="62">
        <v>6.5</v>
      </c>
      <c r="F179" s="62"/>
      <c r="G179" s="62"/>
      <c r="H179" s="62"/>
      <c r="I179" s="62"/>
      <c r="J179" s="62"/>
      <c r="K179" s="62"/>
      <c r="L179" s="62"/>
      <c r="M179" s="62"/>
      <c r="N179" s="62"/>
      <c r="O179" s="62"/>
      <c r="P179" s="62"/>
      <c r="Q179" s="62">
        <v>6.5</v>
      </c>
      <c r="R179" s="62">
        <v>20</v>
      </c>
    </row>
    <row r="180" spans="1:18" hidden="1">
      <c r="A180" s="61">
        <v>42376</v>
      </c>
      <c r="B180" s="448" t="s">
        <v>225</v>
      </c>
      <c r="C180" s="62"/>
      <c r="D180" s="62">
        <v>13</v>
      </c>
      <c r="E180" s="62"/>
      <c r="F180" s="62"/>
      <c r="G180" s="62"/>
      <c r="H180" s="62"/>
      <c r="I180" s="62"/>
      <c r="J180" s="62"/>
      <c r="K180" s="62"/>
      <c r="L180" s="62"/>
      <c r="M180" s="62"/>
      <c r="N180" s="62"/>
      <c r="O180" s="62"/>
      <c r="P180" s="62"/>
      <c r="Q180" s="62"/>
      <c r="R180" s="62"/>
    </row>
    <row r="181" spans="1:18" hidden="1">
      <c r="A181" s="61">
        <v>42376</v>
      </c>
      <c r="B181" s="448" t="s">
        <v>12</v>
      </c>
      <c r="C181" s="62"/>
      <c r="D181" s="62">
        <v>9.75</v>
      </c>
      <c r="E181" s="62"/>
      <c r="F181" s="62"/>
      <c r="G181" s="62"/>
      <c r="H181" s="62"/>
      <c r="I181" s="62"/>
      <c r="J181" s="62"/>
      <c r="K181" s="62"/>
      <c r="L181" s="62"/>
      <c r="M181" s="62"/>
      <c r="N181" s="62"/>
      <c r="O181" s="62"/>
      <c r="P181" s="62"/>
      <c r="Q181" s="62">
        <v>5.75</v>
      </c>
      <c r="R181" s="62"/>
    </row>
    <row r="182" spans="1:18" hidden="1">
      <c r="A182" s="61">
        <v>42376</v>
      </c>
      <c r="B182" s="62" t="s">
        <v>11</v>
      </c>
      <c r="C182" s="62"/>
      <c r="D182" s="62">
        <v>6.5</v>
      </c>
      <c r="E182" s="62"/>
      <c r="F182" s="62"/>
      <c r="G182" s="62"/>
      <c r="H182" s="62"/>
      <c r="I182" s="62"/>
      <c r="J182" s="62"/>
      <c r="K182" s="62"/>
      <c r="L182" s="62"/>
      <c r="M182" s="62"/>
      <c r="N182" s="62">
        <v>6</v>
      </c>
      <c r="O182" s="62">
        <v>2.5</v>
      </c>
      <c r="P182" s="62"/>
      <c r="Q182" s="62"/>
      <c r="R182" s="62"/>
    </row>
    <row r="183" spans="1:18" hidden="1">
      <c r="A183" s="61">
        <v>42376</v>
      </c>
      <c r="B183" s="62" t="s">
        <v>13</v>
      </c>
      <c r="C183" s="62"/>
      <c r="D183" s="62"/>
      <c r="E183" s="62"/>
      <c r="F183" s="62"/>
      <c r="G183" s="62"/>
      <c r="H183" s="62"/>
      <c r="I183" s="62"/>
      <c r="J183" s="62"/>
      <c r="K183" s="62"/>
      <c r="L183" s="62"/>
      <c r="M183" s="62"/>
      <c r="N183" s="62">
        <v>16</v>
      </c>
      <c r="O183" s="62">
        <v>6.5</v>
      </c>
      <c r="P183" s="62"/>
      <c r="Q183" s="62"/>
      <c r="R183" s="62"/>
    </row>
    <row r="184" spans="1:18" hidden="1">
      <c r="A184" s="61">
        <v>42376</v>
      </c>
      <c r="B184" s="62" t="s">
        <v>8</v>
      </c>
      <c r="C184" s="62"/>
      <c r="D184" s="62">
        <v>9.75</v>
      </c>
      <c r="E184" s="62"/>
      <c r="F184" s="62"/>
      <c r="G184" s="62"/>
      <c r="H184" s="62"/>
      <c r="I184" s="62"/>
      <c r="J184" s="62"/>
      <c r="K184" s="62"/>
      <c r="L184" s="62"/>
      <c r="M184" s="62"/>
      <c r="N184" s="62"/>
      <c r="O184" s="62"/>
      <c r="P184" s="62"/>
      <c r="Q184" s="62"/>
      <c r="R184" s="62"/>
    </row>
    <row r="185" spans="1:18" hidden="1"/>
    <row r="186" spans="1:18">
      <c r="A186" s="61">
        <v>42391</v>
      </c>
      <c r="B186" s="62" t="s">
        <v>283</v>
      </c>
      <c r="C186" s="62">
        <v>7</v>
      </c>
      <c r="D186" s="62">
        <v>12.25</v>
      </c>
      <c r="E186" s="62">
        <v>4.25</v>
      </c>
      <c r="F186" s="62"/>
      <c r="G186" s="62"/>
      <c r="H186" s="62"/>
      <c r="I186" s="62"/>
      <c r="J186" s="62"/>
      <c r="K186" s="62"/>
      <c r="L186" s="62"/>
      <c r="M186" s="62"/>
      <c r="N186" s="62"/>
      <c r="O186" s="62"/>
      <c r="P186" s="62"/>
      <c r="Q186" s="62"/>
      <c r="R186" s="62"/>
    </row>
    <row r="187" spans="1:18" hidden="1">
      <c r="A187" s="61">
        <v>42391</v>
      </c>
      <c r="B187" s="64" t="s">
        <v>52</v>
      </c>
      <c r="C187" s="64"/>
      <c r="D187" s="62">
        <v>9.75</v>
      </c>
      <c r="E187" s="62">
        <v>10</v>
      </c>
      <c r="F187" s="62"/>
      <c r="G187" s="62"/>
      <c r="H187" s="62"/>
      <c r="I187" s="62"/>
      <c r="J187" s="62"/>
      <c r="K187" s="62"/>
      <c r="L187" s="62"/>
      <c r="M187" s="62"/>
      <c r="N187" s="62"/>
      <c r="O187" s="62"/>
      <c r="P187" s="62"/>
      <c r="Q187" s="62"/>
      <c r="R187" s="62"/>
    </row>
    <row r="188" spans="1:18" hidden="1">
      <c r="A188" s="61">
        <v>42391</v>
      </c>
      <c r="B188" s="62" t="s">
        <v>10</v>
      </c>
      <c r="C188" s="62"/>
      <c r="D188" s="62">
        <v>13</v>
      </c>
      <c r="E188" s="62"/>
      <c r="F188" s="62"/>
      <c r="G188" s="62"/>
      <c r="H188" s="62"/>
      <c r="I188" s="62"/>
      <c r="J188" s="62"/>
      <c r="K188" s="62"/>
      <c r="L188" s="62"/>
      <c r="M188" s="62"/>
      <c r="N188" s="62"/>
      <c r="O188" s="62"/>
      <c r="P188" s="62"/>
      <c r="Q188" s="62"/>
      <c r="R188" s="62"/>
    </row>
    <row r="189" spans="1:18" hidden="1">
      <c r="A189" s="61">
        <v>42391</v>
      </c>
      <c r="B189" s="62" t="s">
        <v>362</v>
      </c>
      <c r="C189" s="62"/>
      <c r="D189" s="62">
        <v>3.25</v>
      </c>
      <c r="E189" s="62">
        <v>6.5</v>
      </c>
      <c r="F189" s="62">
        <v>4</v>
      </c>
      <c r="G189" s="62">
        <v>1.25</v>
      </c>
      <c r="H189" s="62"/>
      <c r="I189" s="62"/>
      <c r="J189" s="62"/>
      <c r="K189" s="62"/>
      <c r="L189" s="62"/>
      <c r="M189" s="62"/>
      <c r="N189" s="62"/>
      <c r="O189" s="62"/>
      <c r="P189" s="62"/>
      <c r="Q189" s="62">
        <v>3.25</v>
      </c>
      <c r="R189" s="62"/>
    </row>
    <row r="190" spans="1:18" hidden="1">
      <c r="A190" s="61">
        <v>42391</v>
      </c>
      <c r="B190" s="62" t="s">
        <v>361</v>
      </c>
      <c r="C190" s="62"/>
      <c r="D190" s="62"/>
      <c r="E190" s="62"/>
      <c r="F190" s="62"/>
      <c r="G190" s="62"/>
      <c r="H190" s="62"/>
      <c r="I190" s="62"/>
      <c r="J190" s="62"/>
      <c r="K190" s="62"/>
      <c r="L190" s="62"/>
      <c r="M190" s="62"/>
      <c r="N190" s="62"/>
      <c r="O190" s="62"/>
      <c r="P190" s="62"/>
      <c r="Q190" s="62"/>
      <c r="R190" s="62"/>
    </row>
    <row r="191" spans="1:18">
      <c r="A191" s="61">
        <v>42391</v>
      </c>
      <c r="B191" s="62" t="s">
        <v>17</v>
      </c>
      <c r="C191" s="62">
        <v>34.5</v>
      </c>
      <c r="D191" s="62"/>
      <c r="E191" s="62"/>
      <c r="F191" s="62"/>
      <c r="G191" s="62"/>
      <c r="H191" s="62"/>
      <c r="I191" s="62"/>
      <c r="J191" s="62"/>
      <c r="K191" s="62"/>
      <c r="L191" s="62"/>
      <c r="M191" s="62"/>
      <c r="N191" s="62"/>
      <c r="O191" s="62"/>
      <c r="P191" s="62"/>
      <c r="Q191" s="62"/>
      <c r="R191" s="62"/>
    </row>
    <row r="192" spans="1:18" hidden="1">
      <c r="A192" s="61">
        <v>42391</v>
      </c>
      <c r="B192" s="62" t="s">
        <v>9</v>
      </c>
      <c r="C192" s="62"/>
      <c r="D192" s="62">
        <v>26</v>
      </c>
      <c r="E192" s="62"/>
      <c r="F192" s="62"/>
      <c r="G192" s="62"/>
      <c r="H192" s="62"/>
      <c r="I192" s="62"/>
      <c r="J192" s="62"/>
      <c r="K192" s="62"/>
      <c r="L192" s="62"/>
      <c r="M192" s="62"/>
      <c r="N192" s="62"/>
      <c r="O192" s="62"/>
      <c r="P192" s="62"/>
      <c r="Q192" s="62"/>
      <c r="R192" s="62"/>
    </row>
    <row r="193" spans="1:18" hidden="1">
      <c r="A193" s="61">
        <v>42391</v>
      </c>
      <c r="B193" s="498" t="s">
        <v>228</v>
      </c>
      <c r="C193" s="64"/>
      <c r="D193" s="62"/>
      <c r="E193" s="62"/>
      <c r="F193" s="62"/>
      <c r="G193" s="62"/>
      <c r="H193" s="62"/>
      <c r="I193" s="62"/>
      <c r="J193" s="62"/>
      <c r="K193" s="62"/>
      <c r="L193" s="62"/>
      <c r="M193" s="62"/>
      <c r="N193" s="62"/>
      <c r="O193" s="62"/>
      <c r="P193" s="62"/>
      <c r="Q193" s="62"/>
      <c r="R193" s="62"/>
    </row>
    <row r="194" spans="1:18" hidden="1">
      <c r="A194" s="61">
        <v>42391</v>
      </c>
      <c r="B194" s="62" t="s">
        <v>229</v>
      </c>
      <c r="C194" s="62"/>
      <c r="D194" s="62"/>
      <c r="E194" s="62"/>
      <c r="F194" s="62"/>
      <c r="G194" s="62"/>
      <c r="H194" s="62"/>
      <c r="I194" s="62"/>
      <c r="J194" s="62"/>
      <c r="K194" s="62"/>
      <c r="L194" s="62"/>
      <c r="M194" s="62"/>
      <c r="N194" s="62">
        <v>45</v>
      </c>
      <c r="O194" s="62">
        <v>15</v>
      </c>
      <c r="P194" s="62"/>
      <c r="Q194" s="62"/>
      <c r="R194" s="62"/>
    </row>
    <row r="195" spans="1:18" hidden="1">
      <c r="A195" s="61">
        <v>42391</v>
      </c>
      <c r="B195" s="62" t="s">
        <v>41</v>
      </c>
      <c r="C195" s="62"/>
      <c r="D195" s="62"/>
      <c r="E195" s="62">
        <v>9.75</v>
      </c>
      <c r="F195" s="62"/>
      <c r="G195" s="62"/>
      <c r="H195" s="62"/>
      <c r="I195" s="62"/>
      <c r="J195" s="62"/>
      <c r="K195" s="62"/>
      <c r="L195" s="62"/>
      <c r="M195" s="62"/>
      <c r="N195" s="62"/>
      <c r="O195" s="62"/>
      <c r="P195" s="62"/>
      <c r="Q195" s="62">
        <v>13</v>
      </c>
      <c r="R195" s="62">
        <v>10</v>
      </c>
    </row>
    <row r="196" spans="1:18" hidden="1">
      <c r="A196" s="61">
        <v>42391</v>
      </c>
      <c r="B196" s="448" t="s">
        <v>225</v>
      </c>
      <c r="C196" s="62"/>
      <c r="D196" s="62"/>
      <c r="E196" s="62">
        <v>26</v>
      </c>
      <c r="F196" s="62"/>
      <c r="G196" s="62"/>
      <c r="H196" s="62"/>
      <c r="I196" s="62"/>
      <c r="J196" s="62"/>
      <c r="K196" s="62"/>
      <c r="L196" s="62"/>
      <c r="M196" s="62"/>
      <c r="N196" s="62"/>
      <c r="O196" s="62"/>
      <c r="P196" s="62"/>
      <c r="Q196" s="62"/>
      <c r="R196" s="62"/>
    </row>
    <row r="197" spans="1:18" hidden="1">
      <c r="A197" s="61">
        <v>42391</v>
      </c>
      <c r="B197" s="448" t="s">
        <v>12</v>
      </c>
      <c r="C197" s="62"/>
      <c r="D197" s="62"/>
      <c r="E197" s="62">
        <v>19.5</v>
      </c>
      <c r="F197" s="62"/>
      <c r="G197" s="62"/>
      <c r="H197" s="62"/>
      <c r="I197" s="62"/>
      <c r="J197" s="62"/>
      <c r="K197" s="62"/>
      <c r="L197" s="62"/>
      <c r="M197" s="62"/>
      <c r="N197" s="62"/>
      <c r="O197" s="62"/>
      <c r="P197" s="62"/>
      <c r="Q197" s="62">
        <v>8.5</v>
      </c>
      <c r="R197" s="62"/>
    </row>
    <row r="198" spans="1:18" hidden="1">
      <c r="A198" s="61">
        <v>42391</v>
      </c>
      <c r="B198" s="62" t="s">
        <v>11</v>
      </c>
      <c r="C198" s="62"/>
      <c r="D198" s="62">
        <v>16.25</v>
      </c>
      <c r="E198" s="62"/>
      <c r="F198" s="62">
        <v>2.5</v>
      </c>
      <c r="G198" s="62">
        <v>0.75</v>
      </c>
      <c r="H198" s="62">
        <v>5.5</v>
      </c>
      <c r="I198" s="62">
        <v>1.75</v>
      </c>
      <c r="J198" s="62"/>
      <c r="K198" s="62"/>
      <c r="L198" s="62"/>
      <c r="M198" s="62"/>
      <c r="N198" s="62"/>
      <c r="O198" s="62"/>
      <c r="P198" s="62"/>
      <c r="Q198" s="62"/>
      <c r="R198" s="62"/>
    </row>
    <row r="199" spans="1:18" hidden="1">
      <c r="A199" s="61">
        <v>42391</v>
      </c>
      <c r="B199" s="62" t="s">
        <v>13</v>
      </c>
      <c r="C199" s="62"/>
      <c r="D199" s="62"/>
      <c r="E199" s="62"/>
      <c r="F199" s="62"/>
      <c r="G199" s="62"/>
      <c r="H199" s="62"/>
      <c r="I199" s="62"/>
      <c r="J199" s="62"/>
      <c r="K199" s="62"/>
      <c r="L199" s="62"/>
      <c r="M199" s="62"/>
      <c r="N199" s="62">
        <v>19</v>
      </c>
      <c r="O199" s="62">
        <v>6.5</v>
      </c>
      <c r="P199" s="62"/>
      <c r="Q199" s="62"/>
      <c r="R199" s="62"/>
    </row>
    <row r="200" spans="1:18" hidden="1">
      <c r="A200" s="61">
        <v>42391</v>
      </c>
      <c r="B200" s="62" t="s">
        <v>8</v>
      </c>
      <c r="C200" s="62"/>
      <c r="D200" s="62">
        <v>16.25</v>
      </c>
      <c r="E200" s="62"/>
      <c r="F200" s="62"/>
      <c r="G200" s="62"/>
      <c r="H200" s="62"/>
      <c r="I200" s="62"/>
      <c r="J200" s="62"/>
      <c r="K200" s="62"/>
      <c r="L200" s="62"/>
      <c r="M200" s="62"/>
      <c r="N200" s="62"/>
      <c r="O200" s="62"/>
      <c r="P200" s="62"/>
      <c r="Q200" s="62"/>
      <c r="R200" s="62"/>
    </row>
    <row r="201" spans="1:18" hidden="1"/>
    <row r="202" spans="1:18">
      <c r="A202" s="61">
        <v>42405</v>
      </c>
      <c r="B202" s="62" t="s">
        <v>283</v>
      </c>
      <c r="C202" s="62">
        <v>16</v>
      </c>
      <c r="D202" s="62"/>
      <c r="E202" s="62"/>
      <c r="F202" s="62"/>
      <c r="G202" s="62"/>
      <c r="H202" s="62"/>
      <c r="I202" s="62"/>
      <c r="J202" s="62"/>
      <c r="K202" s="62"/>
      <c r="L202" s="62"/>
      <c r="M202" s="62"/>
      <c r="N202" s="62"/>
      <c r="O202" s="62"/>
      <c r="P202" s="62"/>
      <c r="Q202" s="62"/>
      <c r="R202" s="62"/>
    </row>
    <row r="203" spans="1:18" hidden="1">
      <c r="A203" s="61">
        <v>42405</v>
      </c>
      <c r="B203" s="64" t="s">
        <v>52</v>
      </c>
      <c r="C203" s="64"/>
      <c r="D203" s="62">
        <v>19.5</v>
      </c>
      <c r="E203" s="62">
        <v>26.5</v>
      </c>
      <c r="F203" s="62"/>
      <c r="G203" s="62"/>
      <c r="H203" s="62"/>
      <c r="I203" s="62"/>
      <c r="J203" s="62"/>
      <c r="K203" s="62"/>
      <c r="L203" s="62"/>
      <c r="M203" s="62"/>
      <c r="N203" s="62"/>
      <c r="O203" s="62"/>
      <c r="P203" s="62"/>
      <c r="Q203" s="62"/>
      <c r="R203" s="62"/>
    </row>
    <row r="204" spans="1:18" hidden="1">
      <c r="A204" s="61">
        <v>42405</v>
      </c>
      <c r="B204" s="62" t="s">
        <v>10</v>
      </c>
      <c r="C204" s="62"/>
      <c r="D204" s="62"/>
      <c r="E204" s="62"/>
      <c r="F204" s="62"/>
      <c r="G204" s="62"/>
      <c r="H204" s="62"/>
      <c r="I204" s="62"/>
      <c r="J204" s="62"/>
      <c r="K204" s="62"/>
      <c r="L204" s="62"/>
      <c r="M204" s="62"/>
      <c r="N204" s="62"/>
      <c r="O204" s="62"/>
      <c r="P204" s="62"/>
      <c r="Q204" s="62"/>
      <c r="R204" s="62"/>
    </row>
    <row r="205" spans="1:18" hidden="1">
      <c r="A205" s="61">
        <v>42405</v>
      </c>
      <c r="B205" s="62" t="s">
        <v>362</v>
      </c>
      <c r="C205" s="62"/>
      <c r="D205" s="62"/>
      <c r="E205" s="62"/>
      <c r="F205" s="62">
        <v>10</v>
      </c>
      <c r="G205" s="62"/>
      <c r="H205" s="62"/>
      <c r="I205" s="62"/>
      <c r="J205" s="62"/>
      <c r="K205" s="62"/>
      <c r="L205" s="62"/>
      <c r="M205" s="62"/>
      <c r="N205" s="62"/>
      <c r="O205" s="62"/>
      <c r="P205" s="62"/>
      <c r="Q205" s="62">
        <v>3.25</v>
      </c>
      <c r="R205" s="62"/>
    </row>
    <row r="206" spans="1:18" hidden="1">
      <c r="A206" s="61">
        <v>42405</v>
      </c>
      <c r="B206" s="62" t="s">
        <v>361</v>
      </c>
      <c r="C206" s="62"/>
      <c r="D206" s="62"/>
      <c r="E206" s="62"/>
      <c r="F206" s="62"/>
      <c r="G206" s="62"/>
      <c r="H206" s="62"/>
      <c r="I206" s="62"/>
      <c r="J206" s="62"/>
      <c r="K206" s="62"/>
      <c r="L206" s="62"/>
      <c r="M206" s="62"/>
      <c r="N206" s="62"/>
      <c r="O206" s="62"/>
      <c r="P206" s="62"/>
      <c r="Q206" s="62"/>
      <c r="R206" s="62"/>
    </row>
    <row r="207" spans="1:18">
      <c r="A207" s="61">
        <v>42405</v>
      </c>
      <c r="B207" s="62" t="s">
        <v>17</v>
      </c>
      <c r="C207" s="62">
        <v>42.5</v>
      </c>
      <c r="D207" s="62"/>
      <c r="E207" s="62"/>
      <c r="F207" s="62"/>
      <c r="G207" s="62"/>
      <c r="H207" s="62"/>
      <c r="I207" s="62"/>
      <c r="J207" s="62"/>
      <c r="K207" s="62"/>
      <c r="L207" s="62"/>
      <c r="M207" s="62"/>
      <c r="N207" s="62"/>
      <c r="O207" s="62"/>
      <c r="P207" s="62"/>
      <c r="Q207" s="62"/>
      <c r="R207" s="62"/>
    </row>
    <row r="208" spans="1:18" hidden="1">
      <c r="A208" s="61">
        <v>42405</v>
      </c>
      <c r="B208" s="62" t="s">
        <v>9</v>
      </c>
      <c r="C208" s="62"/>
      <c r="D208" s="62">
        <v>35.5</v>
      </c>
      <c r="E208" s="62"/>
      <c r="F208" s="62"/>
      <c r="G208" s="62"/>
      <c r="H208" s="62"/>
      <c r="I208" s="62"/>
      <c r="J208" s="62"/>
      <c r="K208" s="62"/>
      <c r="L208" s="62"/>
      <c r="M208" s="62"/>
      <c r="N208" s="62"/>
      <c r="O208" s="62"/>
      <c r="P208" s="62"/>
      <c r="Q208" s="62"/>
      <c r="R208" s="62"/>
    </row>
    <row r="209" spans="1:18" hidden="1">
      <c r="A209" s="61">
        <v>42405</v>
      </c>
      <c r="B209" s="447" t="s">
        <v>228</v>
      </c>
      <c r="C209" s="64"/>
      <c r="D209" s="62">
        <v>5.5</v>
      </c>
      <c r="E209" s="62"/>
      <c r="F209" s="62"/>
      <c r="G209" s="62"/>
      <c r="H209" s="62"/>
      <c r="I209" s="62"/>
      <c r="J209" s="62"/>
      <c r="K209" s="62"/>
      <c r="L209" s="62"/>
      <c r="M209" s="62"/>
      <c r="N209" s="62"/>
      <c r="O209" s="62"/>
      <c r="P209" s="62"/>
      <c r="Q209" s="62"/>
      <c r="R209" s="62"/>
    </row>
    <row r="210" spans="1:18" hidden="1">
      <c r="A210" s="61">
        <v>42405</v>
      </c>
      <c r="B210" s="62" t="s">
        <v>229</v>
      </c>
      <c r="C210" s="62"/>
      <c r="D210" s="62"/>
      <c r="E210" s="62"/>
      <c r="F210" s="62"/>
      <c r="G210" s="62"/>
      <c r="H210" s="62"/>
      <c r="I210" s="62"/>
      <c r="J210" s="62"/>
      <c r="K210" s="62"/>
      <c r="L210" s="62"/>
      <c r="M210" s="62"/>
      <c r="N210" s="62">
        <v>44.25</v>
      </c>
      <c r="O210" s="62">
        <v>14.75</v>
      </c>
      <c r="P210" s="62"/>
      <c r="Q210" s="62"/>
      <c r="R210" s="62"/>
    </row>
    <row r="211" spans="1:18" hidden="1">
      <c r="A211" s="61">
        <v>42405</v>
      </c>
      <c r="B211" s="62" t="s">
        <v>41</v>
      </c>
      <c r="C211" s="62"/>
      <c r="D211" s="62"/>
      <c r="E211" s="62">
        <v>9.75</v>
      </c>
      <c r="F211" s="62"/>
      <c r="G211" s="62"/>
      <c r="H211" s="62"/>
      <c r="I211" s="62"/>
      <c r="J211" s="62"/>
      <c r="K211" s="62"/>
      <c r="L211" s="62"/>
      <c r="M211" s="62"/>
      <c r="N211" s="62"/>
      <c r="O211" s="62"/>
      <c r="P211" s="62"/>
      <c r="Q211" s="62">
        <v>9.75</v>
      </c>
      <c r="R211" s="62">
        <v>10</v>
      </c>
    </row>
    <row r="212" spans="1:18" hidden="1">
      <c r="A212" s="61">
        <v>42405</v>
      </c>
      <c r="B212" s="448" t="s">
        <v>225</v>
      </c>
      <c r="C212" s="62"/>
      <c r="D212" s="62">
        <v>22.75</v>
      </c>
      <c r="E212" s="62"/>
      <c r="F212" s="62"/>
      <c r="G212" s="62"/>
      <c r="H212" s="62"/>
      <c r="I212" s="62"/>
      <c r="J212" s="62"/>
      <c r="K212" s="62"/>
      <c r="L212" s="62"/>
      <c r="M212" s="62"/>
      <c r="N212" s="62"/>
      <c r="O212" s="62"/>
      <c r="P212" s="62"/>
      <c r="Q212" s="62"/>
      <c r="R212" s="62"/>
    </row>
    <row r="213" spans="1:18" hidden="1">
      <c r="A213" s="61">
        <v>42405</v>
      </c>
      <c r="B213" s="448" t="s">
        <v>12</v>
      </c>
      <c r="C213" s="62"/>
      <c r="D213" s="62">
        <v>22.5</v>
      </c>
      <c r="E213" s="62"/>
      <c r="F213" s="62"/>
      <c r="G213" s="62"/>
      <c r="H213" s="62"/>
      <c r="I213" s="62"/>
      <c r="J213" s="62"/>
      <c r="K213" s="62"/>
      <c r="L213" s="62"/>
      <c r="M213" s="62"/>
      <c r="N213" s="62"/>
      <c r="O213" s="62"/>
      <c r="P213" s="62"/>
      <c r="Q213" s="62">
        <v>11</v>
      </c>
      <c r="R213" s="62"/>
    </row>
    <row r="214" spans="1:18" hidden="1">
      <c r="A214" s="61">
        <v>42405</v>
      </c>
      <c r="B214" s="62" t="s">
        <v>11</v>
      </c>
      <c r="C214" s="62"/>
      <c r="D214" s="62">
        <v>22.5</v>
      </c>
      <c r="E214" s="62"/>
      <c r="F214" s="62">
        <v>0.75</v>
      </c>
      <c r="G214" s="62">
        <v>2.25</v>
      </c>
      <c r="H214" s="62">
        <v>8</v>
      </c>
      <c r="I214" s="62">
        <v>2.5</v>
      </c>
      <c r="J214" s="62"/>
      <c r="K214" s="62"/>
      <c r="L214" s="62"/>
      <c r="M214" s="62"/>
      <c r="N214" s="62"/>
      <c r="O214" s="62"/>
      <c r="P214" s="62"/>
      <c r="Q214" s="62"/>
      <c r="R214" s="62"/>
    </row>
    <row r="215" spans="1:18" hidden="1">
      <c r="A215" s="61">
        <v>42405</v>
      </c>
      <c r="B215" s="62" t="s">
        <v>13</v>
      </c>
      <c r="C215" s="62"/>
      <c r="D215" s="62"/>
      <c r="E215" s="62"/>
      <c r="F215" s="62"/>
      <c r="G215" s="62"/>
      <c r="H215" s="62"/>
      <c r="I215" s="62"/>
      <c r="J215" s="62"/>
      <c r="K215" s="62"/>
      <c r="L215" s="62"/>
      <c r="M215" s="62"/>
      <c r="N215" s="62">
        <v>27.5</v>
      </c>
      <c r="O215" s="62">
        <v>9</v>
      </c>
      <c r="P215" s="62"/>
      <c r="Q215" s="62"/>
      <c r="R215" s="62"/>
    </row>
    <row r="216" spans="1:18" hidden="1">
      <c r="A216" s="61">
        <v>42405</v>
      </c>
      <c r="B216" s="62" t="s">
        <v>8</v>
      </c>
      <c r="C216" s="62"/>
      <c r="D216" s="62">
        <v>22.5</v>
      </c>
      <c r="E216" s="62"/>
      <c r="F216" s="62"/>
      <c r="G216" s="62"/>
      <c r="H216" s="62"/>
      <c r="I216" s="62"/>
      <c r="J216" s="62"/>
      <c r="K216" s="62"/>
      <c r="L216" s="62"/>
      <c r="M216" s="62"/>
      <c r="N216" s="62"/>
      <c r="O216" s="62"/>
      <c r="P216" s="62"/>
      <c r="Q216" s="62"/>
      <c r="R216" s="62"/>
    </row>
    <row r="217" spans="1:18" hidden="1"/>
    <row r="218" spans="1:18">
      <c r="A218" s="61">
        <v>42423</v>
      </c>
      <c r="B218" s="62" t="s">
        <v>283</v>
      </c>
      <c r="C218" s="62">
        <v>16.25</v>
      </c>
      <c r="D218" s="62"/>
      <c r="E218" s="62"/>
      <c r="F218" s="62"/>
      <c r="G218" s="62"/>
      <c r="H218" s="62"/>
      <c r="I218" s="62"/>
      <c r="J218" s="62"/>
      <c r="K218" s="62"/>
      <c r="L218" s="62"/>
      <c r="M218" s="62"/>
      <c r="N218" s="62"/>
      <c r="O218" s="62"/>
      <c r="P218" s="62"/>
      <c r="Q218" s="62"/>
      <c r="R218" s="62"/>
    </row>
    <row r="219" spans="1:18" hidden="1">
      <c r="A219" s="61">
        <v>42423</v>
      </c>
      <c r="B219" s="64" t="s">
        <v>52</v>
      </c>
      <c r="C219" s="64"/>
      <c r="D219" s="62">
        <v>22.75</v>
      </c>
      <c r="E219" s="62">
        <v>26.5</v>
      </c>
      <c r="F219" s="62"/>
      <c r="G219" s="62"/>
      <c r="H219" s="62"/>
      <c r="I219" s="62"/>
      <c r="J219" s="62"/>
      <c r="K219" s="62"/>
      <c r="L219" s="62"/>
      <c r="M219" s="62"/>
      <c r="N219" s="62"/>
      <c r="O219" s="62"/>
      <c r="P219" s="62"/>
      <c r="Q219" s="62"/>
      <c r="R219" s="62"/>
    </row>
    <row r="220" spans="1:18" hidden="1">
      <c r="A220" s="61">
        <v>42423</v>
      </c>
      <c r="B220" s="62" t="s">
        <v>10</v>
      </c>
      <c r="C220" s="62"/>
      <c r="D220" s="62"/>
      <c r="E220" s="62"/>
      <c r="F220" s="62"/>
      <c r="G220" s="62"/>
      <c r="H220" s="62"/>
      <c r="I220" s="62"/>
      <c r="J220" s="62"/>
      <c r="K220" s="62"/>
      <c r="L220" s="62"/>
      <c r="M220" s="62"/>
      <c r="N220" s="62"/>
      <c r="O220" s="62"/>
      <c r="P220" s="62"/>
      <c r="Q220" s="62"/>
      <c r="R220" s="62"/>
    </row>
    <row r="221" spans="1:18" hidden="1">
      <c r="A221" s="61">
        <v>42423</v>
      </c>
      <c r="B221" s="62" t="s">
        <v>362</v>
      </c>
      <c r="C221" s="62"/>
      <c r="D221" s="62"/>
      <c r="E221" s="62"/>
      <c r="F221" s="62">
        <v>6</v>
      </c>
      <c r="G221" s="62">
        <v>2</v>
      </c>
      <c r="H221" s="62"/>
      <c r="I221" s="62"/>
      <c r="J221" s="62"/>
      <c r="K221" s="62"/>
      <c r="L221" s="62"/>
      <c r="M221" s="62"/>
      <c r="N221" s="62"/>
      <c r="O221" s="62"/>
      <c r="P221" s="62"/>
      <c r="Q221" s="62">
        <v>9.75</v>
      </c>
      <c r="R221" s="62"/>
    </row>
    <row r="222" spans="1:18">
      <c r="A222" s="61">
        <v>42423</v>
      </c>
      <c r="B222" s="62" t="s">
        <v>361</v>
      </c>
      <c r="C222" s="62">
        <v>3.25</v>
      </c>
      <c r="D222" s="62"/>
      <c r="E222" s="62"/>
      <c r="F222" s="62"/>
      <c r="G222" s="62"/>
      <c r="H222" s="62"/>
      <c r="I222" s="62"/>
      <c r="J222" s="62"/>
      <c r="K222" s="62"/>
      <c r="L222" s="62"/>
      <c r="M222" s="62"/>
      <c r="N222" s="62"/>
      <c r="O222" s="62"/>
      <c r="P222" s="62"/>
      <c r="Q222" s="62"/>
      <c r="R222" s="62"/>
    </row>
    <row r="223" spans="1:18">
      <c r="A223" s="61">
        <v>42423</v>
      </c>
      <c r="B223" s="62" t="s">
        <v>17</v>
      </c>
      <c r="C223" s="62">
        <v>45.5</v>
      </c>
      <c r="D223" s="62"/>
      <c r="E223" s="62"/>
      <c r="F223" s="62"/>
      <c r="G223" s="62"/>
      <c r="H223" s="62"/>
      <c r="I223" s="62"/>
      <c r="J223" s="62"/>
      <c r="K223" s="62"/>
      <c r="L223" s="62"/>
      <c r="M223" s="62"/>
      <c r="N223" s="62"/>
      <c r="O223" s="62"/>
      <c r="P223" s="62"/>
      <c r="Q223" s="62"/>
      <c r="R223" s="62"/>
    </row>
    <row r="224" spans="1:18" hidden="1">
      <c r="A224" s="61">
        <v>42423</v>
      </c>
      <c r="B224" s="62" t="s">
        <v>9</v>
      </c>
      <c r="C224" s="62"/>
      <c r="D224" s="62">
        <v>31.5</v>
      </c>
      <c r="E224" s="62"/>
      <c r="F224" s="62"/>
      <c r="G224" s="62"/>
      <c r="H224" s="62"/>
      <c r="I224" s="62"/>
      <c r="J224" s="62"/>
      <c r="K224" s="62"/>
      <c r="L224" s="62"/>
      <c r="M224" s="62"/>
      <c r="N224" s="62"/>
      <c r="O224" s="62"/>
      <c r="P224" s="62"/>
      <c r="Q224" s="62"/>
      <c r="R224" s="62"/>
    </row>
    <row r="225" spans="1:18" hidden="1">
      <c r="A225" s="61">
        <v>42423</v>
      </c>
      <c r="B225" s="447" t="s">
        <v>228</v>
      </c>
      <c r="C225" s="64"/>
      <c r="D225" s="62">
        <v>20.5</v>
      </c>
      <c r="E225" s="62"/>
      <c r="F225" s="62"/>
      <c r="G225" s="62"/>
      <c r="H225" s="62"/>
      <c r="I225" s="62"/>
      <c r="J225" s="62"/>
      <c r="K225" s="62"/>
      <c r="L225" s="62"/>
      <c r="M225" s="62"/>
      <c r="N225" s="62"/>
      <c r="O225" s="62"/>
      <c r="P225" s="62"/>
      <c r="Q225" s="62"/>
      <c r="R225" s="62"/>
    </row>
    <row r="226" spans="1:18" hidden="1">
      <c r="A226" s="61">
        <v>42423</v>
      </c>
      <c r="B226" s="62" t="s">
        <v>229</v>
      </c>
      <c r="C226" s="62"/>
      <c r="D226" s="62"/>
      <c r="E226" s="62"/>
      <c r="F226" s="62"/>
      <c r="G226" s="62"/>
      <c r="H226" s="62"/>
      <c r="I226" s="62"/>
      <c r="J226" s="62"/>
      <c r="K226" s="62"/>
      <c r="L226" s="62"/>
      <c r="M226" s="62"/>
      <c r="N226" s="62">
        <v>54</v>
      </c>
      <c r="O226" s="62">
        <v>18</v>
      </c>
      <c r="P226" s="62"/>
      <c r="Q226" s="62"/>
      <c r="R226" s="62"/>
    </row>
    <row r="227" spans="1:18" hidden="1">
      <c r="A227" s="61">
        <v>42423</v>
      </c>
      <c r="B227" s="62" t="s">
        <v>41</v>
      </c>
      <c r="C227" s="62"/>
      <c r="D227" s="62"/>
      <c r="E227" s="62">
        <v>13</v>
      </c>
      <c r="F227" s="62"/>
      <c r="G227" s="62"/>
      <c r="H227" s="62"/>
      <c r="I227" s="62"/>
      <c r="J227" s="62"/>
      <c r="K227" s="62"/>
      <c r="L227" s="62"/>
      <c r="M227" s="62"/>
      <c r="N227" s="62"/>
      <c r="O227" s="62"/>
      <c r="P227" s="62"/>
      <c r="Q227" s="62">
        <v>13</v>
      </c>
      <c r="R227" s="62">
        <v>10</v>
      </c>
    </row>
    <row r="228" spans="1:18" hidden="1">
      <c r="A228" s="61">
        <v>42423</v>
      </c>
      <c r="B228" s="448" t="s">
        <v>225</v>
      </c>
      <c r="C228" s="62"/>
      <c r="D228" s="62">
        <v>29</v>
      </c>
      <c r="E228" s="62"/>
      <c r="F228" s="62"/>
      <c r="G228" s="62"/>
      <c r="H228" s="62"/>
      <c r="I228" s="62"/>
      <c r="J228" s="62"/>
      <c r="K228" s="62"/>
      <c r="L228" s="62"/>
      <c r="M228" s="62"/>
      <c r="N228" s="62"/>
      <c r="O228" s="62"/>
      <c r="P228" s="62"/>
      <c r="Q228" s="62"/>
      <c r="R228" s="62"/>
    </row>
    <row r="229" spans="1:18" hidden="1">
      <c r="A229" s="61">
        <v>42423</v>
      </c>
      <c r="B229" s="448" t="s">
        <v>12</v>
      </c>
      <c r="C229" s="62"/>
      <c r="D229" s="62">
        <v>19.5</v>
      </c>
      <c r="E229" s="62"/>
      <c r="F229" s="62"/>
      <c r="G229" s="62"/>
      <c r="H229" s="62"/>
      <c r="I229" s="62"/>
      <c r="J229" s="62"/>
      <c r="K229" s="62"/>
      <c r="L229" s="62"/>
      <c r="M229" s="62"/>
      <c r="N229" s="62"/>
      <c r="O229" s="62"/>
      <c r="P229" s="62"/>
      <c r="Q229" s="62">
        <v>15.5</v>
      </c>
      <c r="R229" s="62"/>
    </row>
    <row r="230" spans="1:18" hidden="1">
      <c r="A230" s="61">
        <v>42423</v>
      </c>
      <c r="B230" s="62" t="s">
        <v>11</v>
      </c>
      <c r="C230" s="62"/>
      <c r="D230" s="62">
        <v>22.75</v>
      </c>
      <c r="E230" s="62"/>
      <c r="F230" s="62">
        <v>5</v>
      </c>
      <c r="G230" s="62">
        <v>1.5</v>
      </c>
      <c r="H230" s="62">
        <v>5.5</v>
      </c>
      <c r="I230" s="62">
        <v>1.75</v>
      </c>
      <c r="J230" s="62"/>
      <c r="K230" s="62"/>
      <c r="L230" s="62"/>
      <c r="M230" s="62"/>
      <c r="N230" s="62"/>
      <c r="O230" s="62"/>
      <c r="P230" s="62"/>
      <c r="Q230" s="62"/>
      <c r="R230" s="62"/>
    </row>
    <row r="231" spans="1:18" hidden="1">
      <c r="A231" s="61">
        <v>42423</v>
      </c>
      <c r="B231" s="62" t="s">
        <v>13</v>
      </c>
      <c r="C231" s="62"/>
      <c r="D231" s="62"/>
      <c r="E231" s="62"/>
      <c r="F231" s="62"/>
      <c r="G231" s="62"/>
      <c r="H231" s="62"/>
      <c r="I231" s="62"/>
      <c r="J231" s="62"/>
      <c r="K231" s="62"/>
      <c r="L231" s="62"/>
      <c r="M231" s="62"/>
      <c r="N231" s="62">
        <v>28</v>
      </c>
      <c r="O231" s="62">
        <v>9.5</v>
      </c>
      <c r="P231" s="62"/>
      <c r="Q231" s="62"/>
      <c r="R231" s="62"/>
    </row>
    <row r="232" spans="1:18" hidden="1">
      <c r="A232" s="61">
        <v>42423</v>
      </c>
      <c r="B232" s="62" t="s">
        <v>8</v>
      </c>
      <c r="C232" s="62"/>
      <c r="D232" s="62">
        <v>19.5</v>
      </c>
      <c r="E232" s="62"/>
      <c r="F232" s="62"/>
      <c r="G232" s="62"/>
      <c r="H232" s="62"/>
      <c r="I232" s="62"/>
      <c r="J232" s="62"/>
      <c r="K232" s="62"/>
      <c r="L232" s="62"/>
      <c r="M232" s="62"/>
      <c r="N232" s="62"/>
      <c r="O232" s="62"/>
      <c r="P232" s="62"/>
      <c r="Q232" s="62"/>
      <c r="R232" s="62"/>
    </row>
    <row r="233" spans="1:18" hidden="1"/>
    <row r="234" spans="1:18" hidden="1">
      <c r="A234" s="61">
        <v>42438</v>
      </c>
      <c r="B234" s="62" t="s">
        <v>283</v>
      </c>
      <c r="C234" s="62"/>
      <c r="D234" s="62"/>
      <c r="E234" s="62"/>
      <c r="F234" s="62"/>
      <c r="G234" s="62"/>
      <c r="H234" s="62"/>
      <c r="I234" s="62"/>
      <c r="J234" s="62"/>
      <c r="K234" s="62"/>
      <c r="L234" s="62"/>
      <c r="M234" s="62"/>
      <c r="N234" s="62"/>
      <c r="O234" s="62"/>
      <c r="P234" s="62"/>
      <c r="Q234" s="62"/>
      <c r="R234" s="62"/>
    </row>
    <row r="235" spans="1:18" hidden="1">
      <c r="A235" s="61">
        <v>42438</v>
      </c>
      <c r="B235" s="64" t="s">
        <v>52</v>
      </c>
      <c r="C235" s="64"/>
      <c r="D235" s="62"/>
      <c r="E235" s="62"/>
      <c r="F235" s="62"/>
      <c r="G235" s="62"/>
      <c r="H235" s="62"/>
      <c r="I235" s="62"/>
      <c r="J235" s="62"/>
      <c r="K235" s="62"/>
      <c r="L235" s="62"/>
      <c r="M235" s="62"/>
      <c r="N235" s="62"/>
      <c r="O235" s="62"/>
      <c r="P235" s="62"/>
      <c r="Q235" s="62"/>
      <c r="R235" s="62"/>
    </row>
    <row r="236" spans="1:18" hidden="1">
      <c r="A236" s="61">
        <v>42438</v>
      </c>
      <c r="B236" s="62" t="s">
        <v>10</v>
      </c>
      <c r="C236" s="62"/>
      <c r="D236" s="62"/>
      <c r="E236" s="62"/>
      <c r="F236" s="62"/>
      <c r="G236" s="62"/>
      <c r="H236" s="62"/>
      <c r="I236" s="62"/>
      <c r="J236" s="62"/>
      <c r="K236" s="62"/>
      <c r="L236" s="62"/>
      <c r="M236" s="62"/>
      <c r="N236" s="62"/>
      <c r="O236" s="62"/>
      <c r="P236" s="62"/>
      <c r="Q236" s="62"/>
      <c r="R236" s="62"/>
    </row>
    <row r="237" spans="1:18" hidden="1">
      <c r="A237" s="61">
        <v>42438</v>
      </c>
      <c r="B237" s="62" t="s">
        <v>362</v>
      </c>
      <c r="C237" s="62"/>
      <c r="D237" s="62"/>
      <c r="E237" s="62"/>
      <c r="F237" s="62"/>
      <c r="G237" s="62"/>
      <c r="H237" s="62"/>
      <c r="I237" s="62"/>
      <c r="J237" s="62"/>
      <c r="K237" s="62"/>
      <c r="L237" s="62"/>
      <c r="M237" s="62"/>
      <c r="N237" s="62"/>
      <c r="O237" s="62"/>
      <c r="P237" s="62"/>
      <c r="Q237" s="62"/>
      <c r="R237" s="62"/>
    </row>
    <row r="238" spans="1:18" hidden="1">
      <c r="A238" s="61">
        <v>42438</v>
      </c>
      <c r="B238" s="62" t="s">
        <v>361</v>
      </c>
      <c r="C238" s="62"/>
      <c r="D238" s="62"/>
      <c r="E238" s="62"/>
      <c r="F238" s="62"/>
      <c r="G238" s="62"/>
      <c r="H238" s="62"/>
      <c r="I238" s="62"/>
      <c r="J238" s="62"/>
      <c r="K238" s="62"/>
      <c r="L238" s="62"/>
      <c r="M238" s="62"/>
      <c r="N238" s="62"/>
      <c r="O238" s="62"/>
      <c r="P238" s="62"/>
      <c r="Q238" s="62"/>
      <c r="R238" s="62"/>
    </row>
    <row r="239" spans="1:18" hidden="1">
      <c r="A239" s="61">
        <v>42438</v>
      </c>
      <c r="B239" s="62" t="s">
        <v>17</v>
      </c>
      <c r="C239" s="62"/>
      <c r="D239" s="62"/>
      <c r="E239" s="62"/>
      <c r="F239" s="62"/>
      <c r="G239" s="62"/>
      <c r="H239" s="62"/>
      <c r="I239" s="62"/>
      <c r="J239" s="62"/>
      <c r="K239" s="62"/>
      <c r="L239" s="62"/>
      <c r="M239" s="62"/>
      <c r="N239" s="62"/>
      <c r="O239" s="62"/>
      <c r="P239" s="62"/>
      <c r="Q239" s="62"/>
      <c r="R239" s="62"/>
    </row>
    <row r="240" spans="1:18" hidden="1">
      <c r="A240" s="61">
        <v>42438</v>
      </c>
      <c r="B240" s="62" t="s">
        <v>9</v>
      </c>
      <c r="C240" s="62"/>
      <c r="D240" s="62"/>
      <c r="E240" s="62"/>
      <c r="F240" s="62"/>
      <c r="G240" s="62"/>
      <c r="H240" s="62"/>
      <c r="I240" s="62"/>
      <c r="J240" s="62"/>
      <c r="K240" s="62"/>
      <c r="L240" s="62"/>
      <c r="M240" s="62"/>
      <c r="N240" s="62"/>
      <c r="O240" s="62"/>
      <c r="P240" s="62"/>
      <c r="Q240" s="62"/>
      <c r="R240" s="62"/>
    </row>
    <row r="241" spans="1:18" hidden="1">
      <c r="A241" s="61">
        <v>42438</v>
      </c>
      <c r="B241" s="447" t="s">
        <v>228</v>
      </c>
      <c r="C241" s="64"/>
      <c r="D241" s="62"/>
      <c r="E241" s="62"/>
      <c r="F241" s="62"/>
      <c r="G241" s="62"/>
      <c r="H241" s="62"/>
      <c r="I241" s="62"/>
      <c r="J241" s="62"/>
      <c r="K241" s="62"/>
      <c r="L241" s="62"/>
      <c r="M241" s="62"/>
      <c r="N241" s="62"/>
      <c r="O241" s="62"/>
      <c r="P241" s="62"/>
      <c r="Q241" s="62"/>
      <c r="R241" s="62"/>
    </row>
    <row r="242" spans="1:18" hidden="1">
      <c r="A242" s="61">
        <v>42438</v>
      </c>
      <c r="B242" s="62" t="s">
        <v>229</v>
      </c>
      <c r="C242" s="62"/>
      <c r="D242" s="62"/>
      <c r="E242" s="62"/>
      <c r="F242" s="62"/>
      <c r="G242" s="62"/>
      <c r="H242" s="62"/>
      <c r="I242" s="62"/>
      <c r="J242" s="62"/>
      <c r="K242" s="62"/>
      <c r="L242" s="62"/>
      <c r="M242" s="62"/>
      <c r="N242" s="62"/>
      <c r="O242" s="62"/>
      <c r="P242" s="62"/>
      <c r="Q242" s="62"/>
      <c r="R242" s="62"/>
    </row>
    <row r="243" spans="1:18" hidden="1">
      <c r="A243" s="61">
        <v>42438</v>
      </c>
      <c r="B243" s="62" t="s">
        <v>41</v>
      </c>
      <c r="C243" s="62"/>
      <c r="D243" s="62"/>
      <c r="E243" s="62"/>
      <c r="F243" s="62"/>
      <c r="G243" s="62"/>
      <c r="H243" s="62"/>
      <c r="I243" s="62"/>
      <c r="J243" s="62"/>
      <c r="K243" s="62"/>
      <c r="L243" s="62"/>
      <c r="M243" s="62"/>
      <c r="N243" s="62"/>
      <c r="O243" s="62"/>
      <c r="P243" s="62"/>
      <c r="Q243" s="62"/>
      <c r="R243" s="62"/>
    </row>
    <row r="244" spans="1:18" hidden="1">
      <c r="A244" s="61">
        <v>42438</v>
      </c>
      <c r="B244" s="448" t="s">
        <v>225</v>
      </c>
      <c r="C244" s="62"/>
      <c r="D244" s="62"/>
      <c r="E244" s="62"/>
      <c r="F244" s="62"/>
      <c r="G244" s="62"/>
      <c r="H244" s="62"/>
      <c r="I244" s="62"/>
      <c r="J244" s="62"/>
      <c r="K244" s="62"/>
      <c r="L244" s="62"/>
      <c r="M244" s="62"/>
      <c r="N244" s="62"/>
      <c r="O244" s="62"/>
      <c r="P244" s="62"/>
      <c r="Q244" s="62"/>
      <c r="R244" s="62"/>
    </row>
    <row r="245" spans="1:18" hidden="1">
      <c r="A245" s="61">
        <v>42438</v>
      </c>
      <c r="B245" s="448" t="s">
        <v>12</v>
      </c>
      <c r="C245" s="62"/>
      <c r="D245" s="62"/>
      <c r="E245" s="62"/>
      <c r="F245" s="62"/>
      <c r="G245" s="62"/>
      <c r="H245" s="62"/>
      <c r="I245" s="62"/>
      <c r="J245" s="62"/>
      <c r="K245" s="62"/>
      <c r="L245" s="62"/>
      <c r="M245" s="62"/>
      <c r="N245" s="62"/>
      <c r="O245" s="62"/>
      <c r="P245" s="62"/>
      <c r="Q245" s="62"/>
      <c r="R245" s="62"/>
    </row>
    <row r="246" spans="1:18" hidden="1">
      <c r="A246" s="61">
        <v>42438</v>
      </c>
      <c r="B246" s="62" t="s">
        <v>11</v>
      </c>
      <c r="C246" s="62"/>
      <c r="D246" s="62"/>
      <c r="E246" s="62"/>
      <c r="F246" s="62"/>
      <c r="G246" s="62"/>
      <c r="H246" s="62"/>
      <c r="I246" s="62"/>
      <c r="J246" s="62"/>
      <c r="K246" s="62"/>
      <c r="L246" s="62"/>
      <c r="M246" s="62"/>
      <c r="N246" s="62"/>
      <c r="O246" s="62"/>
      <c r="P246" s="62"/>
      <c r="Q246" s="62"/>
      <c r="R246" s="62"/>
    </row>
    <row r="247" spans="1:18" hidden="1">
      <c r="A247" s="61">
        <v>42438</v>
      </c>
      <c r="B247" s="62" t="s">
        <v>13</v>
      </c>
      <c r="C247" s="62"/>
      <c r="D247" s="62"/>
      <c r="E247" s="62"/>
      <c r="F247" s="62"/>
      <c r="G247" s="62"/>
      <c r="H247" s="62"/>
      <c r="I247" s="62"/>
      <c r="J247" s="62"/>
      <c r="K247" s="62"/>
      <c r="L247" s="62"/>
      <c r="M247" s="62"/>
      <c r="N247" s="62"/>
      <c r="O247" s="62"/>
      <c r="P247" s="62"/>
      <c r="Q247" s="62"/>
      <c r="R247" s="62"/>
    </row>
    <row r="248" spans="1:18" hidden="1">
      <c r="A248" s="61">
        <v>42438</v>
      </c>
      <c r="B248" s="62" t="s">
        <v>8</v>
      </c>
      <c r="C248" s="62"/>
      <c r="D248" s="62"/>
      <c r="E248" s="62"/>
      <c r="F248" s="62"/>
      <c r="G248" s="62"/>
      <c r="H248" s="62"/>
      <c r="I248" s="62"/>
      <c r="J248" s="62"/>
      <c r="K248" s="62"/>
      <c r="L248" s="62"/>
      <c r="M248" s="62"/>
      <c r="N248" s="62"/>
      <c r="O248" s="62"/>
      <c r="P248" s="62"/>
      <c r="Q248" s="62"/>
      <c r="R248" s="62"/>
    </row>
  </sheetData>
  <autoFilter ref="C1:C248">
    <filterColumn colId="0">
      <customFilters>
        <customFilter operator="notEqual" val=" "/>
      </customFilters>
    </filterColumn>
  </autoFilter>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
  <sheetViews>
    <sheetView workbookViewId="0">
      <selection activeCell="J3" sqref="J3"/>
    </sheetView>
  </sheetViews>
  <sheetFormatPr defaultRowHeight="15"/>
  <cols>
    <col min="1" max="1" width="31" customWidth="1"/>
    <col min="2" max="2" width="19.7109375" bestFit="1" customWidth="1"/>
    <col min="3" max="4" width="12.7109375" customWidth="1"/>
  </cols>
  <sheetData>
    <row r="1" spans="1:14">
      <c r="C1" s="4" t="s">
        <v>54</v>
      </c>
      <c r="D1" s="4" t="s">
        <v>46</v>
      </c>
      <c r="E1" s="4" t="s">
        <v>34</v>
      </c>
      <c r="F1" s="4" t="s">
        <v>35</v>
      </c>
      <c r="G1" s="4" t="s">
        <v>47</v>
      </c>
      <c r="H1" s="4" t="s">
        <v>48</v>
      </c>
      <c r="I1" s="4" t="s">
        <v>49</v>
      </c>
      <c r="J1" s="4" t="s">
        <v>50</v>
      </c>
      <c r="K1" s="4" t="s">
        <v>51</v>
      </c>
      <c r="L1" s="4" t="s">
        <v>55</v>
      </c>
      <c r="M1" s="4" t="s">
        <v>44</v>
      </c>
      <c r="N1" s="4" t="s">
        <v>56</v>
      </c>
    </row>
    <row r="2" spans="1:14">
      <c r="A2" s="7" t="s">
        <v>263</v>
      </c>
      <c r="B2" s="4" t="s">
        <v>249</v>
      </c>
      <c r="C2" s="442">
        <v>140</v>
      </c>
      <c r="D2" s="442">
        <v>119</v>
      </c>
      <c r="E2" s="442">
        <v>129.5</v>
      </c>
      <c r="F2" s="442">
        <v>150.5</v>
      </c>
      <c r="G2" s="442">
        <v>108.5</v>
      </c>
      <c r="H2" s="442">
        <v>98</v>
      </c>
      <c r="I2" s="442">
        <v>110</v>
      </c>
      <c r="J2" s="442">
        <v>112</v>
      </c>
      <c r="K2" s="442"/>
      <c r="L2" s="442"/>
      <c r="M2" s="442"/>
      <c r="N2" s="442"/>
    </row>
    <row r="3" spans="1:14">
      <c r="A3" s="443" t="s">
        <v>259</v>
      </c>
      <c r="B3" s="441" t="s">
        <v>250</v>
      </c>
      <c r="C3" s="62">
        <f>SUM(C2*0.53)</f>
        <v>74.2</v>
      </c>
      <c r="D3" s="62">
        <f t="shared" ref="D3:N3" si="0">SUM(D2*0.53)</f>
        <v>63.07</v>
      </c>
      <c r="E3" s="62">
        <f t="shared" si="0"/>
        <v>68.635000000000005</v>
      </c>
      <c r="F3" s="62">
        <f t="shared" si="0"/>
        <v>79.765000000000001</v>
      </c>
      <c r="G3" s="62">
        <f t="shared" si="0"/>
        <v>57.505000000000003</v>
      </c>
      <c r="H3" s="62">
        <f t="shared" si="0"/>
        <v>51.940000000000005</v>
      </c>
      <c r="I3" s="62">
        <f t="shared" si="0"/>
        <v>58.300000000000004</v>
      </c>
      <c r="J3" s="62">
        <f t="shared" si="0"/>
        <v>59.36</v>
      </c>
      <c r="K3" s="62">
        <f t="shared" si="0"/>
        <v>0</v>
      </c>
      <c r="L3" s="62">
        <f t="shared" si="0"/>
        <v>0</v>
      </c>
      <c r="M3" s="62">
        <f t="shared" si="0"/>
        <v>0</v>
      </c>
      <c r="N3" s="62">
        <f t="shared" si="0"/>
        <v>0</v>
      </c>
    </row>
    <row r="4" spans="1:14">
      <c r="A4" s="443" t="s">
        <v>260</v>
      </c>
      <c r="B4" s="441" t="s">
        <v>251</v>
      </c>
      <c r="C4" s="62">
        <f>SUM(C2*0.14)</f>
        <v>19.600000000000001</v>
      </c>
      <c r="D4" s="62">
        <f t="shared" ref="D4:N4" si="1">SUM(D2*0.14)</f>
        <v>16.66</v>
      </c>
      <c r="E4" s="62">
        <f t="shared" si="1"/>
        <v>18.130000000000003</v>
      </c>
      <c r="F4" s="62">
        <f t="shared" si="1"/>
        <v>21.07</v>
      </c>
      <c r="G4" s="62">
        <f t="shared" si="1"/>
        <v>15.190000000000001</v>
      </c>
      <c r="H4" s="62">
        <f t="shared" si="1"/>
        <v>13.72</v>
      </c>
      <c r="I4" s="62">
        <f t="shared" si="1"/>
        <v>15.400000000000002</v>
      </c>
      <c r="J4" s="62">
        <f t="shared" si="1"/>
        <v>15.680000000000001</v>
      </c>
      <c r="K4" s="62">
        <f t="shared" si="1"/>
        <v>0</v>
      </c>
      <c r="L4" s="62">
        <f t="shared" si="1"/>
        <v>0</v>
      </c>
      <c r="M4" s="62">
        <f t="shared" si="1"/>
        <v>0</v>
      </c>
      <c r="N4" s="62">
        <f t="shared" si="1"/>
        <v>0</v>
      </c>
    </row>
    <row r="5" spans="1:14">
      <c r="A5" s="443" t="s">
        <v>259</v>
      </c>
      <c r="B5" s="441" t="s">
        <v>252</v>
      </c>
      <c r="C5" s="62">
        <f>SUM(C2*0.025)</f>
        <v>3.5</v>
      </c>
      <c r="D5" s="62">
        <f t="shared" ref="D5:N5" si="2">SUM(D2*0.025)</f>
        <v>2.9750000000000001</v>
      </c>
      <c r="E5" s="62">
        <f t="shared" si="2"/>
        <v>3.2375000000000003</v>
      </c>
      <c r="F5" s="62">
        <f t="shared" si="2"/>
        <v>3.7625000000000002</v>
      </c>
      <c r="G5" s="62">
        <f t="shared" si="2"/>
        <v>2.7125000000000004</v>
      </c>
      <c r="H5" s="62">
        <f t="shared" si="2"/>
        <v>2.4500000000000002</v>
      </c>
      <c r="I5" s="62">
        <f t="shared" si="2"/>
        <v>2.75</v>
      </c>
      <c r="J5" s="62">
        <f t="shared" si="2"/>
        <v>2.8000000000000003</v>
      </c>
      <c r="K5" s="62">
        <f t="shared" si="2"/>
        <v>0</v>
      </c>
      <c r="L5" s="62">
        <f t="shared" si="2"/>
        <v>0</v>
      </c>
      <c r="M5" s="62">
        <f t="shared" si="2"/>
        <v>0</v>
      </c>
      <c r="N5" s="62">
        <f t="shared" si="2"/>
        <v>0</v>
      </c>
    </row>
    <row r="6" spans="1:14">
      <c r="A6" s="444" t="s">
        <v>261</v>
      </c>
      <c r="B6" s="441" t="s">
        <v>253</v>
      </c>
      <c r="C6" s="62">
        <f>SUM(C2*0.165)</f>
        <v>23.1</v>
      </c>
      <c r="D6" s="62">
        <f t="shared" ref="D6:N6" si="3">SUM(D2*0.165)</f>
        <v>19.635000000000002</v>
      </c>
      <c r="E6" s="62">
        <f t="shared" si="3"/>
        <v>21.3675</v>
      </c>
      <c r="F6" s="62">
        <f t="shared" si="3"/>
        <v>24.8325</v>
      </c>
      <c r="G6" s="62">
        <f t="shared" si="3"/>
        <v>17.9025</v>
      </c>
      <c r="H6" s="62">
        <f t="shared" si="3"/>
        <v>16.170000000000002</v>
      </c>
      <c r="I6" s="62">
        <f t="shared" si="3"/>
        <v>18.150000000000002</v>
      </c>
      <c r="J6" s="62">
        <f t="shared" si="3"/>
        <v>18.48</v>
      </c>
      <c r="K6" s="62">
        <f t="shared" si="3"/>
        <v>0</v>
      </c>
      <c r="L6" s="62">
        <f t="shared" si="3"/>
        <v>0</v>
      </c>
      <c r="M6" s="62">
        <f t="shared" si="3"/>
        <v>0</v>
      </c>
      <c r="N6" s="62">
        <f t="shared" si="3"/>
        <v>0</v>
      </c>
    </row>
    <row r="7" spans="1:14">
      <c r="A7" s="443" t="s">
        <v>260</v>
      </c>
      <c r="B7" s="441" t="s">
        <v>254</v>
      </c>
      <c r="C7" s="62">
        <f>SUM(C2*0.04)</f>
        <v>5.6000000000000005</v>
      </c>
      <c r="D7" s="62">
        <f t="shared" ref="D7:N7" si="4">SUM(D2*0.04)</f>
        <v>4.76</v>
      </c>
      <c r="E7" s="62">
        <f t="shared" si="4"/>
        <v>5.18</v>
      </c>
      <c r="F7" s="62">
        <f t="shared" si="4"/>
        <v>6.0200000000000005</v>
      </c>
      <c r="G7" s="62">
        <f t="shared" si="4"/>
        <v>4.34</v>
      </c>
      <c r="H7" s="62">
        <f t="shared" si="4"/>
        <v>3.92</v>
      </c>
      <c r="I7" s="62">
        <f t="shared" si="4"/>
        <v>4.4000000000000004</v>
      </c>
      <c r="J7" s="62">
        <f t="shared" si="4"/>
        <v>4.4800000000000004</v>
      </c>
      <c r="K7" s="62">
        <f t="shared" si="4"/>
        <v>0</v>
      </c>
      <c r="L7" s="62">
        <f t="shared" si="4"/>
        <v>0</v>
      </c>
      <c r="M7" s="62">
        <f t="shared" si="4"/>
        <v>0</v>
      </c>
      <c r="N7" s="62">
        <f t="shared" si="4"/>
        <v>0</v>
      </c>
    </row>
    <row r="8" spans="1:14">
      <c r="A8" s="443" t="s">
        <v>259</v>
      </c>
      <c r="B8" s="441" t="s">
        <v>255</v>
      </c>
      <c r="C8" s="62">
        <f>SUM(C2*0.009)</f>
        <v>1.26</v>
      </c>
      <c r="D8" s="62">
        <f t="shared" ref="D8:N8" si="5">SUM(D2*0.009)</f>
        <v>1.071</v>
      </c>
      <c r="E8" s="62">
        <f t="shared" si="5"/>
        <v>1.1655</v>
      </c>
      <c r="F8" s="62">
        <f t="shared" si="5"/>
        <v>1.3544999999999998</v>
      </c>
      <c r="G8" s="62">
        <f t="shared" si="5"/>
        <v>0.97649999999999992</v>
      </c>
      <c r="H8" s="62">
        <f t="shared" si="5"/>
        <v>0.8819999999999999</v>
      </c>
      <c r="I8" s="62">
        <f t="shared" si="5"/>
        <v>0.98999999999999988</v>
      </c>
      <c r="J8" s="62">
        <f t="shared" si="5"/>
        <v>1.008</v>
      </c>
      <c r="K8" s="62">
        <f t="shared" si="5"/>
        <v>0</v>
      </c>
      <c r="L8" s="62">
        <f t="shared" si="5"/>
        <v>0</v>
      </c>
      <c r="M8" s="62">
        <f t="shared" si="5"/>
        <v>0</v>
      </c>
      <c r="N8" s="62">
        <f t="shared" si="5"/>
        <v>0</v>
      </c>
    </row>
    <row r="9" spans="1:14">
      <c r="A9" s="444" t="s">
        <v>262</v>
      </c>
      <c r="B9" s="441" t="s">
        <v>256</v>
      </c>
      <c r="C9" s="62">
        <f>SUM(C2*0.0033)</f>
        <v>0.46200000000000002</v>
      </c>
      <c r="D9" s="62">
        <f t="shared" ref="D9:N9" si="6">SUM(D2*0.0033)</f>
        <v>0.39269999999999999</v>
      </c>
      <c r="E9" s="62">
        <f t="shared" si="6"/>
        <v>0.42735000000000001</v>
      </c>
      <c r="F9" s="62">
        <f t="shared" si="6"/>
        <v>0.49664999999999998</v>
      </c>
      <c r="G9" s="62">
        <f t="shared" si="6"/>
        <v>0.35804999999999998</v>
      </c>
      <c r="H9" s="62">
        <f t="shared" si="6"/>
        <v>0.32340000000000002</v>
      </c>
      <c r="I9" s="62">
        <f t="shared" si="6"/>
        <v>0.36299999999999999</v>
      </c>
      <c r="J9" s="62">
        <f t="shared" si="6"/>
        <v>0.36959999999999998</v>
      </c>
      <c r="K9" s="62">
        <f t="shared" si="6"/>
        <v>0</v>
      </c>
      <c r="L9" s="62">
        <f t="shared" si="6"/>
        <v>0</v>
      </c>
      <c r="M9" s="62">
        <f t="shared" si="6"/>
        <v>0</v>
      </c>
      <c r="N9" s="62">
        <f t="shared" si="6"/>
        <v>0</v>
      </c>
    </row>
    <row r="10" spans="1:14">
      <c r="A10" s="443" t="s">
        <v>260</v>
      </c>
      <c r="B10" s="441" t="s">
        <v>257</v>
      </c>
      <c r="C10" s="62">
        <f>SUM(C2*0.0077)</f>
        <v>1.0780000000000001</v>
      </c>
      <c r="D10" s="62">
        <f t="shared" ref="D10:N10" si="7">SUM(D2*0.0077)</f>
        <v>0.9163</v>
      </c>
      <c r="E10" s="62">
        <f t="shared" si="7"/>
        <v>0.99714999999999998</v>
      </c>
      <c r="F10" s="62">
        <f t="shared" si="7"/>
        <v>1.1588499999999999</v>
      </c>
      <c r="G10" s="62">
        <f t="shared" si="7"/>
        <v>0.83545000000000003</v>
      </c>
      <c r="H10" s="62">
        <f t="shared" si="7"/>
        <v>0.75460000000000005</v>
      </c>
      <c r="I10" s="62">
        <f t="shared" si="7"/>
        <v>0.84699999999999998</v>
      </c>
      <c r="J10" s="62">
        <f t="shared" si="7"/>
        <v>0.86240000000000006</v>
      </c>
      <c r="K10" s="62">
        <f t="shared" si="7"/>
        <v>0</v>
      </c>
      <c r="L10" s="62">
        <f t="shared" si="7"/>
        <v>0</v>
      </c>
      <c r="M10" s="62">
        <f t="shared" si="7"/>
        <v>0</v>
      </c>
      <c r="N10" s="62">
        <f t="shared" si="7"/>
        <v>0</v>
      </c>
    </row>
    <row r="11" spans="1:14">
      <c r="B11" s="441" t="s">
        <v>258</v>
      </c>
      <c r="C11" s="62">
        <f>SUM(C2*0.08)</f>
        <v>11.200000000000001</v>
      </c>
      <c r="D11" s="62">
        <f t="shared" ref="D11:N11" si="8">SUM(D2*0.08)</f>
        <v>9.52</v>
      </c>
      <c r="E11" s="62">
        <f t="shared" si="8"/>
        <v>10.36</v>
      </c>
      <c r="F11" s="62">
        <f t="shared" si="8"/>
        <v>12.040000000000001</v>
      </c>
      <c r="G11" s="62">
        <f t="shared" si="8"/>
        <v>8.68</v>
      </c>
      <c r="H11" s="62">
        <f t="shared" si="8"/>
        <v>7.84</v>
      </c>
      <c r="I11" s="62">
        <f t="shared" si="8"/>
        <v>8.8000000000000007</v>
      </c>
      <c r="J11" s="62">
        <f t="shared" si="8"/>
        <v>8.9600000000000009</v>
      </c>
      <c r="K11" s="62">
        <f t="shared" si="8"/>
        <v>0</v>
      </c>
      <c r="L11" s="62">
        <f t="shared" si="8"/>
        <v>0</v>
      </c>
      <c r="M11" s="62">
        <f t="shared" si="8"/>
        <v>0</v>
      </c>
      <c r="N11" s="62">
        <f t="shared" si="8"/>
        <v>0</v>
      </c>
    </row>
  </sheetData>
  <pageMargins left="0.7" right="0.7" top="0.75" bottom="0.75" header="0.3" footer="0.3"/>
  <pageSetup scale="7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31" sqref="P31"/>
    </sheetView>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tabSelected="1" workbookViewId="0">
      <selection activeCell="O29" sqref="O29"/>
    </sheetView>
  </sheetViews>
  <sheetFormatPr defaultRowHeight="15"/>
  <cols>
    <col min="1" max="1" width="20.140625" bestFit="1" customWidth="1"/>
    <col min="2" max="2" width="11.5703125" bestFit="1" customWidth="1"/>
    <col min="3" max="3" width="10.28515625" customWidth="1"/>
    <col min="4" max="4" width="11.5703125" bestFit="1" customWidth="1"/>
    <col min="5" max="5" width="13.42578125" bestFit="1" customWidth="1"/>
    <col min="6" max="6" width="14.42578125" bestFit="1" customWidth="1"/>
    <col min="8" max="8" width="19.140625" customWidth="1"/>
    <col min="9" max="9" width="11.85546875" bestFit="1" customWidth="1"/>
  </cols>
  <sheetData>
    <row r="1" spans="1:9" ht="16.5" thickTop="1">
      <c r="A1" s="261" t="s">
        <v>70</v>
      </c>
      <c r="B1" s="172">
        <v>1</v>
      </c>
      <c r="C1" s="171">
        <v>1</v>
      </c>
      <c r="D1" s="170">
        <v>17.5</v>
      </c>
      <c r="E1" s="260" t="s">
        <v>95</v>
      </c>
      <c r="F1" s="259">
        <v>9.75</v>
      </c>
      <c r="G1" s="258">
        <v>42</v>
      </c>
      <c r="H1" s="212">
        <f>ROUND(B1*C1*D1*F1*G1,0)</f>
        <v>7166</v>
      </c>
      <c r="I1" t="s">
        <v>438</v>
      </c>
    </row>
    <row r="2" spans="1:9" ht="16.5" thickBot="1">
      <c r="A2" s="256" t="s">
        <v>17</v>
      </c>
      <c r="B2" s="163"/>
      <c r="C2" s="163"/>
      <c r="D2" s="162"/>
      <c r="E2" s="255"/>
      <c r="F2" s="161" t="s">
        <v>68</v>
      </c>
      <c r="G2" s="160" t="s">
        <v>67</v>
      </c>
      <c r="H2" s="159"/>
    </row>
    <row r="3" spans="1:9" ht="16.5" thickTop="1">
      <c r="A3" s="236" t="s">
        <v>91</v>
      </c>
      <c r="B3" s="186">
        <v>1</v>
      </c>
      <c r="C3" s="185">
        <v>1</v>
      </c>
      <c r="D3" s="524">
        <v>18</v>
      </c>
      <c r="E3" s="183"/>
      <c r="F3" s="526">
        <v>6</v>
      </c>
      <c r="G3" s="527">
        <v>40</v>
      </c>
      <c r="H3" s="525">
        <f>ROUND(B3*C3*D3*F3*G3,0)</f>
        <v>4320</v>
      </c>
    </row>
    <row r="4" spans="1:9" ht="16.5" thickBot="1">
      <c r="A4" s="235" t="s">
        <v>41</v>
      </c>
      <c r="B4" s="178"/>
      <c r="C4" s="178"/>
      <c r="D4" s="174"/>
      <c r="E4" s="174"/>
      <c r="F4" s="176" t="s">
        <v>68</v>
      </c>
      <c r="G4" s="234" t="s">
        <v>67</v>
      </c>
      <c r="H4" s="174"/>
    </row>
    <row r="5" spans="1:9" ht="16.5" thickTop="1">
      <c r="A5" s="219" t="s">
        <v>70</v>
      </c>
      <c r="B5" s="218">
        <v>1</v>
      </c>
      <c r="C5" s="217">
        <v>1</v>
      </c>
      <c r="D5" s="216">
        <v>17.5</v>
      </c>
      <c r="E5" s="215"/>
      <c r="F5" s="214">
        <v>9.75</v>
      </c>
      <c r="G5" s="213">
        <v>42</v>
      </c>
      <c r="H5" s="212">
        <f>ROUND(B5*C5*D5*F5*G5,0)</f>
        <v>7166</v>
      </c>
      <c r="I5" t="s">
        <v>437</v>
      </c>
    </row>
    <row r="6" spans="1:9" ht="16.5" thickBot="1">
      <c r="A6" s="164" t="s">
        <v>17</v>
      </c>
      <c r="B6" s="163"/>
      <c r="C6" s="163"/>
      <c r="D6" s="162"/>
      <c r="E6" s="159"/>
      <c r="F6" s="161" t="s">
        <v>68</v>
      </c>
      <c r="G6" s="160" t="s">
        <v>67</v>
      </c>
      <c r="H6" s="159"/>
    </row>
    <row r="7" spans="1:9" ht="16.5" thickTop="1">
      <c r="A7" s="550" t="s">
        <v>422</v>
      </c>
      <c r="B7" s="551">
        <v>1</v>
      </c>
      <c r="C7" s="552">
        <v>1</v>
      </c>
      <c r="D7" s="524">
        <v>21.65</v>
      </c>
      <c r="E7" s="548"/>
      <c r="F7" s="526">
        <v>5</v>
      </c>
      <c r="G7" s="527">
        <v>8</v>
      </c>
      <c r="H7" s="525">
        <f>ROUND(B7*C7*D7*F7*G7,0)</f>
        <v>866</v>
      </c>
    </row>
    <row r="8" spans="1:9" ht="16.5" thickBot="1">
      <c r="A8" s="553"/>
      <c r="B8" s="554"/>
      <c r="C8" s="554"/>
      <c r="D8" s="555"/>
      <c r="E8" s="555"/>
      <c r="F8" s="556" t="s">
        <v>68</v>
      </c>
      <c r="G8" s="557" t="s">
        <v>67</v>
      </c>
      <c r="H8" s="555"/>
    </row>
    <row r="9" spans="1:9" ht="16.5" thickTop="1">
      <c r="A9" s="187" t="s">
        <v>70</v>
      </c>
      <c r="B9" s="186">
        <v>1</v>
      </c>
      <c r="C9" s="185">
        <v>1</v>
      </c>
      <c r="D9" s="184">
        <v>17.5</v>
      </c>
      <c r="E9" s="183"/>
      <c r="F9" s="182">
        <v>6.5</v>
      </c>
      <c r="G9" s="208">
        <v>42</v>
      </c>
      <c r="H9" s="166">
        <f>ROUND(B9*C9*D9*F9*G9,0)</f>
        <v>4778</v>
      </c>
      <c r="I9" t="s">
        <v>436</v>
      </c>
    </row>
    <row r="10" spans="1:9" ht="27" thickBot="1">
      <c r="A10" s="561" t="s">
        <v>435</v>
      </c>
      <c r="B10" s="205"/>
      <c r="C10" s="205"/>
      <c r="D10" s="204"/>
      <c r="E10" s="174"/>
      <c r="F10" s="203" t="s">
        <v>68</v>
      </c>
      <c r="G10" s="202" t="s">
        <v>67</v>
      </c>
      <c r="H10" s="174"/>
    </row>
    <row r="11" spans="1:9" ht="16.5" thickTop="1">
      <c r="A11" s="187" t="s">
        <v>70</v>
      </c>
      <c r="B11" s="186">
        <v>1</v>
      </c>
      <c r="C11" s="185">
        <v>1</v>
      </c>
      <c r="D11" s="184">
        <v>17.5</v>
      </c>
      <c r="E11" s="183"/>
      <c r="F11" s="182">
        <v>6.5</v>
      </c>
      <c r="G11" s="527">
        <v>25</v>
      </c>
      <c r="H11" s="525">
        <f t="shared" ref="H11" si="0">ROUND(B11*C11*D11*F11*G11,0)</f>
        <v>2844</v>
      </c>
      <c r="I11" t="s">
        <v>177</v>
      </c>
    </row>
    <row r="12" spans="1:9" ht="35.25" customHeight="1" thickBot="1">
      <c r="A12" s="543" t="s">
        <v>390</v>
      </c>
      <c r="B12" s="178"/>
      <c r="C12" s="178"/>
      <c r="D12" s="177"/>
      <c r="E12" s="174"/>
      <c r="F12" s="176" t="s">
        <v>68</v>
      </c>
      <c r="G12" s="175" t="s">
        <v>67</v>
      </c>
      <c r="H12" s="174"/>
    </row>
    <row r="13" spans="1:9" ht="15.75" thickTop="1"/>
    <row r="14" spans="1:9" ht="30">
      <c r="B14" s="563" t="s">
        <v>423</v>
      </c>
      <c r="C14" s="42"/>
      <c r="D14" s="564" t="s">
        <v>452</v>
      </c>
      <c r="E14" s="500"/>
      <c r="F14" s="569" t="s">
        <v>453</v>
      </c>
      <c r="G14" s="567"/>
    </row>
    <row r="15" spans="1:9" ht="45">
      <c r="B15" s="577" t="s">
        <v>429</v>
      </c>
      <c r="C15" s="577" t="s">
        <v>430</v>
      </c>
      <c r="D15" s="575" t="s">
        <v>428</v>
      </c>
      <c r="E15" s="575" t="s">
        <v>465</v>
      </c>
      <c r="F15" s="578" t="s">
        <v>431</v>
      </c>
      <c r="G15" s="578" t="s">
        <v>468</v>
      </c>
      <c r="H15" s="578" t="s">
        <v>467</v>
      </c>
      <c r="I15" s="69" t="s">
        <v>368</v>
      </c>
    </row>
    <row r="16" spans="1:9">
      <c r="A16" s="558" t="s">
        <v>396</v>
      </c>
      <c r="B16" s="570">
        <v>26513</v>
      </c>
      <c r="C16" s="506">
        <v>1515</v>
      </c>
      <c r="D16" s="573">
        <v>928.5</v>
      </c>
      <c r="E16" s="576">
        <v>16248.75</v>
      </c>
      <c r="F16" s="574">
        <f>SUM(F30:F35)</f>
        <v>10421.25</v>
      </c>
      <c r="G16" s="571">
        <v>595.5</v>
      </c>
      <c r="H16" s="579">
        <f>B16-(E16+F16)</f>
        <v>-157</v>
      </c>
      <c r="I16" t="s">
        <v>432</v>
      </c>
    </row>
    <row r="17" spans="1:20">
      <c r="A17" s="558" t="s">
        <v>397</v>
      </c>
      <c r="B17" s="570">
        <v>4550</v>
      </c>
      <c r="C17" s="506">
        <v>253</v>
      </c>
      <c r="D17" s="573">
        <v>111.25</v>
      </c>
      <c r="E17" s="576">
        <v>2002.5</v>
      </c>
      <c r="F17" s="574">
        <v>5186</v>
      </c>
      <c r="G17" s="572"/>
      <c r="H17" s="579">
        <f t="shared" ref="H17:H21" si="1">B17-(E17+F17)</f>
        <v>-2638.5</v>
      </c>
      <c r="I17" t="s">
        <v>424</v>
      </c>
    </row>
    <row r="18" spans="1:20">
      <c r="A18" s="558" t="s">
        <v>398</v>
      </c>
      <c r="B18" s="570">
        <v>4688</v>
      </c>
      <c r="C18" s="506">
        <v>313</v>
      </c>
      <c r="D18" s="573">
        <v>166.75</v>
      </c>
      <c r="E18" s="576">
        <v>2501.25</v>
      </c>
      <c r="F18" s="591">
        <v>2025</v>
      </c>
      <c r="G18" s="571">
        <v>135</v>
      </c>
      <c r="H18" s="579">
        <f t="shared" si="1"/>
        <v>161.75</v>
      </c>
      <c r="I18" t="s">
        <v>483</v>
      </c>
    </row>
    <row r="19" spans="1:20">
      <c r="A19" s="558" t="s">
        <v>399</v>
      </c>
      <c r="B19" s="570">
        <v>1632</v>
      </c>
      <c r="C19" s="506">
        <v>93</v>
      </c>
      <c r="D19" s="573">
        <v>52</v>
      </c>
      <c r="E19" s="576">
        <v>910</v>
      </c>
      <c r="F19" s="574">
        <v>1036.8800000000001</v>
      </c>
      <c r="G19" s="571">
        <v>59.25</v>
      </c>
      <c r="H19" s="579">
        <f t="shared" si="1"/>
        <v>-314.88000000000011</v>
      </c>
    </row>
    <row r="20" spans="1:20">
      <c r="A20" s="558" t="s">
        <v>400</v>
      </c>
      <c r="B20" s="570">
        <v>401</v>
      </c>
      <c r="C20" s="506">
        <v>23</v>
      </c>
      <c r="D20" s="573">
        <v>13.75</v>
      </c>
      <c r="E20" s="576">
        <v>240.625</v>
      </c>
      <c r="F20" s="574">
        <v>91.88</v>
      </c>
      <c r="G20" s="571">
        <v>5.25</v>
      </c>
      <c r="H20" s="579">
        <f t="shared" si="1"/>
        <v>68.495000000000005</v>
      </c>
    </row>
    <row r="21" spans="1:20">
      <c r="A21" s="558" t="s">
        <v>401</v>
      </c>
      <c r="B21" s="570">
        <v>3825</v>
      </c>
      <c r="C21" s="506">
        <v>219</v>
      </c>
      <c r="D21" s="573">
        <v>143</v>
      </c>
      <c r="E21" s="576">
        <v>2574</v>
      </c>
      <c r="F21" s="574">
        <v>576</v>
      </c>
      <c r="G21" s="571">
        <v>32</v>
      </c>
      <c r="H21" s="579">
        <f t="shared" si="1"/>
        <v>675</v>
      </c>
    </row>
    <row r="22" spans="1:20">
      <c r="F22" t="s">
        <v>463</v>
      </c>
      <c r="O22" t="s">
        <v>474</v>
      </c>
    </row>
    <row r="23" spans="1:20">
      <c r="F23" t="s">
        <v>464</v>
      </c>
      <c r="O23" t="s">
        <v>475</v>
      </c>
      <c r="P23" t="s">
        <v>476</v>
      </c>
    </row>
    <row r="26" spans="1:20">
      <c r="O26" t="s">
        <v>480</v>
      </c>
    </row>
    <row r="27" spans="1:20">
      <c r="N27" t="s">
        <v>495</v>
      </c>
      <c r="O27" t="s">
        <v>478</v>
      </c>
      <c r="P27" t="s">
        <v>479</v>
      </c>
    </row>
    <row r="28" spans="1:20">
      <c r="A28" s="7" t="s">
        <v>433</v>
      </c>
      <c r="N28" t="s">
        <v>496</v>
      </c>
      <c r="O28">
        <v>52.5</v>
      </c>
      <c r="P28">
        <v>17.5</v>
      </c>
    </row>
    <row r="29" spans="1:20">
      <c r="B29" t="s">
        <v>427</v>
      </c>
      <c r="C29" t="s">
        <v>292</v>
      </c>
      <c r="D29" t="s">
        <v>44</v>
      </c>
      <c r="E29" t="s">
        <v>293</v>
      </c>
      <c r="F29" t="s">
        <v>462</v>
      </c>
      <c r="O29" s="4" t="s">
        <v>484</v>
      </c>
    </row>
    <row r="30" spans="1:20">
      <c r="A30" t="s">
        <v>425</v>
      </c>
      <c r="B30" s="429">
        <v>42.25</v>
      </c>
      <c r="C30" s="429">
        <v>35.75</v>
      </c>
      <c r="D30" s="429">
        <v>48.75</v>
      </c>
      <c r="E30" s="429">
        <v>19.5</v>
      </c>
      <c r="F30" s="559">
        <f>SUM(B30:E30)*17.5</f>
        <v>2559.375</v>
      </c>
      <c r="P30" t="s">
        <v>51</v>
      </c>
      <c r="Q30" t="s">
        <v>292</v>
      </c>
      <c r="R30" t="s">
        <v>44</v>
      </c>
      <c r="S30" t="s">
        <v>293</v>
      </c>
      <c r="T30" t="s">
        <v>492</v>
      </c>
    </row>
    <row r="31" spans="1:20">
      <c r="A31" t="s">
        <v>426</v>
      </c>
      <c r="B31" s="429">
        <v>45.5</v>
      </c>
      <c r="C31" s="429">
        <v>39</v>
      </c>
      <c r="D31" s="429">
        <v>42.25</v>
      </c>
      <c r="E31" s="429">
        <v>26</v>
      </c>
      <c r="F31" s="559">
        <f t="shared" ref="F31:F35" si="2">SUM(B31:E31)*17.5</f>
        <v>2673.125</v>
      </c>
      <c r="O31" t="s">
        <v>485</v>
      </c>
      <c r="P31">
        <v>4.75</v>
      </c>
      <c r="Q31">
        <v>4.75</v>
      </c>
      <c r="R31">
        <v>4.75</v>
      </c>
      <c r="T31">
        <f>SUM(P31:S31)</f>
        <v>14.25</v>
      </c>
    </row>
    <row r="32" spans="1:20">
      <c r="A32" t="s">
        <v>439</v>
      </c>
      <c r="B32" s="429">
        <v>29.25</v>
      </c>
      <c r="C32" s="429">
        <v>22.75</v>
      </c>
      <c r="D32" s="429">
        <v>29.25</v>
      </c>
      <c r="E32" s="429">
        <v>13</v>
      </c>
      <c r="F32" s="559">
        <f t="shared" si="2"/>
        <v>1649.375</v>
      </c>
      <c r="O32" t="s">
        <v>486</v>
      </c>
      <c r="P32">
        <v>1.75</v>
      </c>
      <c r="Q32">
        <v>1.75</v>
      </c>
      <c r="R32">
        <v>1.75</v>
      </c>
      <c r="T32">
        <f t="shared" ref="T32:T34" si="3">SUM(P32:S32)</f>
        <v>5.25</v>
      </c>
    </row>
    <row r="33" spans="1:20">
      <c r="A33" t="s">
        <v>61</v>
      </c>
      <c r="B33" s="429">
        <v>13</v>
      </c>
      <c r="C33" s="429">
        <v>26</v>
      </c>
      <c r="D33" s="429">
        <v>20</v>
      </c>
      <c r="E33" s="429">
        <v>9.75</v>
      </c>
      <c r="F33" s="559">
        <f t="shared" si="2"/>
        <v>1203.125</v>
      </c>
      <c r="O33" t="s">
        <v>493</v>
      </c>
      <c r="P33">
        <v>63.5</v>
      </c>
      <c r="Q33">
        <v>52.25</v>
      </c>
      <c r="R33">
        <v>61</v>
      </c>
      <c r="T33">
        <f t="shared" si="3"/>
        <v>176.75</v>
      </c>
    </row>
    <row r="34" spans="1:20">
      <c r="A34" s="560" t="s">
        <v>434</v>
      </c>
      <c r="B34" s="560">
        <v>6.5</v>
      </c>
      <c r="C34" s="560">
        <v>26</v>
      </c>
      <c r="D34" s="560">
        <v>20</v>
      </c>
      <c r="E34" s="560"/>
      <c r="F34" s="559">
        <f t="shared" si="2"/>
        <v>918.75</v>
      </c>
      <c r="O34" t="s">
        <v>491</v>
      </c>
      <c r="P34">
        <v>21.25</v>
      </c>
      <c r="Q34">
        <v>17.5</v>
      </c>
      <c r="R34">
        <v>20.5</v>
      </c>
      <c r="T34">
        <f t="shared" si="3"/>
        <v>59.25</v>
      </c>
    </row>
    <row r="35" spans="1:20">
      <c r="A35" t="s">
        <v>466</v>
      </c>
      <c r="E35" s="429">
        <v>81</v>
      </c>
      <c r="F35" s="559">
        <f t="shared" si="2"/>
        <v>1417.5</v>
      </c>
    </row>
    <row r="38" spans="1:20">
      <c r="O38" t="s">
        <v>487</v>
      </c>
    </row>
    <row r="39" spans="1:20">
      <c r="O39" t="s">
        <v>488</v>
      </c>
    </row>
    <row r="40" spans="1:20">
      <c r="O40" t="s">
        <v>489</v>
      </c>
      <c r="R40" t="s">
        <v>494</v>
      </c>
    </row>
    <row r="41" spans="1:20">
      <c r="O41" t="s">
        <v>490</v>
      </c>
    </row>
  </sheetData>
  <pageMargins left="0.7" right="0.7" top="0.75" bottom="0.75" header="0.3" footer="0.3"/>
  <pageSetup scale="7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topLeftCell="A38" zoomScale="90" zoomScaleNormal="90" workbookViewId="0">
      <selection activeCell="F43" sqref="F43"/>
    </sheetView>
  </sheetViews>
  <sheetFormatPr defaultRowHeight="15"/>
  <cols>
    <col min="1" max="1" width="27" bestFit="1" customWidth="1"/>
    <col min="2" max="2" width="12.140625" bestFit="1" customWidth="1"/>
    <col min="4" max="5" width="12.140625" bestFit="1" customWidth="1"/>
    <col min="6" max="6" width="16" bestFit="1" customWidth="1"/>
    <col min="8" max="8" width="16.5703125" bestFit="1" customWidth="1"/>
  </cols>
  <sheetData>
    <row r="1" spans="1:9" ht="16.5" thickTop="1">
      <c r="A1" s="247" t="s">
        <v>70</v>
      </c>
      <c r="B1" s="246">
        <v>1</v>
      </c>
      <c r="C1" s="245">
        <v>1</v>
      </c>
      <c r="D1" s="143">
        <v>18</v>
      </c>
      <c r="E1" s="244"/>
      <c r="F1" s="153">
        <v>3.25</v>
      </c>
      <c r="G1" s="196">
        <v>42</v>
      </c>
      <c r="H1" s="151">
        <f>ROUND(B1*C1*D1*F1*G1,0)</f>
        <v>2457</v>
      </c>
      <c r="I1" t="s">
        <v>440</v>
      </c>
    </row>
    <row r="2" spans="1:9" ht="16.5" thickBot="1">
      <c r="A2" s="221" t="s">
        <v>9</v>
      </c>
      <c r="B2" s="243"/>
      <c r="C2" s="148"/>
      <c r="D2" s="145"/>
      <c r="E2" s="242"/>
      <c r="F2" s="147" t="s">
        <v>68</v>
      </c>
      <c r="G2" s="194" t="s">
        <v>67</v>
      </c>
      <c r="H2" s="189"/>
    </row>
    <row r="3" spans="1:9" ht="16.5" thickTop="1">
      <c r="A3" s="241" t="s">
        <v>70</v>
      </c>
      <c r="B3" s="240">
        <v>1</v>
      </c>
      <c r="C3" s="239">
        <v>1</v>
      </c>
      <c r="D3" s="143">
        <v>17.5</v>
      </c>
      <c r="E3" s="183"/>
      <c r="F3" s="153">
        <v>9.75</v>
      </c>
      <c r="G3" s="196">
        <v>42</v>
      </c>
      <c r="H3" s="151">
        <f>ROUND(B3*C3*D3*F3*G3,0)</f>
        <v>7166</v>
      </c>
      <c r="I3" t="s">
        <v>441</v>
      </c>
    </row>
    <row r="4" spans="1:9" ht="16.5" thickBot="1">
      <c r="A4" s="227" t="s">
        <v>92</v>
      </c>
      <c r="B4" s="148"/>
      <c r="C4" s="148"/>
      <c r="D4" s="145"/>
      <c r="E4" s="174"/>
      <c r="F4" s="147" t="s">
        <v>68</v>
      </c>
      <c r="G4" s="194" t="s">
        <v>67</v>
      </c>
      <c r="H4" s="189"/>
    </row>
    <row r="5" spans="1:9" ht="16.5" thickTop="1">
      <c r="A5" s="241" t="s">
        <v>70</v>
      </c>
      <c r="B5" s="240">
        <v>1</v>
      </c>
      <c r="C5" s="239">
        <v>1</v>
      </c>
      <c r="D5" s="143">
        <v>18</v>
      </c>
      <c r="E5" s="183"/>
      <c r="F5" s="153">
        <v>9.75</v>
      </c>
      <c r="G5" s="196">
        <v>42</v>
      </c>
      <c r="H5" s="151">
        <f>ROUND(B5*C5*D5*F5*G5,0)</f>
        <v>7371</v>
      </c>
      <c r="I5" t="s">
        <v>442</v>
      </c>
    </row>
    <row r="6" spans="1:9" ht="16.5" thickBot="1">
      <c r="A6" s="221" t="s">
        <v>9</v>
      </c>
      <c r="B6" s="148"/>
      <c r="C6" s="148"/>
      <c r="D6" s="145"/>
      <c r="E6" s="189"/>
      <c r="F6" s="147" t="s">
        <v>68</v>
      </c>
      <c r="G6" s="194" t="s">
        <v>67</v>
      </c>
      <c r="H6" s="189"/>
    </row>
    <row r="7" spans="1:9" ht="16.5" thickTop="1">
      <c r="A7" s="241" t="s">
        <v>70</v>
      </c>
      <c r="B7" s="240">
        <v>0</v>
      </c>
      <c r="C7" s="239">
        <v>0</v>
      </c>
      <c r="D7" s="143"/>
      <c r="E7" s="183"/>
      <c r="F7" s="153"/>
      <c r="G7" s="196"/>
      <c r="H7" s="151">
        <f>ROUND(B7*C7*D7*F7*G7,0)</f>
        <v>0</v>
      </c>
    </row>
    <row r="8" spans="1:9" ht="16.5" thickBot="1">
      <c r="A8" s="221"/>
      <c r="B8" s="148"/>
      <c r="C8" s="148"/>
      <c r="D8" s="145"/>
      <c r="E8" s="189"/>
      <c r="F8" s="147" t="s">
        <v>68</v>
      </c>
      <c r="G8" s="194" t="s">
        <v>67</v>
      </c>
      <c r="H8" s="189"/>
    </row>
    <row r="9" spans="1:9" ht="16.5" thickTop="1">
      <c r="A9" s="224" t="s">
        <v>70</v>
      </c>
      <c r="B9" s="156">
        <v>1</v>
      </c>
      <c r="C9" s="155">
        <v>1</v>
      </c>
      <c r="D9" s="238">
        <v>17.5</v>
      </c>
      <c r="E9" s="183"/>
      <c r="F9" s="153">
        <v>6.5</v>
      </c>
      <c r="G9" s="196">
        <v>42</v>
      </c>
      <c r="H9" s="151">
        <f>ROUND(B9*C9*D9*F9*G9,0)</f>
        <v>4778</v>
      </c>
      <c r="I9" t="s">
        <v>440</v>
      </c>
    </row>
    <row r="10" spans="1:9" ht="16.5" thickBot="1">
      <c r="A10" s="221" t="s">
        <v>10</v>
      </c>
      <c r="B10" s="148"/>
      <c r="C10" s="148"/>
      <c r="D10" s="189"/>
      <c r="E10" s="189"/>
      <c r="F10" s="147" t="s">
        <v>68</v>
      </c>
      <c r="G10" s="194" t="s">
        <v>67</v>
      </c>
      <c r="H10" s="189"/>
    </row>
    <row r="11" spans="1:9" ht="16.5" thickTop="1">
      <c r="A11" s="224" t="s">
        <v>70</v>
      </c>
      <c r="B11" s="156">
        <v>1</v>
      </c>
      <c r="C11" s="155">
        <v>1</v>
      </c>
      <c r="D11" s="143">
        <v>17.5</v>
      </c>
      <c r="E11" s="183"/>
      <c r="F11" s="153">
        <v>3.25</v>
      </c>
      <c r="G11" s="196">
        <v>40</v>
      </c>
      <c r="H11" s="151">
        <f>ROUND(B11*C11*D11*F11*G11,0)</f>
        <v>2275</v>
      </c>
      <c r="I11" t="s">
        <v>443</v>
      </c>
    </row>
    <row r="12" spans="1:9" ht="16.5" thickBot="1">
      <c r="A12" s="221" t="s">
        <v>140</v>
      </c>
      <c r="B12" s="148"/>
      <c r="C12" s="148"/>
      <c r="D12" s="145"/>
      <c r="E12" s="189"/>
      <c r="F12" s="147" t="s">
        <v>68</v>
      </c>
      <c r="G12" s="194" t="s">
        <v>67</v>
      </c>
      <c r="H12" s="189"/>
    </row>
    <row r="13" spans="1:9" ht="16.5" thickTop="1">
      <c r="A13" s="224" t="s">
        <v>70</v>
      </c>
      <c r="B13" s="156">
        <v>1</v>
      </c>
      <c r="C13" s="155">
        <v>1</v>
      </c>
      <c r="D13" s="232">
        <v>18</v>
      </c>
      <c r="E13" s="183"/>
      <c r="F13" s="153">
        <v>3.25</v>
      </c>
      <c r="G13" s="237">
        <v>42</v>
      </c>
      <c r="H13" s="151">
        <f>ROUND(B13*C13*D13*F13*G13,0)</f>
        <v>2457</v>
      </c>
      <c r="I13" t="s">
        <v>444</v>
      </c>
    </row>
    <row r="14" spans="1:9" ht="16.5" thickBot="1">
      <c r="A14" s="221" t="s">
        <v>9</v>
      </c>
      <c r="B14" s="148"/>
      <c r="C14" s="148"/>
      <c r="D14" s="189"/>
      <c r="E14" s="189"/>
      <c r="F14" s="147" t="s">
        <v>68</v>
      </c>
      <c r="G14" s="194" t="s">
        <v>67</v>
      </c>
      <c r="H14" s="189"/>
    </row>
    <row r="15" spans="1:9" ht="16.5" thickTop="1">
      <c r="A15" s="547" t="s">
        <v>70</v>
      </c>
      <c r="B15" s="529">
        <v>1</v>
      </c>
      <c r="C15" s="530">
        <v>1</v>
      </c>
      <c r="D15" s="232">
        <v>17.5</v>
      </c>
      <c r="E15" s="548"/>
      <c r="F15" s="532">
        <v>6.5</v>
      </c>
      <c r="G15" s="237">
        <v>15</v>
      </c>
      <c r="H15" s="533">
        <f>ROUND(B15*C15*D15*F15*G15,0)</f>
        <v>1706</v>
      </c>
      <c r="I15" t="s">
        <v>445</v>
      </c>
    </row>
    <row r="16" spans="1:9" ht="16.5" thickBot="1">
      <c r="A16" s="549"/>
      <c r="B16" s="535"/>
      <c r="C16" s="535"/>
      <c r="D16" s="536"/>
      <c r="E16" s="536"/>
      <c r="F16" s="537" t="s">
        <v>68</v>
      </c>
      <c r="G16" s="538" t="s">
        <v>67</v>
      </c>
      <c r="H16" s="536"/>
    </row>
    <row r="17" spans="1:9" ht="16.5" thickTop="1">
      <c r="A17" s="547" t="s">
        <v>70</v>
      </c>
      <c r="B17" s="529">
        <v>1</v>
      </c>
      <c r="C17" s="530">
        <v>1</v>
      </c>
      <c r="D17" s="232">
        <v>17.5</v>
      </c>
      <c r="E17" s="548"/>
      <c r="F17" s="532">
        <v>6.5</v>
      </c>
      <c r="G17" s="237">
        <v>15</v>
      </c>
      <c r="H17" s="533">
        <f>ROUND(B17*C17*D17*F17*G17,0)</f>
        <v>1706</v>
      </c>
      <c r="I17" t="s">
        <v>446</v>
      </c>
    </row>
    <row r="18" spans="1:9" ht="16.5" thickBot="1">
      <c r="A18" s="549"/>
      <c r="B18" s="535"/>
      <c r="C18" s="535"/>
      <c r="D18" s="536"/>
      <c r="E18" s="536"/>
      <c r="F18" s="537" t="s">
        <v>68</v>
      </c>
      <c r="G18" s="538" t="s">
        <v>67</v>
      </c>
      <c r="H18" s="536"/>
    </row>
    <row r="19" spans="1:9" ht="16.5" thickTop="1">
      <c r="A19" s="224" t="s">
        <v>70</v>
      </c>
      <c r="B19" s="156">
        <v>1</v>
      </c>
      <c r="C19" s="155">
        <v>1</v>
      </c>
      <c r="D19" s="238">
        <v>17.5</v>
      </c>
      <c r="E19" s="183"/>
      <c r="F19" s="153">
        <v>6.5</v>
      </c>
      <c r="G19" s="237">
        <v>20</v>
      </c>
      <c r="H19" s="151">
        <f>ROUND(B19*C19*D19*F19*G19,0)</f>
        <v>2275</v>
      </c>
      <c r="I19" t="s">
        <v>447</v>
      </c>
    </row>
    <row r="20" spans="1:9" ht="16.5" thickBot="1">
      <c r="A20" s="221" t="s">
        <v>384</v>
      </c>
      <c r="B20" s="148"/>
      <c r="C20" s="148"/>
      <c r="D20" s="189"/>
      <c r="E20" s="189"/>
      <c r="F20" s="147" t="s">
        <v>68</v>
      </c>
      <c r="G20" s="194" t="s">
        <v>67</v>
      </c>
      <c r="H20" s="189"/>
    </row>
    <row r="21" spans="1:9" ht="16.5" thickTop="1">
      <c r="A21" s="192" t="s">
        <v>70</v>
      </c>
      <c r="B21" s="156">
        <v>1</v>
      </c>
      <c r="C21" s="155">
        <v>1</v>
      </c>
      <c r="D21" s="143">
        <v>19</v>
      </c>
      <c r="E21" s="183"/>
      <c r="F21" s="153">
        <v>9.75</v>
      </c>
      <c r="G21" s="196">
        <v>42</v>
      </c>
      <c r="H21" s="151">
        <f>ROUND(B21*C21*D21*F21*G21,0)</f>
        <v>7781</v>
      </c>
      <c r="I21" t="s">
        <v>448</v>
      </c>
    </row>
    <row r="22" spans="1:9" ht="16.5" thickBot="1">
      <c r="A22" s="149" t="s">
        <v>53</v>
      </c>
      <c r="B22" s="201"/>
      <c r="C22" s="201"/>
      <c r="D22" s="200"/>
      <c r="E22" s="189"/>
      <c r="F22" s="199" t="s">
        <v>68</v>
      </c>
      <c r="G22" s="198" t="s">
        <v>67</v>
      </c>
      <c r="H22" s="189"/>
    </row>
    <row r="23" spans="1:9" ht="16.5" thickTop="1">
      <c r="A23" s="192" t="s">
        <v>70</v>
      </c>
      <c r="B23" s="156">
        <v>1</v>
      </c>
      <c r="C23" s="155">
        <v>1</v>
      </c>
      <c r="D23" s="143">
        <v>18</v>
      </c>
      <c r="E23" s="183"/>
      <c r="F23" s="153">
        <v>9.75</v>
      </c>
      <c r="G23" s="196">
        <v>42</v>
      </c>
      <c r="H23" s="151">
        <f>ROUND(B23*C23*D23*F23*G23,0)</f>
        <v>7371</v>
      </c>
      <c r="I23" t="s">
        <v>449</v>
      </c>
    </row>
    <row r="24" spans="1:9" ht="16.5" thickBot="1">
      <c r="A24" s="190" t="s">
        <v>12</v>
      </c>
      <c r="B24" s="148"/>
      <c r="C24" s="148"/>
      <c r="D24" s="145"/>
      <c r="E24" s="189"/>
      <c r="F24" s="147" t="s">
        <v>68</v>
      </c>
      <c r="G24" s="194" t="s">
        <v>67</v>
      </c>
      <c r="H24" s="189"/>
    </row>
    <row r="25" spans="1:9" ht="16.5" thickTop="1">
      <c r="A25" s="192" t="s">
        <v>70</v>
      </c>
      <c r="B25" s="156">
        <v>1</v>
      </c>
      <c r="C25" s="155">
        <v>1</v>
      </c>
      <c r="D25" s="143">
        <v>17.5</v>
      </c>
      <c r="E25" s="154"/>
      <c r="F25" s="153">
        <v>9.75</v>
      </c>
      <c r="G25" s="196">
        <v>42</v>
      </c>
      <c r="H25" s="151">
        <f>ROUND(B25*C25*D25*F25*G25,0)</f>
        <v>7166</v>
      </c>
      <c r="I25" t="s">
        <v>450</v>
      </c>
    </row>
    <row r="26" spans="1:9" ht="16.5" thickBot="1">
      <c r="A26" s="190" t="s">
        <v>52</v>
      </c>
      <c r="B26" s="148"/>
      <c r="C26" s="148"/>
      <c r="D26" s="145"/>
      <c r="E26" s="189"/>
      <c r="F26" s="147" t="s">
        <v>68</v>
      </c>
      <c r="G26" s="194" t="s">
        <v>67</v>
      </c>
      <c r="H26" s="189"/>
    </row>
    <row r="27" spans="1:9" ht="16.5" thickTop="1">
      <c r="A27" s="192" t="s">
        <v>70</v>
      </c>
      <c r="B27" s="156">
        <v>1</v>
      </c>
      <c r="C27" s="155">
        <v>1</v>
      </c>
      <c r="D27" s="143">
        <v>17.5</v>
      </c>
      <c r="E27" s="183"/>
      <c r="F27" s="153">
        <v>6.5</v>
      </c>
      <c r="G27" s="196">
        <v>38</v>
      </c>
      <c r="H27" s="151">
        <f>ROUND(B27*C27*D27*F27*G27,0)</f>
        <v>4323</v>
      </c>
      <c r="I27" t="s">
        <v>451</v>
      </c>
    </row>
    <row r="28" spans="1:9" ht="16.5" thickBot="1">
      <c r="A28" s="190" t="s">
        <v>140</v>
      </c>
      <c r="B28" s="163"/>
      <c r="C28" s="163"/>
      <c r="D28" s="162"/>
      <c r="E28" s="159"/>
      <c r="F28" s="147" t="s">
        <v>68</v>
      </c>
      <c r="G28" s="194" t="s">
        <v>67</v>
      </c>
      <c r="H28" s="159"/>
    </row>
    <row r="29" spans="1:9" ht="16.5" thickTop="1">
      <c r="A29" s="157" t="s">
        <v>70</v>
      </c>
      <c r="B29" s="156">
        <v>1</v>
      </c>
      <c r="C29" s="155">
        <v>1</v>
      </c>
      <c r="D29" s="143">
        <v>21.65</v>
      </c>
      <c r="E29" s="154"/>
      <c r="F29" s="153">
        <v>22.5</v>
      </c>
      <c r="G29" s="152">
        <v>46</v>
      </c>
      <c r="H29" s="151">
        <f>ROUND(B29*C29*D29*F29*G29,0)</f>
        <v>22408</v>
      </c>
      <c r="I29" t="s">
        <v>71</v>
      </c>
    </row>
    <row r="30" spans="1:9" ht="16.5" thickBot="1">
      <c r="A30" s="149" t="s">
        <v>16</v>
      </c>
      <c r="B30" s="148"/>
      <c r="C30" s="148"/>
      <c r="D30" s="145"/>
      <c r="E30" s="145"/>
      <c r="F30" s="147" t="s">
        <v>68</v>
      </c>
      <c r="G30" s="146" t="s">
        <v>67</v>
      </c>
      <c r="H30" s="145"/>
    </row>
    <row r="31" spans="1:9" ht="16.5" thickTop="1">
      <c r="A31" s="528" t="s">
        <v>70</v>
      </c>
      <c r="B31" s="529">
        <v>1</v>
      </c>
      <c r="C31" s="530">
        <v>1</v>
      </c>
      <c r="D31" s="232">
        <v>21.65</v>
      </c>
      <c r="E31" s="531"/>
      <c r="F31" s="532">
        <v>10</v>
      </c>
      <c r="G31" s="237">
        <v>15</v>
      </c>
      <c r="H31" s="533">
        <f>ROUND(B31*C31*D31*F31*G31,0)</f>
        <v>3248</v>
      </c>
      <c r="I31" t="s">
        <v>461</v>
      </c>
    </row>
    <row r="32" spans="1:9" ht="16.5" thickBot="1">
      <c r="A32" s="534"/>
      <c r="B32" s="535"/>
      <c r="C32" s="535"/>
      <c r="D32" s="536"/>
      <c r="E32" s="536"/>
      <c r="F32" s="537" t="s">
        <v>68</v>
      </c>
      <c r="G32" s="538" t="s">
        <v>67</v>
      </c>
      <c r="H32" s="536"/>
    </row>
    <row r="33" spans="1:13" ht="16.5" thickTop="1">
      <c r="A33" s="582"/>
      <c r="B33" s="583"/>
      <c r="C33" s="583"/>
      <c r="D33" s="584"/>
      <c r="E33" s="584"/>
      <c r="F33" s="585"/>
      <c r="G33" s="586"/>
      <c r="H33" s="584"/>
    </row>
    <row r="34" spans="1:13" ht="15.75">
      <c r="A34" s="582"/>
      <c r="B34" s="583"/>
      <c r="C34" s="583"/>
      <c r="D34" s="584"/>
      <c r="E34" s="584"/>
      <c r="F34" s="585"/>
      <c r="G34" s="586"/>
      <c r="H34" s="584"/>
    </row>
    <row r="35" spans="1:13" ht="30" customHeight="1">
      <c r="A35" s="582"/>
      <c r="B35" s="583"/>
      <c r="C35" s="583"/>
      <c r="D35" s="584"/>
      <c r="E35" s="584"/>
      <c r="F35" s="585"/>
      <c r="G35" s="586"/>
      <c r="H35" s="584"/>
    </row>
    <row r="36" spans="1:13">
      <c r="B36" s="581" t="s">
        <v>472</v>
      </c>
      <c r="C36" s="42"/>
      <c r="D36" s="568" t="s">
        <v>473</v>
      </c>
      <c r="E36" s="500"/>
      <c r="F36" s="569" t="s">
        <v>453</v>
      </c>
      <c r="G36" s="567"/>
      <c r="H36" s="567"/>
    </row>
    <row r="37" spans="1:13" ht="60">
      <c r="B37" s="504" t="s">
        <v>429</v>
      </c>
      <c r="C37" s="504" t="s">
        <v>430</v>
      </c>
      <c r="D37" s="565" t="s">
        <v>428</v>
      </c>
      <c r="E37" s="565" t="s">
        <v>469</v>
      </c>
      <c r="F37" s="566" t="s">
        <v>431</v>
      </c>
      <c r="G37" s="566" t="s">
        <v>470</v>
      </c>
      <c r="H37" s="566" t="s">
        <v>471</v>
      </c>
      <c r="I37" s="69" t="s">
        <v>368</v>
      </c>
      <c r="M37" s="69"/>
    </row>
    <row r="38" spans="1:13">
      <c r="A38" t="s">
        <v>403</v>
      </c>
      <c r="B38" s="587">
        <v>59036</v>
      </c>
      <c r="C38" s="506">
        <v>3373.5</v>
      </c>
      <c r="D38" s="588">
        <v>2048</v>
      </c>
      <c r="E38" s="576">
        <v>35840</v>
      </c>
      <c r="F38" s="589">
        <f>SUM(F50:F62)</f>
        <v>23423.525000000001</v>
      </c>
      <c r="G38" s="571" t="s">
        <v>274</v>
      </c>
      <c r="H38" s="579">
        <f>SUM(B38)-(E38+F38)</f>
        <v>-227.52500000000146</v>
      </c>
      <c r="I38" t="s">
        <v>460</v>
      </c>
      <c r="M38" s="562"/>
    </row>
    <row r="39" spans="1:13">
      <c r="A39" t="s">
        <v>404</v>
      </c>
      <c r="B39" s="587">
        <v>1750</v>
      </c>
      <c r="C39" s="506">
        <v>115</v>
      </c>
      <c r="D39" s="508" t="s">
        <v>481</v>
      </c>
      <c r="E39" s="576"/>
      <c r="F39" s="589"/>
      <c r="G39" s="571" t="s">
        <v>482</v>
      </c>
      <c r="H39" s="579">
        <f t="shared" ref="H39:H43" si="0">SUM(B39)-(E39+F39)</f>
        <v>1750</v>
      </c>
    </row>
    <row r="40" spans="1:13">
      <c r="A40" t="s">
        <v>405</v>
      </c>
      <c r="B40" s="587">
        <v>14063</v>
      </c>
      <c r="C40" s="506">
        <v>937.5</v>
      </c>
      <c r="D40" s="508">
        <v>480.25</v>
      </c>
      <c r="E40" s="576">
        <v>7203.75</v>
      </c>
      <c r="F40" s="589">
        <v>6075</v>
      </c>
      <c r="G40" s="571">
        <v>405</v>
      </c>
      <c r="H40" s="579">
        <f t="shared" si="0"/>
        <v>784.25</v>
      </c>
      <c r="I40" t="s">
        <v>477</v>
      </c>
    </row>
    <row r="41" spans="1:13">
      <c r="A41" t="s">
        <v>406</v>
      </c>
      <c r="B41" s="587">
        <v>4896</v>
      </c>
      <c r="C41" s="506">
        <v>280</v>
      </c>
      <c r="D41" s="508">
        <v>146.75</v>
      </c>
      <c r="E41" s="576">
        <v>2568.125</v>
      </c>
      <c r="F41" s="589">
        <v>3084.38</v>
      </c>
      <c r="G41" s="571">
        <v>176.25</v>
      </c>
      <c r="H41" s="579">
        <f t="shared" si="0"/>
        <v>-756.50500000000011</v>
      </c>
    </row>
    <row r="42" spans="1:13">
      <c r="A42" t="s">
        <v>407</v>
      </c>
      <c r="B42" s="587">
        <v>1204</v>
      </c>
      <c r="C42" s="506">
        <v>69</v>
      </c>
      <c r="D42" s="508">
        <v>46.25</v>
      </c>
      <c r="E42" s="576">
        <v>809.375</v>
      </c>
      <c r="F42" s="589">
        <v>249.38</v>
      </c>
      <c r="G42" s="571">
        <v>14.25</v>
      </c>
      <c r="H42" s="579">
        <f t="shared" si="0"/>
        <v>145.24499999999989</v>
      </c>
    </row>
    <row r="43" spans="1:13">
      <c r="A43" t="s">
        <v>408</v>
      </c>
      <c r="B43" s="587">
        <v>11475</v>
      </c>
      <c r="C43" s="506">
        <v>637.5</v>
      </c>
      <c r="D43" s="508">
        <v>422.5</v>
      </c>
      <c r="E43" s="576">
        <v>7605</v>
      </c>
      <c r="F43" s="589">
        <v>1728</v>
      </c>
      <c r="G43" s="571">
        <v>96</v>
      </c>
      <c r="H43" s="579">
        <f t="shared" si="0"/>
        <v>2142</v>
      </c>
    </row>
    <row r="48" spans="1:13">
      <c r="A48" s="7" t="s">
        <v>433</v>
      </c>
    </row>
    <row r="49" spans="1:6">
      <c r="B49" s="4" t="s">
        <v>427</v>
      </c>
      <c r="C49" s="4" t="s">
        <v>292</v>
      </c>
      <c r="D49" s="4" t="s">
        <v>44</v>
      </c>
      <c r="E49" s="4" t="s">
        <v>293</v>
      </c>
      <c r="F49" s="4" t="s">
        <v>462</v>
      </c>
    </row>
    <row r="50" spans="1:6">
      <c r="A50" s="13" t="s">
        <v>455</v>
      </c>
      <c r="B50" s="13">
        <v>45.5</v>
      </c>
      <c r="C50" s="13">
        <v>39</v>
      </c>
      <c r="D50" s="13">
        <v>42.3</v>
      </c>
      <c r="E50" s="13">
        <v>26</v>
      </c>
      <c r="F50" s="559">
        <f>SUM(B50:E50)*17.5</f>
        <v>2674</v>
      </c>
    </row>
    <row r="51" spans="1:6">
      <c r="A51" s="13" t="s">
        <v>454</v>
      </c>
      <c r="B51" s="13">
        <v>42.25</v>
      </c>
      <c r="C51" s="13">
        <v>35.75</v>
      </c>
      <c r="D51" s="13">
        <v>48.75</v>
      </c>
      <c r="E51" s="13">
        <v>16.3</v>
      </c>
      <c r="F51" s="559">
        <f>SUM(B51:E51)*17.5</f>
        <v>2503.375</v>
      </c>
    </row>
    <row r="52" spans="1:6">
      <c r="A52" s="13" t="s">
        <v>442</v>
      </c>
      <c r="B52" s="13">
        <v>42.25</v>
      </c>
      <c r="C52" s="13">
        <v>35.75</v>
      </c>
      <c r="D52" s="13">
        <v>48.8</v>
      </c>
      <c r="E52" s="13">
        <v>16.25</v>
      </c>
      <c r="F52" s="559">
        <f>SUM(B52:E52)*18</f>
        <v>2574.9</v>
      </c>
    </row>
    <row r="53" spans="1:6">
      <c r="A53" s="13" t="s">
        <v>455</v>
      </c>
      <c r="B53" s="13">
        <v>13</v>
      </c>
      <c r="C53" s="13">
        <v>26</v>
      </c>
      <c r="D53" s="13">
        <v>20</v>
      </c>
      <c r="E53" s="13">
        <v>9.75</v>
      </c>
      <c r="F53" s="559">
        <f>SUM(B53:E53)*17.5</f>
        <v>1203.125</v>
      </c>
    </row>
    <row r="54" spans="1:6">
      <c r="A54" s="13" t="s">
        <v>456</v>
      </c>
      <c r="B54" s="13">
        <v>29.25</v>
      </c>
      <c r="C54" s="13">
        <v>22.75</v>
      </c>
      <c r="D54" s="13">
        <v>29.25</v>
      </c>
      <c r="E54" s="13">
        <v>6.5</v>
      </c>
      <c r="F54" s="559">
        <f>SUM(B54:E54)*17.5</f>
        <v>1535.625</v>
      </c>
    </row>
    <row r="55" spans="1:6">
      <c r="A55" s="13" t="s">
        <v>451</v>
      </c>
      <c r="B55" s="13">
        <v>29.25</v>
      </c>
      <c r="C55" s="13">
        <v>26</v>
      </c>
      <c r="D55" s="13">
        <v>29.25</v>
      </c>
      <c r="E55" s="13">
        <v>6.5</v>
      </c>
      <c r="F55" s="559">
        <f t="shared" ref="F55:F62" si="1">SUM(B55:E55)*17.5</f>
        <v>1592.5</v>
      </c>
    </row>
    <row r="56" spans="1:6">
      <c r="A56" s="13" t="s">
        <v>444</v>
      </c>
      <c r="B56" s="13">
        <v>13</v>
      </c>
      <c r="C56" s="13">
        <v>19.5</v>
      </c>
      <c r="D56" s="13">
        <v>6.5</v>
      </c>
      <c r="E56" s="13">
        <v>0</v>
      </c>
      <c r="F56" s="559">
        <f t="shared" si="1"/>
        <v>682.5</v>
      </c>
    </row>
    <row r="57" spans="1:6">
      <c r="A57" s="13" t="s">
        <v>62</v>
      </c>
      <c r="B57" s="13">
        <v>22.75</v>
      </c>
      <c r="C57" s="13">
        <v>26</v>
      </c>
      <c r="D57" s="13">
        <v>29.25</v>
      </c>
      <c r="E57" s="13">
        <v>0</v>
      </c>
      <c r="F57" s="559">
        <f t="shared" si="1"/>
        <v>1365</v>
      </c>
    </row>
    <row r="58" spans="1:6">
      <c r="A58" s="13" t="s">
        <v>457</v>
      </c>
      <c r="B58" s="13">
        <v>39</v>
      </c>
      <c r="C58" s="13">
        <v>35.75</v>
      </c>
      <c r="D58" s="13">
        <v>45</v>
      </c>
      <c r="E58" s="13">
        <v>19.5</v>
      </c>
      <c r="F58" s="559">
        <f t="shared" si="1"/>
        <v>2436.875</v>
      </c>
    </row>
    <row r="59" spans="1:6">
      <c r="A59" s="13" t="s">
        <v>82</v>
      </c>
      <c r="B59" s="13">
        <v>45.5</v>
      </c>
      <c r="C59" s="13">
        <v>39</v>
      </c>
      <c r="D59" s="13">
        <v>42.25</v>
      </c>
      <c r="E59" s="13">
        <v>26</v>
      </c>
      <c r="F59" s="559">
        <f t="shared" si="1"/>
        <v>2673.125</v>
      </c>
    </row>
    <row r="60" spans="1:6">
      <c r="A60" s="560" t="s">
        <v>458</v>
      </c>
      <c r="B60" s="560">
        <v>6.5</v>
      </c>
      <c r="C60" s="560">
        <v>26</v>
      </c>
      <c r="D60" s="560">
        <v>26</v>
      </c>
      <c r="E60" s="560">
        <v>0</v>
      </c>
      <c r="F60" s="580">
        <f t="shared" si="1"/>
        <v>1023.75</v>
      </c>
    </row>
    <row r="61" spans="1:6">
      <c r="A61" s="560" t="s">
        <v>459</v>
      </c>
      <c r="B61" s="560">
        <v>6.5</v>
      </c>
      <c r="C61" s="560">
        <v>26</v>
      </c>
      <c r="D61" s="560">
        <v>26</v>
      </c>
      <c r="E61" s="560">
        <v>0</v>
      </c>
      <c r="F61" s="580">
        <f t="shared" si="1"/>
        <v>1023.75</v>
      </c>
    </row>
    <row r="62" spans="1:6">
      <c r="A62" s="13" t="s">
        <v>466</v>
      </c>
      <c r="E62">
        <v>122</v>
      </c>
      <c r="F62" s="590">
        <f t="shared" si="1"/>
        <v>2135</v>
      </c>
    </row>
  </sheetData>
  <pageMargins left="0.7" right="0.7" top="0.75" bottom="0.75" header="0.3" footer="0.3"/>
  <pageSetup scale="88"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workbookViewId="0">
      <selection sqref="A1:P1"/>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5" customWidth="1"/>
    <col min="28" max="28" width="19.42578125" bestFit="1" customWidth="1"/>
    <col min="30" max="30" width="10.42578125" bestFit="1" customWidth="1"/>
  </cols>
  <sheetData>
    <row r="1" spans="1:30"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30">
      <c r="A2" s="599" t="s">
        <v>20</v>
      </c>
      <c r="B2" s="599"/>
      <c r="C2" s="599"/>
      <c r="D2" s="599"/>
      <c r="E2" s="599"/>
      <c r="F2" s="599"/>
      <c r="G2" s="599"/>
      <c r="R2" s="600" t="s">
        <v>21</v>
      </c>
      <c r="S2" s="600"/>
      <c r="T2" s="600"/>
      <c r="U2" s="600"/>
      <c r="V2" s="600"/>
      <c r="W2" s="600"/>
      <c r="X2" s="600"/>
    </row>
    <row r="3" spans="1:30">
      <c r="A3" s="601" t="s">
        <v>22</v>
      </c>
      <c r="B3" s="601"/>
      <c r="C3" s="601"/>
      <c r="D3" s="11"/>
      <c r="E3" s="601" t="s">
        <v>23</v>
      </c>
      <c r="F3" s="601"/>
      <c r="G3" s="601"/>
      <c r="H3" s="12"/>
      <c r="I3" s="602" t="s">
        <v>24</v>
      </c>
      <c r="J3" s="602"/>
      <c r="K3" s="602"/>
      <c r="L3" s="602"/>
      <c r="M3" s="13"/>
      <c r="N3" s="13"/>
      <c r="O3" s="13"/>
      <c r="P3" s="13"/>
      <c r="Q3" s="13"/>
    </row>
    <row r="4" spans="1:30">
      <c r="A4" s="603">
        <v>2015</v>
      </c>
      <c r="B4" s="603"/>
      <c r="C4" s="603"/>
      <c r="D4" s="11"/>
      <c r="E4" s="603">
        <v>7</v>
      </c>
      <c r="F4" s="603"/>
      <c r="G4" s="603"/>
      <c r="H4" s="12"/>
      <c r="I4" s="603">
        <v>1</v>
      </c>
      <c r="J4" s="603"/>
      <c r="K4" s="603"/>
      <c r="L4" s="603"/>
      <c r="M4" s="14" t="s">
        <v>25</v>
      </c>
      <c r="N4" s="13"/>
      <c r="O4" s="13"/>
      <c r="P4" s="13"/>
      <c r="Q4" s="13"/>
    </row>
    <row r="5" spans="1:30" ht="23.25">
      <c r="A5" s="37" t="s">
        <v>26</v>
      </c>
      <c r="B5" s="38"/>
      <c r="C5" s="39"/>
      <c r="D5" s="40"/>
      <c r="E5" s="41"/>
      <c r="F5" s="41"/>
      <c r="G5" s="42"/>
      <c r="H5" s="35"/>
      <c r="I5" s="35"/>
      <c r="J5" s="43"/>
      <c r="K5" s="35"/>
      <c r="L5" s="15"/>
      <c r="M5" s="15"/>
      <c r="N5" s="15"/>
      <c r="O5" s="15"/>
      <c r="P5" s="15"/>
      <c r="Q5" s="15"/>
      <c r="R5" s="15"/>
      <c r="S5" s="15"/>
      <c r="T5" s="15"/>
      <c r="U5" s="34" t="s">
        <v>58</v>
      </c>
      <c r="V5" s="35"/>
      <c r="W5" s="35"/>
      <c r="X5" s="35"/>
      <c r="Y5" s="36"/>
      <c r="Z5" s="36"/>
      <c r="AA5" s="36"/>
    </row>
    <row r="6" spans="1:30" ht="6" customHeight="1">
      <c r="A6" s="58"/>
      <c r="B6" s="58"/>
      <c r="C6" s="58"/>
      <c r="D6" s="58"/>
      <c r="E6" s="58"/>
      <c r="F6" s="58"/>
      <c r="G6" s="58"/>
      <c r="P6" s="58"/>
    </row>
    <row r="7" spans="1:30">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c r="AB7" t="s">
        <v>119</v>
      </c>
    </row>
    <row r="8" spans="1:30">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c r="AB8" t="s">
        <v>123</v>
      </c>
      <c r="AC8" t="s">
        <v>117</v>
      </c>
      <c r="AD8" t="s">
        <v>130</v>
      </c>
    </row>
    <row r="9" spans="1:30">
      <c r="A9" s="82" t="str">
        <f t="shared" ref="A9:G14" si="0">IF(MONTH($A$7)&lt;&gt;MONTH($A$7-(WEEKDAY($A$7,1)-($I$4-1))-IF((WEEKDAY($A$7,1)-($I$4-1))&lt;=0,7,0)+(ROW(A9)-ROW($A$9))*7+(COLUMN(A9)-COLUMN($A$9)+1)),"",$A$7-(WEEKDAY($A$7,1)-($I$4-1))-IF((WEEKDAY($A$7,1)-($I$4-1))&lt;=0,7,0)+(ROW(A9)-ROW($A$9))*7+(COLUMN(A9)-COLUMN($A$9)+1))</f>
        <v/>
      </c>
      <c r="B9" s="82" t="str">
        <f t="shared" si="0"/>
        <v/>
      </c>
      <c r="C9" s="90" t="str">
        <f t="shared" si="0"/>
        <v/>
      </c>
      <c r="D9" s="90">
        <f t="shared" si="0"/>
        <v>42186</v>
      </c>
      <c r="E9" s="90">
        <f t="shared" si="0"/>
        <v>42187</v>
      </c>
      <c r="F9" s="90">
        <f t="shared" si="0"/>
        <v>42188</v>
      </c>
      <c r="G9" s="90">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82" t="str">
        <f t="shared" si="1"/>
        <v/>
      </c>
      <c r="S9" s="82" t="str">
        <f t="shared" si="1"/>
        <v/>
      </c>
      <c r="T9" s="374" t="str">
        <f t="shared" si="1"/>
        <v/>
      </c>
      <c r="U9" s="93" t="str">
        <f t="shared" si="1"/>
        <v/>
      </c>
      <c r="V9" s="93">
        <f t="shared" si="1"/>
        <v>42370</v>
      </c>
      <c r="W9" s="93">
        <f t="shared" si="1"/>
        <v>42371</v>
      </c>
      <c r="X9" s="57"/>
      <c r="Y9" s="54"/>
      <c r="Z9" s="99"/>
      <c r="AA9" s="99"/>
      <c r="AB9" t="s">
        <v>129</v>
      </c>
      <c r="AC9">
        <f>COUNT(C10:E10,C11:E11,C13,E13,C19:E19,C22:E22,D27:E27,C28:E28,C29:E29,C30:E30,C31:D31,C37:E37,C38:E38,C39:E40,C45:E47,C48:D48,C54:E55,C56:D56,S10:U13,S18:U21,S27:U29,S30:T31,U31,S37:U39,S40:T40,S45:U48,S49,T54:U54,S55:T55, U30, E56)</f>
        <v>126</v>
      </c>
      <c r="AD9">
        <v>126</v>
      </c>
    </row>
    <row r="10" spans="1:30">
      <c r="A10" s="320">
        <f t="shared" si="0"/>
        <v>42190</v>
      </c>
      <c r="B10" s="320">
        <f t="shared" si="0"/>
        <v>42191</v>
      </c>
      <c r="C10" s="320">
        <f>IF(MONTH($A$7)&lt;&gt;MONTH($A$7-(WEEKDAY($A$7,1)-($I$4-1))-IF((WEEKDAY($A$7,1)-($I$4-1))&lt;=0,7,0)+(ROW(C10)-ROW($A$9))*7+(COLUMN(C10)-COLUMN($A$9)+1)),"",$A$7-(WEEKDAY($A$7,1)-($I$4-1))-IF((WEEKDAY($A$7,1)-($I$4-1))&lt;=0,7,0)+(ROW(C10)-ROW($A$9))*7+(COLUMN(C10)-COLUMN($A$9)+1))</f>
        <v>42192</v>
      </c>
      <c r="D10" s="320">
        <f t="shared" si="0"/>
        <v>42193</v>
      </c>
      <c r="E10" s="320">
        <f t="shared" si="0"/>
        <v>42194</v>
      </c>
      <c r="F10" s="367">
        <f t="shared" si="0"/>
        <v>42195</v>
      </c>
      <c r="G10" s="320">
        <f t="shared" si="0"/>
        <v>42196</v>
      </c>
      <c r="I10" s="17"/>
      <c r="J10" s="290"/>
      <c r="K10" s="54"/>
      <c r="L10" s="99"/>
      <c r="M10" s="99"/>
      <c r="N10" s="99"/>
      <c r="O10" s="99"/>
      <c r="P10" s="99"/>
      <c r="Q10" s="82">
        <f t="shared" si="1"/>
        <v>42372</v>
      </c>
      <c r="R10" s="369">
        <f t="shared" si="1"/>
        <v>42373</v>
      </c>
      <c r="S10" s="82">
        <f t="shared" si="1"/>
        <v>42374</v>
      </c>
      <c r="T10" s="82">
        <f t="shared" si="1"/>
        <v>42375</v>
      </c>
      <c r="U10" s="348">
        <f t="shared" si="1"/>
        <v>42376</v>
      </c>
      <c r="V10" s="82">
        <f t="shared" si="1"/>
        <v>42377</v>
      </c>
      <c r="W10" s="82">
        <f t="shared" si="1"/>
        <v>42378</v>
      </c>
      <c r="X10" s="291"/>
      <c r="Y10" s="54"/>
      <c r="Z10" s="88"/>
      <c r="AA10" s="88"/>
      <c r="AB10" t="s">
        <v>121</v>
      </c>
      <c r="AC10">
        <f>COUNT(E10,C11,E11,C12,E12,C13,E13,C19,E19,C20,E20,C20,E20,C22,E22,E27,C28,E28,C29,E29,C30,E30,C31,E36,C37,E37,C38,E38,C39,E39,C40,E40,C45,E45,C46,E46,C47,E47,C54,E54,C55,E55,S10,U10,S11,U11,S12,U12,S13,U13,S18,U18,S19,U19,S20,U20,S21,U21,S27,U27,S28,U28,S29,U29,S31,U31,S37,U37,S38,U38,S39,U39,S40,S45,U45,S46,U46,S47,U47,S48,U48,S49,U54,S55)</f>
        <v>84</v>
      </c>
      <c r="AD10">
        <v>84</v>
      </c>
    </row>
    <row r="11" spans="1:30">
      <c r="A11" s="320">
        <f t="shared" si="0"/>
        <v>42197</v>
      </c>
      <c r="B11" s="320">
        <f t="shared" si="0"/>
        <v>42198</v>
      </c>
      <c r="C11" s="320">
        <f t="shared" si="0"/>
        <v>42199</v>
      </c>
      <c r="D11" s="320">
        <f t="shared" si="0"/>
        <v>42200</v>
      </c>
      <c r="E11" s="320">
        <f t="shared" si="0"/>
        <v>42201</v>
      </c>
      <c r="F11" s="320">
        <f t="shared" si="0"/>
        <v>42202</v>
      </c>
      <c r="G11" s="320">
        <f t="shared" si="0"/>
        <v>42203</v>
      </c>
      <c r="I11" s="17"/>
      <c r="J11" s="85"/>
      <c r="K11" s="54"/>
      <c r="L11" s="100"/>
      <c r="M11" s="88"/>
      <c r="N11" s="87"/>
      <c r="O11" s="87"/>
      <c r="P11" s="99"/>
      <c r="Q11" s="82">
        <f t="shared" si="1"/>
        <v>42379</v>
      </c>
      <c r="R11" s="369">
        <f t="shared" si="1"/>
        <v>42380</v>
      </c>
      <c r="S11" s="82">
        <f t="shared" si="1"/>
        <v>42381</v>
      </c>
      <c r="T11" s="82">
        <f t="shared" si="1"/>
        <v>42382</v>
      </c>
      <c r="U11" s="82">
        <f t="shared" si="1"/>
        <v>42383</v>
      </c>
      <c r="V11" s="82">
        <f t="shared" si="1"/>
        <v>42384</v>
      </c>
      <c r="W11" s="82">
        <f t="shared" si="1"/>
        <v>42385</v>
      </c>
      <c r="X11" s="56"/>
      <c r="Y11" s="56"/>
      <c r="Z11" s="88"/>
      <c r="AA11" s="88"/>
      <c r="AB11" t="s">
        <v>122</v>
      </c>
      <c r="AC11">
        <f>COUNT(B10,B10:B13,D10:D13,F10:F13,B19,D19,F19,B22:B23,D22,F22,B29:B31,D27:D31,F27:F30,B37:B40,D37:D40,F36:F40,B45:B49,D45:D47,F45:F47,B55:B56,D54:D56,F54:F55,R10:R11,T10:T13,V10:V13,R13,R18:R22,T18:T21,V18:V21,R28:R30,T27:T31,V27:V28,V29,R37:R40,T37:T40,V36:V40,R45:R48,T45:T48,V45:V47,R55:R55,T54:T55,V54)</f>
        <v>126</v>
      </c>
      <c r="AD11">
        <v>126</v>
      </c>
    </row>
    <row r="12" spans="1:30">
      <c r="A12" s="320">
        <f t="shared" si="0"/>
        <v>42204</v>
      </c>
      <c r="B12" s="320">
        <f t="shared" si="0"/>
        <v>42205</v>
      </c>
      <c r="C12" s="320">
        <f t="shared" si="0"/>
        <v>42206</v>
      </c>
      <c r="D12" s="320">
        <f t="shared" si="0"/>
        <v>42207</v>
      </c>
      <c r="E12" s="320">
        <f t="shared" si="0"/>
        <v>42208</v>
      </c>
      <c r="F12" s="367">
        <f t="shared" si="0"/>
        <v>42209</v>
      </c>
      <c r="G12" s="320">
        <f t="shared" si="0"/>
        <v>42210</v>
      </c>
      <c r="I12" s="17"/>
      <c r="J12" s="290"/>
      <c r="K12" s="287"/>
      <c r="L12" s="67"/>
      <c r="M12" s="96"/>
      <c r="N12" s="87"/>
      <c r="O12" s="87"/>
      <c r="P12" s="99"/>
      <c r="Q12" s="82">
        <f t="shared" si="1"/>
        <v>42386</v>
      </c>
      <c r="R12" s="368">
        <f t="shared" si="1"/>
        <v>42387</v>
      </c>
      <c r="S12" s="82">
        <f t="shared" si="1"/>
        <v>42388</v>
      </c>
      <c r="T12" s="82">
        <f t="shared" si="1"/>
        <v>42389</v>
      </c>
      <c r="U12" s="82">
        <f t="shared" si="1"/>
        <v>42390</v>
      </c>
      <c r="V12" s="348">
        <f t="shared" si="1"/>
        <v>42391</v>
      </c>
      <c r="W12" s="82">
        <f t="shared" si="1"/>
        <v>42392</v>
      </c>
      <c r="X12" s="291"/>
      <c r="Y12" s="56"/>
      <c r="Z12" s="88"/>
      <c r="AA12" s="88"/>
      <c r="AB12" t="s">
        <v>156</v>
      </c>
      <c r="AC12">
        <f>COUNT(D10,E10,C11:E11,C12,E12,C13:E13,C19:E19,C22:E22,D27:E27,C28:E30,C31:D31,E36,C37:E39,C40:E40,C45:E47,C48,C54:E56,S10:U13,S18:U21,S27:U29,S37:U39,S40,S45:U48,S49,T54:U54,S55:T55, S30:T31,U31)</f>
        <v>126</v>
      </c>
      <c r="AD12">
        <v>126</v>
      </c>
    </row>
    <row r="13" spans="1:30">
      <c r="A13" s="320">
        <f t="shared" si="0"/>
        <v>42211</v>
      </c>
      <c r="B13" s="320">
        <f t="shared" si="0"/>
        <v>42212</v>
      </c>
      <c r="C13" s="320">
        <f t="shared" si="0"/>
        <v>42213</v>
      </c>
      <c r="D13" s="320">
        <f t="shared" si="0"/>
        <v>42214</v>
      </c>
      <c r="E13" s="320">
        <f t="shared" si="0"/>
        <v>42215</v>
      </c>
      <c r="F13" s="320">
        <f t="shared" si="0"/>
        <v>42216</v>
      </c>
      <c r="G13" s="320" t="str">
        <f t="shared" si="0"/>
        <v/>
      </c>
      <c r="I13" s="17"/>
      <c r="J13" s="85"/>
      <c r="K13" s="54"/>
      <c r="L13" s="96"/>
      <c r="M13" s="96"/>
      <c r="N13" s="87"/>
      <c r="O13" s="87"/>
      <c r="P13" s="99"/>
      <c r="Q13" s="82">
        <f t="shared" si="1"/>
        <v>42393</v>
      </c>
      <c r="R13" s="369">
        <f t="shared" si="1"/>
        <v>42394</v>
      </c>
      <c r="S13" s="82">
        <f t="shared" si="1"/>
        <v>42395</v>
      </c>
      <c r="T13" s="82">
        <f t="shared" si="1"/>
        <v>42396</v>
      </c>
      <c r="U13" s="82">
        <f t="shared" si="1"/>
        <v>42397</v>
      </c>
      <c r="V13" s="82">
        <f t="shared" si="1"/>
        <v>42398</v>
      </c>
      <c r="W13" s="82">
        <f t="shared" si="1"/>
        <v>42399</v>
      </c>
      <c r="X13" s="96"/>
      <c r="Y13" s="56"/>
      <c r="AA13" s="97"/>
      <c r="AB13" t="s">
        <v>157</v>
      </c>
      <c r="AC13">
        <f>COUNT(B10,D10,B11,C11,B12:D12,B13:D13,B19:D19,B22,C22,D22,B23,D27,C28:D28,B29:D29,B30:D30,B31:D31,B37:D40,B45:D47,B48:C48,B49,C54:D54,B55:D56,R10:T11,S12:T12,R13:T13,R18:T21,R22,S27:T27,R28:S30,S31:T31,R37:T40,R45:T48,S49,T54,R55:T55, T28:T29)</f>
        <v>126</v>
      </c>
      <c r="AD13">
        <v>126</v>
      </c>
    </row>
    <row r="14" spans="1:30">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82" t="str">
        <f t="shared" si="1"/>
        <v/>
      </c>
      <c r="S14" s="82" t="str">
        <f t="shared" si="1"/>
        <v/>
      </c>
      <c r="T14" s="82" t="str">
        <f t="shared" si="1"/>
        <v/>
      </c>
      <c r="U14" s="82" t="str">
        <f t="shared" si="1"/>
        <v/>
      </c>
      <c r="V14" s="82" t="str">
        <f t="shared" si="1"/>
        <v/>
      </c>
      <c r="W14" s="82" t="str">
        <f t="shared" si="1"/>
        <v/>
      </c>
      <c r="X14" s="53"/>
      <c r="Y14" s="53"/>
      <c r="Z14" s="104"/>
      <c r="AA14" s="104"/>
      <c r="AB14" t="s">
        <v>118</v>
      </c>
      <c r="AC14">
        <f>COUNT(B29:B31,B38:B40,B45:B47,B55,R10:R11,R13,R19:R21,R28:R30,R38:R40,R45:R47)</f>
        <v>25</v>
      </c>
      <c r="AD14">
        <v>25</v>
      </c>
    </row>
    <row r="15" spans="1:30" ht="4.5" customHeight="1">
      <c r="A15" s="26"/>
      <c r="B15" s="26"/>
      <c r="C15" s="26"/>
      <c r="D15" s="26"/>
      <c r="E15" s="26"/>
      <c r="F15" s="26"/>
      <c r="G15" s="26"/>
      <c r="I15" s="17"/>
      <c r="J15" s="85"/>
      <c r="K15" s="54"/>
      <c r="L15" s="96"/>
      <c r="M15" s="96"/>
      <c r="N15" s="99"/>
      <c r="O15" s="99"/>
      <c r="P15" s="99"/>
      <c r="X15" s="57"/>
      <c r="Y15" s="57"/>
      <c r="Z15" s="104"/>
      <c r="AA15" s="104"/>
    </row>
    <row r="16" spans="1:30">
      <c r="A16" s="592">
        <f>DATE(YEAR(A7+35),MONTH(A7+35),1)</f>
        <v>42217</v>
      </c>
      <c r="B16" s="593"/>
      <c r="C16" s="593"/>
      <c r="D16" s="593"/>
      <c r="E16" s="593"/>
      <c r="F16" s="593"/>
      <c r="G16" s="594"/>
      <c r="H16" s="22"/>
      <c r="I16" s="17"/>
      <c r="J16" s="85"/>
      <c r="K16" s="54"/>
      <c r="L16" s="96"/>
      <c r="M16" s="96"/>
      <c r="N16" s="99"/>
      <c r="O16" s="99"/>
      <c r="P16" s="99"/>
      <c r="Q16" s="593">
        <f>DATE(YEAR(Q7+35),MONTH(Q7+35),1)</f>
        <v>42401</v>
      </c>
      <c r="R16" s="593"/>
      <c r="S16" s="593"/>
      <c r="T16" s="593"/>
      <c r="U16" s="593"/>
      <c r="V16" s="593"/>
      <c r="W16" s="593"/>
      <c r="X16" s="57"/>
      <c r="Y16" s="57"/>
      <c r="Z16" s="89"/>
      <c r="AA16" s="89"/>
      <c r="AB16" t="s">
        <v>60</v>
      </c>
      <c r="AC16">
        <f>COUNT(B11,D11,F11,B12,D12,F12,B13,D13,F13,B19,D19,F19,B22,D22,F22,B23,D27,F27,D28,F28,B29,D29,F29,B30,D30,F30,B31,D31,F36,B37,D37,F37,B38,D38,F38,B39,D39,F39,B40,D40,F40,B45:B49,D45,F45,D46,F46,D47,F47,D54,F54,B55,D55,F55,B56,D56,F56,D48,R10,T10,V10,R11,T11,V11,T12,V12,R13,T13,V13,R18,T18,V18,R19,T19,V19,R20,T20,V20,R21,T21,V21,R22,T27,V27,R28,T28,V28,R29,T29,V29,R30,T30,R31,T31,V31,R37,T37,V37,R38,T38,V38,R39,T39,V39,R40,T40,V40,R45,T45,V45,R46,T46,V46,R47,T47,V47,R48,T48,V48,T54,V54,R55,T55,V55)</f>
        <v>126</v>
      </c>
      <c r="AD16">
        <v>126</v>
      </c>
    </row>
    <row r="17" spans="1:30">
      <c r="A17" s="18" t="str">
        <f>$A$8</f>
        <v>Su</v>
      </c>
      <c r="B17" s="20" t="str">
        <f>$B$8</f>
        <v>M</v>
      </c>
      <c r="C17" s="20" t="str">
        <f>$C$8</f>
        <v>Tu</v>
      </c>
      <c r="D17" s="20" t="str">
        <f>$D$8</f>
        <v>W</v>
      </c>
      <c r="E17" s="20" t="str">
        <f>$E$8</f>
        <v>Th</v>
      </c>
      <c r="F17" s="20" t="str">
        <f>$F$8</f>
        <v>F</v>
      </c>
      <c r="G17" s="21"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c r="AB17" t="s">
        <v>62</v>
      </c>
      <c r="AC17">
        <f>COUNT(E27,C28,E28,C29,E29,C30,E30,C31,C22,E22,E36,C37,E37,C38,E38,C39,E39,C40,E40)</f>
        <v>19</v>
      </c>
      <c r="AD17">
        <v>19</v>
      </c>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82" t="str">
        <f t="shared" ref="Q18:W23" si="3">IF(MONTH($Q$16)&lt;&gt;MONTH($Q$16-(WEEKDAY($Q$16,1)-($I$4-1))-IF((WEEKDAY($Q$16,1)-($I$4-1))&lt;=0,7,0)+(ROW(Q18)-ROW($Q$18))*7+(COLUMN(Q18)-COLUMN($Q$18)+1)),"",$Q$16-(WEEKDAY($Q$16,1)-($I$4-1))-IF((WEEKDAY($Q$16,1)-($I$4-1))&lt;=0,7,0)+(ROW(Q18)-ROW($Q$18))*7+(COLUMN(Q18)-COLUMN($Q$18)+1))</f>
        <v/>
      </c>
      <c r="R18" s="81">
        <f t="shared" si="3"/>
        <v>42401</v>
      </c>
      <c r="S18" s="114">
        <f t="shared" si="3"/>
        <v>42402</v>
      </c>
      <c r="T18" s="82">
        <f t="shared" si="3"/>
        <v>42403</v>
      </c>
      <c r="U18" s="82">
        <f t="shared" si="3"/>
        <v>42404</v>
      </c>
      <c r="V18" s="348">
        <f t="shared" si="3"/>
        <v>42405</v>
      </c>
      <c r="W18" s="82">
        <f t="shared" si="3"/>
        <v>42406</v>
      </c>
      <c r="X18" s="291"/>
      <c r="Y18" s="56"/>
      <c r="Z18" s="88"/>
      <c r="AA18" s="88"/>
      <c r="AB18" t="s">
        <v>62</v>
      </c>
      <c r="AC18">
        <f>COUNT(S29:S31,U29:U31,S37:S40,U37:U39,S45:S48,U45:U48)</f>
        <v>21</v>
      </c>
      <c r="AD18">
        <v>21</v>
      </c>
    </row>
    <row r="19" spans="1:30" ht="15.75" thickBot="1">
      <c r="A19" s="320">
        <f t="shared" si="2"/>
        <v>42218</v>
      </c>
      <c r="B19" s="320">
        <f t="shared" si="2"/>
        <v>42219</v>
      </c>
      <c r="C19" s="320">
        <f t="shared" si="2"/>
        <v>42220</v>
      </c>
      <c r="D19" s="320">
        <f t="shared" si="2"/>
        <v>42221</v>
      </c>
      <c r="E19" s="320">
        <f t="shared" si="2"/>
        <v>42222</v>
      </c>
      <c r="F19" s="367">
        <f t="shared" si="2"/>
        <v>42223</v>
      </c>
      <c r="G19" s="320">
        <f t="shared" si="2"/>
        <v>42224</v>
      </c>
      <c r="H19" s="22"/>
      <c r="I19" s="17"/>
      <c r="M19" s="96"/>
      <c r="N19" s="99"/>
      <c r="O19" s="99"/>
      <c r="P19" s="99"/>
      <c r="Q19" s="82">
        <f t="shared" si="3"/>
        <v>42407</v>
      </c>
      <c r="R19" s="376">
        <f t="shared" si="3"/>
        <v>42408</v>
      </c>
      <c r="S19" s="126">
        <f t="shared" si="3"/>
        <v>42409</v>
      </c>
      <c r="T19" s="112">
        <f t="shared" si="3"/>
        <v>42410</v>
      </c>
      <c r="U19" s="82">
        <f t="shared" si="3"/>
        <v>42411</v>
      </c>
      <c r="V19" s="82">
        <f t="shared" si="3"/>
        <v>42412</v>
      </c>
      <c r="W19" s="82">
        <f t="shared" si="3"/>
        <v>42413</v>
      </c>
      <c r="X19" s="54"/>
      <c r="Y19" s="54"/>
      <c r="AA19" s="88"/>
      <c r="AB19" t="s">
        <v>159</v>
      </c>
      <c r="AC19">
        <f>COUNT(C22,E22,E27,C28,E28,C29,E29,C30,E30,C31,E36,C37,E37,C38,E38,C39,E39,C40,E40,C45,E45,C46,E46,C47,E47,C48,C54,E54,C55,E55,C56,E56,S10,U10, S11,U11,S12,U12,S13,U13,S18,U18,S19,U19,S20,U20,S21,U21,S27,U27,S28,U28,S29,U29,S30,S31,U31,S37,U37,S38,U38,S39,U39,S40,U40, S45,U45,S46,U46,S47,U47,S48,U48,S49,U54,S55)</f>
        <v>76</v>
      </c>
      <c r="AD19">
        <v>76</v>
      </c>
    </row>
    <row r="20" spans="1:30">
      <c r="A20" s="320">
        <f t="shared" si="2"/>
        <v>42225</v>
      </c>
      <c r="B20" s="367">
        <f t="shared" si="2"/>
        <v>42226</v>
      </c>
      <c r="C20" s="368">
        <f t="shared" si="2"/>
        <v>42227</v>
      </c>
      <c r="D20" s="368">
        <f t="shared" si="2"/>
        <v>42228</v>
      </c>
      <c r="E20" s="368">
        <f t="shared" si="2"/>
        <v>42229</v>
      </c>
      <c r="F20" s="368">
        <f t="shared" si="2"/>
        <v>42230</v>
      </c>
      <c r="G20" s="320">
        <f t="shared" si="2"/>
        <v>42231</v>
      </c>
      <c r="I20" s="17"/>
      <c r="J20" s="290"/>
      <c r="K20" s="54"/>
      <c r="L20" s="96"/>
      <c r="M20" s="96"/>
      <c r="N20" s="99"/>
      <c r="O20" s="99"/>
      <c r="P20" s="99"/>
      <c r="Q20" s="82">
        <f t="shared" si="3"/>
        <v>42414</v>
      </c>
      <c r="R20" s="369">
        <f t="shared" si="3"/>
        <v>42415</v>
      </c>
      <c r="S20" s="115">
        <f t="shared" si="3"/>
        <v>42416</v>
      </c>
      <c r="T20" s="82">
        <f t="shared" si="3"/>
        <v>42417</v>
      </c>
      <c r="U20" s="82">
        <f t="shared" si="3"/>
        <v>42418</v>
      </c>
      <c r="V20" s="82">
        <f t="shared" si="3"/>
        <v>42419</v>
      </c>
      <c r="W20" s="82">
        <f t="shared" si="3"/>
        <v>42420</v>
      </c>
      <c r="X20" s="56"/>
      <c r="Y20" s="56"/>
      <c r="Z20" s="87"/>
      <c r="AA20" s="87"/>
      <c r="AB20" t="s">
        <v>61</v>
      </c>
      <c r="AC20">
        <f>COUNT(B10:B13,D10:D13,B19,D19,B22,D22,B23,D27,D28:D31,B29:B31,B37:B40,D37:D40,B45:B47,D45:D47,B49,D54,B55,D55,T12,R13,T13,R18,T18,R19,T19,R20,T20,R21,T21,R22,T27,R28:R29,T28:T29,R31,T31,R37,T37,R38,T38,R39,T39,R40,T40,R45:R48,T45:T48,T54,R55,T55, R56,T56,R57)</f>
        <v>80</v>
      </c>
      <c r="AD20">
        <v>80</v>
      </c>
    </row>
    <row r="21" spans="1:30">
      <c r="A21" s="320">
        <f t="shared" si="2"/>
        <v>42232</v>
      </c>
      <c r="B21" s="368">
        <f t="shared" si="2"/>
        <v>42233</v>
      </c>
      <c r="C21" s="368">
        <f t="shared" si="2"/>
        <v>42234</v>
      </c>
      <c r="D21" s="368">
        <f t="shared" si="2"/>
        <v>42235</v>
      </c>
      <c r="E21" s="368">
        <f t="shared" si="2"/>
        <v>42236</v>
      </c>
      <c r="F21" s="367">
        <f t="shared" si="2"/>
        <v>42237</v>
      </c>
      <c r="G21" s="320">
        <f t="shared" si="2"/>
        <v>42238</v>
      </c>
      <c r="I21" s="17"/>
      <c r="J21" s="290"/>
      <c r="K21" s="54"/>
      <c r="L21" s="96"/>
      <c r="M21" s="96"/>
      <c r="N21" s="99"/>
      <c r="O21" s="99"/>
      <c r="P21" s="99"/>
      <c r="Q21" s="82">
        <f t="shared" si="3"/>
        <v>42421</v>
      </c>
      <c r="R21" s="369">
        <f t="shared" si="3"/>
        <v>42422</v>
      </c>
      <c r="S21" s="348">
        <f t="shared" si="3"/>
        <v>42423</v>
      </c>
      <c r="T21" s="82">
        <f t="shared" si="3"/>
        <v>42424</v>
      </c>
      <c r="U21" s="82">
        <f t="shared" si="3"/>
        <v>42425</v>
      </c>
      <c r="V21" s="82">
        <f t="shared" si="3"/>
        <v>42426</v>
      </c>
      <c r="W21" s="82">
        <f t="shared" si="3"/>
        <v>42427</v>
      </c>
      <c r="X21" s="375"/>
      <c r="Y21" s="54"/>
      <c r="Z21" s="99"/>
      <c r="AA21" s="99"/>
      <c r="AB21" t="s">
        <v>158</v>
      </c>
      <c r="AC21">
        <f>COUNT(B22,D22,B23,D27,D28,B29,D29,B30,D30,B31,D31,B37,D37,B38,D38,B39,D39,B40,D40,B45,D45,B10B46,D46,B47,D47,B48,B49,D54,B55,D55,B56,D56,R10,T10,R11,T11,T12,R13,T13,R18,T18,R19,T19,R20,T20,R21,T21,R22,T27,R28,T28,R29,T29,R30,T30,R31,T31,R37,T37,R38,T38,R39,T39,R40,T40,R45,T45,R46,T46,R47,T47,R48,T48,T54,R55,T55)</f>
        <v>75</v>
      </c>
      <c r="AD21">
        <v>76</v>
      </c>
    </row>
    <row r="22" spans="1:30">
      <c r="A22" s="82">
        <f t="shared" si="2"/>
        <v>42239</v>
      </c>
      <c r="B22" s="81">
        <f t="shared" si="2"/>
        <v>42240</v>
      </c>
      <c r="C22" s="82">
        <f t="shared" si="2"/>
        <v>42241</v>
      </c>
      <c r="D22" s="82">
        <f t="shared" si="2"/>
        <v>42242</v>
      </c>
      <c r="E22" s="82">
        <f t="shared" si="2"/>
        <v>42243</v>
      </c>
      <c r="F22" s="82">
        <f t="shared" si="2"/>
        <v>42244</v>
      </c>
      <c r="G22" s="82">
        <f t="shared" si="2"/>
        <v>42245</v>
      </c>
      <c r="I22" s="17"/>
      <c r="J22" s="317"/>
      <c r="K22" s="54"/>
      <c r="L22" s="96"/>
      <c r="M22" s="96"/>
      <c r="N22" s="99"/>
      <c r="O22" s="99"/>
      <c r="P22" s="99"/>
      <c r="Q22" s="82">
        <f t="shared" si="3"/>
        <v>42428</v>
      </c>
      <c r="R22" s="81">
        <f t="shared" si="3"/>
        <v>42429</v>
      </c>
      <c r="S22" s="82" t="str">
        <f t="shared" si="3"/>
        <v/>
      </c>
      <c r="T22" s="82" t="str">
        <f t="shared" si="3"/>
        <v/>
      </c>
      <c r="U22" s="82" t="str">
        <f t="shared" si="3"/>
        <v/>
      </c>
      <c r="V22" s="82" t="str">
        <f t="shared" si="3"/>
        <v/>
      </c>
      <c r="W22" s="82" t="str">
        <f t="shared" si="3"/>
        <v/>
      </c>
      <c r="X22" s="53"/>
      <c r="Y22" s="54"/>
      <c r="Z22" s="87"/>
      <c r="AA22" s="87"/>
      <c r="AB22" t="s">
        <v>120</v>
      </c>
      <c r="AD22" s="316" t="s">
        <v>155</v>
      </c>
    </row>
    <row r="23" spans="1:30">
      <c r="A23" s="82">
        <f t="shared" si="2"/>
        <v>42246</v>
      </c>
      <c r="B23" s="82">
        <f t="shared" si="2"/>
        <v>42247</v>
      </c>
      <c r="C23" s="82" t="str">
        <f t="shared" si="2"/>
        <v/>
      </c>
      <c r="D23" s="82" t="str">
        <f t="shared" si="2"/>
        <v/>
      </c>
      <c r="E23" s="82" t="str">
        <f t="shared" si="2"/>
        <v/>
      </c>
      <c r="F23" s="82" t="str">
        <f t="shared" si="2"/>
        <v/>
      </c>
      <c r="G23" s="82" t="str">
        <f t="shared" si="2"/>
        <v/>
      </c>
      <c r="I23" s="17"/>
      <c r="J23" s="85"/>
      <c r="K23" s="54"/>
      <c r="L23" s="96"/>
      <c r="M23" s="96"/>
      <c r="N23" s="99"/>
      <c r="O23" s="99"/>
      <c r="P23" s="99"/>
      <c r="Q23" s="115" t="str">
        <f t="shared" si="3"/>
        <v/>
      </c>
      <c r="R23" s="115" t="str">
        <f t="shared" si="3"/>
        <v/>
      </c>
      <c r="S23" s="115" t="str">
        <f t="shared" si="3"/>
        <v/>
      </c>
      <c r="T23" s="115" t="str">
        <f t="shared" si="3"/>
        <v/>
      </c>
      <c r="U23" s="115" t="str">
        <f t="shared" si="3"/>
        <v/>
      </c>
      <c r="V23" s="115" t="str">
        <f t="shared" si="3"/>
        <v/>
      </c>
      <c r="W23" s="115" t="str">
        <f t="shared" si="3"/>
        <v/>
      </c>
      <c r="X23" s="53"/>
      <c r="Y23" s="54"/>
      <c r="Z23" s="99"/>
      <c r="AA23" s="99"/>
      <c r="AB23" t="s">
        <v>151</v>
      </c>
      <c r="AC23">
        <f>COUNT(C19,E19,C28,E28,E27,E37,C37,C38,C45,E45,C46,C54,E54,C55,S10,S11,U10,S18,U18,S19,S27,S28,U27,S37,U37,S38,S45,U45,S48,U48,S49)+COUNT(C22,E22,C29,E29,C39,E39,C47,E47,E55,C56,S46,U46,S55,U54,U39,S39,S29,U29,S20,U20,U12,S12)</f>
        <v>53</v>
      </c>
      <c r="AD23" s="316" t="s">
        <v>154</v>
      </c>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B25" t="s">
        <v>2</v>
      </c>
      <c r="AC25">
        <f>COUNT(C10,C10:C13,E10:E13,C19,E19,C28:C31,E28:E30,C37:C39,E36:E39,C46:C47,E45:E47, S12:S13,U12:U13,S18:S20,U18:U20,S27:S29,U27:U29, S31,U31,S37:S40,U37:U39,S46:S48,U46:U47)</f>
        <v>60</v>
      </c>
      <c r="AD25" s="316">
        <v>60</v>
      </c>
    </row>
    <row r="26" spans="1:30">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B26" t="s">
        <v>127</v>
      </c>
      <c r="AC26">
        <f>COUNT(C10,C10:C13,E10:E13,C19,E19,C22,E22,C28:C31,E27:E30,C37:C40,E36:E40,C45:C47,E45:E47, S12:S13,U12:U13,S18:S21,U18:U20,S27:S29,U27:U29, S31,U31,S37:S40,U37:U39,S46:S48,U46:U48)</f>
        <v>68</v>
      </c>
      <c r="AD26" s="316">
        <v>68</v>
      </c>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114">
        <f t="shared" si="4"/>
        <v>42248</v>
      </c>
      <c r="D27" s="82">
        <f t="shared" si="4"/>
        <v>42249</v>
      </c>
      <c r="E27" s="82">
        <f t="shared" si="4"/>
        <v>42250</v>
      </c>
      <c r="F27" s="82">
        <f t="shared" si="4"/>
        <v>42251</v>
      </c>
      <c r="G27" s="82">
        <f t="shared" si="4"/>
        <v>42252</v>
      </c>
      <c r="I27" s="17"/>
      <c r="J27" s="317"/>
      <c r="K27" s="54"/>
      <c r="L27" s="96"/>
      <c r="M27" s="96"/>
      <c r="N27" s="99"/>
      <c r="O27" s="99"/>
      <c r="P27" s="99"/>
      <c r="Q27" s="82" t="str">
        <f t="shared" ref="Q27:W32" si="5">IF(MONTH($Q$25)&lt;&gt;MONTH($Q$25-(WEEKDAY($Q$25,1)-($I$4-1))-IF((WEEKDAY($Q$25,1)-($I$4-1))&lt;=0,7,0)+(ROW(Q27)-ROW($Q$27))*7+(COLUMN(Q27)-COLUMN($Q$27)+1)),"",$Q$25-(WEEKDAY($Q$25,1)-($I$4-1))-IF((WEEKDAY($Q$25,1)-($I$4-1))&lt;=0,7,0)+(ROW(Q27)-ROW($Q$27))*7+(COLUMN(Q27)-COLUMN($Q$27)+1))</f>
        <v/>
      </c>
      <c r="R27" s="82" t="str">
        <f t="shared" si="5"/>
        <v/>
      </c>
      <c r="S27" s="114">
        <f t="shared" si="5"/>
        <v>42430</v>
      </c>
      <c r="T27" s="82">
        <f t="shared" si="5"/>
        <v>42431</v>
      </c>
      <c r="U27" s="82">
        <f t="shared" si="5"/>
        <v>42432</v>
      </c>
      <c r="V27" s="82">
        <f t="shared" si="5"/>
        <v>42433</v>
      </c>
      <c r="W27" s="82">
        <f t="shared" si="5"/>
        <v>42434</v>
      </c>
      <c r="X27" s="54"/>
      <c r="Y27" s="54"/>
      <c r="Z27" s="97"/>
      <c r="AA27" s="97"/>
      <c r="AB27" t="s">
        <v>128</v>
      </c>
      <c r="AC27">
        <f>COUNT(C10,C10:C13,E10:E13,C19,E19,C28:C31,E28:E30,C37:C39,E36:E39,C46:C47,E45:E47, S12:S13,U12:U13,S18:S20,U18:U20,S27:S29,U27:U29, S31,U31,S37:S40,U37:U39,S46:S48,U46:U47)</f>
        <v>60</v>
      </c>
      <c r="AD27" s="316">
        <v>60</v>
      </c>
    </row>
    <row r="28" spans="1:30" ht="15.75" thickBot="1">
      <c r="A28" s="111">
        <f t="shared" si="4"/>
        <v>42253</v>
      </c>
      <c r="B28" s="377">
        <f t="shared" si="4"/>
        <v>42254</v>
      </c>
      <c r="C28" s="114">
        <f t="shared" si="4"/>
        <v>42255</v>
      </c>
      <c r="D28" s="379">
        <f t="shared" si="4"/>
        <v>42256</v>
      </c>
      <c r="E28" s="82">
        <f t="shared" si="4"/>
        <v>42257</v>
      </c>
      <c r="F28" s="82">
        <f t="shared" si="4"/>
        <v>42258</v>
      </c>
      <c r="G28" s="112">
        <f t="shared" si="4"/>
        <v>42259</v>
      </c>
      <c r="I28" s="17"/>
      <c r="J28" s="290"/>
      <c r="K28" s="54"/>
      <c r="L28" s="96"/>
      <c r="M28" s="96"/>
      <c r="N28" s="87"/>
      <c r="O28" s="87"/>
      <c r="P28" s="99"/>
      <c r="Q28" s="82">
        <f t="shared" si="5"/>
        <v>42435</v>
      </c>
      <c r="R28" s="376">
        <f t="shared" si="5"/>
        <v>42436</v>
      </c>
      <c r="S28" s="126">
        <f t="shared" si="5"/>
        <v>42437</v>
      </c>
      <c r="T28" s="379">
        <f t="shared" si="5"/>
        <v>42438</v>
      </c>
      <c r="U28" s="82">
        <f t="shared" si="5"/>
        <v>42439</v>
      </c>
      <c r="V28" s="82">
        <f t="shared" si="5"/>
        <v>42440</v>
      </c>
      <c r="W28" s="82">
        <f t="shared" si="5"/>
        <v>42441</v>
      </c>
      <c r="X28" s="291"/>
      <c r="Y28" s="56"/>
      <c r="Z28" s="96"/>
      <c r="AA28" s="88"/>
      <c r="AB28" s="99" t="s">
        <v>142</v>
      </c>
      <c r="AD28" s="316" t="s">
        <v>143</v>
      </c>
    </row>
    <row r="29" spans="1:30" ht="15.75" thickBot="1">
      <c r="A29" s="111">
        <f t="shared" si="4"/>
        <v>42260</v>
      </c>
      <c r="B29" s="376">
        <f t="shared" si="4"/>
        <v>42261</v>
      </c>
      <c r="C29" s="126">
        <f t="shared" si="4"/>
        <v>42262</v>
      </c>
      <c r="D29" s="112">
        <f t="shared" si="4"/>
        <v>42263</v>
      </c>
      <c r="E29" s="82">
        <f t="shared" si="4"/>
        <v>42264</v>
      </c>
      <c r="F29" s="82">
        <f t="shared" si="4"/>
        <v>42265</v>
      </c>
      <c r="G29" s="112">
        <f t="shared" si="4"/>
        <v>42266</v>
      </c>
      <c r="I29" s="17"/>
      <c r="J29" s="85"/>
      <c r="K29" s="54"/>
      <c r="L29" s="96"/>
      <c r="M29" s="96"/>
      <c r="N29" s="87"/>
      <c r="O29" s="87"/>
      <c r="P29" s="99"/>
      <c r="Q29" s="82">
        <f t="shared" si="5"/>
        <v>42442</v>
      </c>
      <c r="R29" s="369">
        <f t="shared" si="5"/>
        <v>42443</v>
      </c>
      <c r="S29" s="115">
        <f t="shared" si="5"/>
        <v>42444</v>
      </c>
      <c r="T29" s="82">
        <f t="shared" si="5"/>
        <v>42445</v>
      </c>
      <c r="U29" s="82">
        <f t="shared" si="5"/>
        <v>42446</v>
      </c>
      <c r="V29" s="82">
        <f t="shared" si="5"/>
        <v>42447</v>
      </c>
      <c r="W29" s="82">
        <f t="shared" si="5"/>
        <v>42448</v>
      </c>
      <c r="X29" s="96"/>
      <c r="Y29" s="56"/>
      <c r="AA29" s="88"/>
      <c r="AB29" s="99" t="s">
        <v>147</v>
      </c>
      <c r="AC29">
        <f>COUNT(F30,F39,F47,V19,V28,V37,V46)</f>
        <v>7</v>
      </c>
      <c r="AD29" s="316" t="s">
        <v>148</v>
      </c>
    </row>
    <row r="30" spans="1:30">
      <c r="A30" s="111">
        <f t="shared" si="4"/>
        <v>42267</v>
      </c>
      <c r="B30" s="369">
        <f t="shared" si="4"/>
        <v>42268</v>
      </c>
      <c r="C30" s="115">
        <f t="shared" si="4"/>
        <v>42269</v>
      </c>
      <c r="D30" s="82">
        <f t="shared" si="4"/>
        <v>42270</v>
      </c>
      <c r="E30" s="348">
        <f t="shared" si="4"/>
        <v>42271</v>
      </c>
      <c r="F30" s="82">
        <f t="shared" si="4"/>
        <v>42272</v>
      </c>
      <c r="G30" s="112">
        <f t="shared" si="4"/>
        <v>42273</v>
      </c>
      <c r="H30" s="23"/>
      <c r="I30" s="24"/>
      <c r="J30" s="96"/>
      <c r="K30" s="96"/>
      <c r="L30" s="87"/>
      <c r="M30" s="87"/>
      <c r="P30" s="99"/>
      <c r="Q30" s="82">
        <f t="shared" si="5"/>
        <v>42449</v>
      </c>
      <c r="R30" s="369">
        <f t="shared" si="5"/>
        <v>42450</v>
      </c>
      <c r="S30" s="82">
        <f t="shared" si="5"/>
        <v>42451</v>
      </c>
      <c r="T30" s="82">
        <f t="shared" si="5"/>
        <v>42452</v>
      </c>
      <c r="U30" s="348">
        <f t="shared" si="5"/>
        <v>42453</v>
      </c>
      <c r="V30" s="84">
        <f t="shared" si="5"/>
        <v>42454</v>
      </c>
      <c r="W30" s="82">
        <f t="shared" si="5"/>
        <v>42455</v>
      </c>
      <c r="X30" s="291"/>
      <c r="Y30" s="56"/>
      <c r="Z30" s="88"/>
      <c r="AA30" s="88"/>
      <c r="AB30" s="99" t="s">
        <v>152</v>
      </c>
      <c r="AD30" s="316" t="s">
        <v>153</v>
      </c>
    </row>
    <row r="31" spans="1:30">
      <c r="A31" s="82">
        <f t="shared" si="4"/>
        <v>42274</v>
      </c>
      <c r="B31" s="369">
        <f t="shared" si="4"/>
        <v>42275</v>
      </c>
      <c r="C31" s="82">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81">
        <f t="shared" si="5"/>
        <v>42457</v>
      </c>
      <c r="S31" s="82">
        <f t="shared" si="5"/>
        <v>42458</v>
      </c>
      <c r="T31" s="82">
        <f t="shared" si="5"/>
        <v>42459</v>
      </c>
      <c r="U31" s="82">
        <f t="shared" si="5"/>
        <v>42460</v>
      </c>
      <c r="V31" s="82" t="str">
        <f t="shared" si="5"/>
        <v/>
      </c>
      <c r="W31" s="82" t="str">
        <f t="shared" si="5"/>
        <v/>
      </c>
      <c r="X31" s="317"/>
      <c r="Y31" s="55"/>
      <c r="Z31" s="99"/>
      <c r="AA31" s="99"/>
      <c r="AB31" s="99" t="s">
        <v>15</v>
      </c>
      <c r="AD31" s="316" t="s">
        <v>146</v>
      </c>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8"/>
      <c r="Y32" s="55"/>
      <c r="Z32" s="99"/>
      <c r="AA32" s="99"/>
      <c r="AB32" s="99" t="s">
        <v>14</v>
      </c>
      <c r="AD32" s="316" t="s">
        <v>145</v>
      </c>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X34" s="319"/>
      <c r="Y34" s="54"/>
      <c r="Z34" s="99"/>
      <c r="AA34" s="99"/>
      <c r="AB34" s="99" t="s">
        <v>141</v>
      </c>
      <c r="AD34" s="316" t="s">
        <v>144</v>
      </c>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t="s">
        <v>149</v>
      </c>
      <c r="AD35" s="316" t="s">
        <v>150</v>
      </c>
    </row>
    <row r="36" spans="1:30" ht="15.75" thickBot="1">
      <c r="A36" s="111"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82">
        <f t="shared" si="6"/>
        <v>42278</v>
      </c>
      <c r="F36" s="82">
        <f t="shared" si="6"/>
        <v>42279</v>
      </c>
      <c r="G36" s="112">
        <f t="shared" si="6"/>
        <v>42280</v>
      </c>
      <c r="H36" s="46"/>
      <c r="I36" s="47"/>
      <c r="J36" s="85"/>
      <c r="K36" s="85"/>
      <c r="L36" s="96"/>
      <c r="M36" s="96"/>
      <c r="N36" s="99"/>
      <c r="O36" s="99"/>
      <c r="P36" s="99"/>
      <c r="Q36" s="82" t="str">
        <f t="shared" ref="Q36:W41" si="7">IF(MONTH($Q$34)&lt;&gt;MONTH($Q$34-(WEEKDAY($Q$34,1)-($I$4-1))-IF((WEEKDAY($Q$34,1)-($I$4-1))&lt;=0,7,0)+(ROW(Q36)-ROW($Q$36))*7+(COLUMN(Q36)-COLUMN($Q$36)+1)),"",$Q$34-(WEEKDAY($Q$34,1)-($I$4-1))-IF((WEEKDAY($Q$34,1)-($I$4-1))&lt;=0,7,0)+(ROW(Q36)-ROW($Q$36))*7+(COLUMN(Q36)-COLUMN($Q$36)+1))</f>
        <v/>
      </c>
      <c r="R36" s="82" t="str">
        <f t="shared" si="7"/>
        <v/>
      </c>
      <c r="S36" s="82" t="str">
        <f t="shared" si="7"/>
        <v/>
      </c>
      <c r="T36" s="82" t="str">
        <f t="shared" si="7"/>
        <v/>
      </c>
      <c r="U36" s="83" t="str">
        <f t="shared" si="7"/>
        <v/>
      </c>
      <c r="V36" s="82">
        <f t="shared" si="7"/>
        <v>42461</v>
      </c>
      <c r="W36" s="82">
        <f t="shared" si="7"/>
        <v>42462</v>
      </c>
      <c r="X36" s="57"/>
      <c r="Y36" s="55"/>
      <c r="Z36" s="99"/>
      <c r="AA36" s="99"/>
      <c r="AB36" s="99"/>
    </row>
    <row r="37" spans="1:30" ht="15.75" thickBot="1">
      <c r="A37" s="111">
        <f t="shared" si="6"/>
        <v>42281</v>
      </c>
      <c r="B37" s="81">
        <f t="shared" si="6"/>
        <v>42282</v>
      </c>
      <c r="C37" s="114">
        <f t="shared" si="6"/>
        <v>42283</v>
      </c>
      <c r="D37" s="82">
        <f t="shared" si="6"/>
        <v>42284</v>
      </c>
      <c r="E37" s="82">
        <f t="shared" si="6"/>
        <v>42285</v>
      </c>
      <c r="F37" s="348">
        <f t="shared" si="6"/>
        <v>42286</v>
      </c>
      <c r="G37" s="112">
        <f t="shared" si="6"/>
        <v>42287</v>
      </c>
      <c r="I37" s="17"/>
      <c r="J37" s="290"/>
      <c r="K37" s="107"/>
      <c r="L37" s="101"/>
      <c r="M37" s="101"/>
      <c r="N37" s="99"/>
      <c r="O37" s="99"/>
      <c r="P37" s="99"/>
      <c r="Q37" s="82">
        <f t="shared" si="7"/>
        <v>42463</v>
      </c>
      <c r="R37" s="81">
        <f t="shared" si="7"/>
        <v>42464</v>
      </c>
      <c r="S37" s="114">
        <f t="shared" si="7"/>
        <v>42465</v>
      </c>
      <c r="T37" s="82">
        <f t="shared" si="7"/>
        <v>42466</v>
      </c>
      <c r="U37" s="82">
        <f t="shared" si="7"/>
        <v>42467</v>
      </c>
      <c r="V37" s="348">
        <f t="shared" si="7"/>
        <v>42468</v>
      </c>
      <c r="W37" s="82">
        <f t="shared" si="7"/>
        <v>42469</v>
      </c>
      <c r="X37" s="291"/>
      <c r="Y37" s="56"/>
      <c r="Z37" s="88"/>
      <c r="AA37" s="88"/>
      <c r="AB37" s="99"/>
    </row>
    <row r="38" spans="1:30" ht="15.75" thickBot="1">
      <c r="A38" s="111">
        <f t="shared" si="6"/>
        <v>42288</v>
      </c>
      <c r="B38" s="376">
        <f t="shared" si="6"/>
        <v>42289</v>
      </c>
      <c r="C38" s="126">
        <f t="shared" si="6"/>
        <v>42290</v>
      </c>
      <c r="D38" s="112">
        <f t="shared" si="6"/>
        <v>42291</v>
      </c>
      <c r="E38" s="82">
        <f t="shared" si="6"/>
        <v>42292</v>
      </c>
      <c r="F38" s="82">
        <f t="shared" si="6"/>
        <v>42293</v>
      </c>
      <c r="G38" s="112">
        <f t="shared" si="6"/>
        <v>42294</v>
      </c>
      <c r="H38" s="27"/>
      <c r="I38" s="28"/>
      <c r="J38" s="85"/>
      <c r="K38" s="85"/>
      <c r="L38" s="96"/>
      <c r="M38" s="96"/>
      <c r="N38" s="87"/>
      <c r="O38" s="87"/>
      <c r="P38" s="99"/>
      <c r="Q38" s="82">
        <f t="shared" si="7"/>
        <v>42470</v>
      </c>
      <c r="R38" s="376">
        <f t="shared" si="7"/>
        <v>42471</v>
      </c>
      <c r="S38" s="126">
        <f t="shared" si="7"/>
        <v>42472</v>
      </c>
      <c r="T38" s="112">
        <f t="shared" si="7"/>
        <v>42473</v>
      </c>
      <c r="U38" s="82">
        <f t="shared" si="7"/>
        <v>42474</v>
      </c>
      <c r="V38" s="82">
        <f t="shared" si="7"/>
        <v>42475</v>
      </c>
      <c r="W38" s="82">
        <f t="shared" si="7"/>
        <v>42476</v>
      </c>
      <c r="X38" s="96"/>
      <c r="Y38" s="56"/>
      <c r="AA38" s="88"/>
      <c r="AB38" s="99"/>
    </row>
    <row r="39" spans="1:30">
      <c r="A39" s="111">
        <f t="shared" si="6"/>
        <v>42295</v>
      </c>
      <c r="B39" s="369">
        <f t="shared" si="6"/>
        <v>42296</v>
      </c>
      <c r="C39" s="115">
        <f t="shared" si="6"/>
        <v>42297</v>
      </c>
      <c r="D39" s="82">
        <f t="shared" si="6"/>
        <v>42298</v>
      </c>
      <c r="E39" s="82">
        <f t="shared" si="6"/>
        <v>42299</v>
      </c>
      <c r="F39" s="348">
        <f>IF(MONTH($A$34)&lt;&gt;MONTH($A$34-(WEEKDAY($A$34,1)-($I$4-1))-IF((WEEKDAY($A$34,1)-($I$4-1))&lt;=0,7,0)+(ROW(F39)-ROW($A$36))*7+(COLUMN(F39)-COLUMN($A$36)+1)),"",$A$34-(WEEKDAY($A$34,1)-($I$4-1))-IF((WEEKDAY($A$34,1)-($I$4-1))&lt;=0,7,0)+(ROW(F39)-ROW($A$36))*7+(COLUMN(F39)-COLUMN($A$36)+1))</f>
        <v>42300</v>
      </c>
      <c r="G39" s="112">
        <f t="shared" si="6"/>
        <v>42301</v>
      </c>
      <c r="H39" s="22"/>
      <c r="I39" s="17"/>
      <c r="J39" s="96"/>
      <c r="K39" s="85"/>
      <c r="M39" s="96"/>
      <c r="N39" s="87"/>
      <c r="O39" s="87"/>
      <c r="P39" s="99"/>
      <c r="Q39" s="82">
        <f t="shared" si="7"/>
        <v>42477</v>
      </c>
      <c r="R39" s="369">
        <f t="shared" si="7"/>
        <v>42478</v>
      </c>
      <c r="S39" s="115">
        <f t="shared" si="7"/>
        <v>42479</v>
      </c>
      <c r="T39" s="82">
        <f t="shared" si="7"/>
        <v>42480</v>
      </c>
      <c r="U39" s="82">
        <f t="shared" si="7"/>
        <v>42481</v>
      </c>
      <c r="V39" s="348">
        <f t="shared" si="7"/>
        <v>42482</v>
      </c>
      <c r="W39" s="82">
        <f t="shared" si="7"/>
        <v>42483</v>
      </c>
      <c r="X39" s="291"/>
      <c r="Y39" s="56"/>
      <c r="Z39" s="88"/>
      <c r="AA39" s="88"/>
      <c r="AB39" s="99"/>
      <c r="AC39" s="321"/>
    </row>
    <row r="40" spans="1:30">
      <c r="A40" s="111">
        <f t="shared" si="6"/>
        <v>42302</v>
      </c>
      <c r="B40" s="369">
        <f t="shared" si="6"/>
        <v>42303</v>
      </c>
      <c r="C40" s="82">
        <f t="shared" si="6"/>
        <v>42304</v>
      </c>
      <c r="D40" s="82">
        <f t="shared" si="6"/>
        <v>42305</v>
      </c>
      <c r="E40" s="82">
        <f t="shared" si="6"/>
        <v>42306</v>
      </c>
      <c r="F40" s="82">
        <f t="shared" si="6"/>
        <v>42307</v>
      </c>
      <c r="G40" s="112">
        <f t="shared" si="6"/>
        <v>42308</v>
      </c>
      <c r="H40" s="23"/>
      <c r="I40" s="24"/>
      <c r="J40" s="317"/>
      <c r="K40" s="55"/>
      <c r="L40" s="96"/>
      <c r="M40" s="96"/>
      <c r="N40" s="87"/>
      <c r="O40" s="87"/>
      <c r="P40" s="99"/>
      <c r="Q40" s="82">
        <f t="shared" si="7"/>
        <v>42484</v>
      </c>
      <c r="R40" s="369">
        <f t="shared" si="7"/>
        <v>42485</v>
      </c>
      <c r="S40" s="82">
        <f t="shared" si="7"/>
        <v>42486</v>
      </c>
      <c r="T40" s="82">
        <f t="shared" si="7"/>
        <v>42487</v>
      </c>
      <c r="U40" s="82">
        <f t="shared" si="7"/>
        <v>42488</v>
      </c>
      <c r="V40" s="82">
        <f t="shared" si="7"/>
        <v>42489</v>
      </c>
      <c r="W40" s="82">
        <f t="shared" si="7"/>
        <v>42490</v>
      </c>
      <c r="X40" s="108"/>
      <c r="Y40" s="54"/>
      <c r="Z40" s="97"/>
      <c r="AA40" s="97"/>
      <c r="AB40" s="99"/>
      <c r="AC40" s="97"/>
    </row>
    <row r="41" spans="1:30">
      <c r="A41" s="84" t="str">
        <f t="shared" si="6"/>
        <v/>
      </c>
      <c r="B41" s="82" t="str">
        <f t="shared" si="6"/>
        <v/>
      </c>
      <c r="C41" s="84" t="str">
        <f t="shared" si="6"/>
        <v/>
      </c>
      <c r="D41" s="84" t="str">
        <f t="shared" si="6"/>
        <v/>
      </c>
      <c r="E41" s="84" t="str">
        <f t="shared" si="6"/>
        <v/>
      </c>
      <c r="F41" s="84" t="str">
        <f t="shared" si="6"/>
        <v/>
      </c>
      <c r="G41" s="84"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369">
        <f t="shared" si="8"/>
        <v>42310</v>
      </c>
      <c r="C45" s="114">
        <f t="shared" si="8"/>
        <v>42311</v>
      </c>
      <c r="D45" s="82">
        <f t="shared" si="8"/>
        <v>42312</v>
      </c>
      <c r="E45" s="348">
        <f t="shared" si="8"/>
        <v>42313</v>
      </c>
      <c r="F45" s="82">
        <f t="shared" si="8"/>
        <v>42314</v>
      </c>
      <c r="G45" s="112">
        <f t="shared" si="8"/>
        <v>42315</v>
      </c>
      <c r="I45" s="17"/>
      <c r="J45" s="290"/>
      <c r="K45" s="54"/>
      <c r="L45" s="96"/>
      <c r="M45" s="96"/>
      <c r="N45" s="99"/>
      <c r="O45" s="99"/>
      <c r="P45" s="99"/>
      <c r="Q45" s="82">
        <f t="shared" ref="Q45:W50" si="9">IF(MONTH($Q$43)&lt;&gt;MONTH($Q$43-(WEEKDAY($Q$43,1)-($I$4-1))-IF((WEEKDAY($Q$43,1)-($I$4-1))&lt;=0,7,0)+(ROW(Q45)-ROW($Q$45))*7+(COLUMN(Q45)-COLUMN($Q$45)+1)),"",$Q$43-(WEEKDAY($Q$43,1)-($I$4-1))-IF((WEEKDAY($Q$43,1)-($I$4-1))&lt;=0,7,0)+(ROW(Q45)-ROW($Q$45))*7+(COLUMN(Q45)-COLUMN($Q$45)+1))</f>
        <v>42491</v>
      </c>
      <c r="R45" s="369">
        <f t="shared" si="9"/>
        <v>42492</v>
      </c>
      <c r="S45" s="114">
        <f t="shared" si="9"/>
        <v>42493</v>
      </c>
      <c r="T45" s="82">
        <f t="shared" si="9"/>
        <v>42494</v>
      </c>
      <c r="U45" s="82">
        <f t="shared" si="9"/>
        <v>42495</v>
      </c>
      <c r="V45" s="82">
        <f t="shared" si="9"/>
        <v>42496</v>
      </c>
      <c r="W45" s="82">
        <f t="shared" si="9"/>
        <v>42497</v>
      </c>
      <c r="X45" s="54"/>
      <c r="Y45" s="54"/>
      <c r="Z45" s="99"/>
      <c r="AA45" s="99"/>
      <c r="AB45" s="99"/>
    </row>
    <row r="46" spans="1:30" ht="15.75" thickBot="1">
      <c r="A46" s="111">
        <f t="shared" si="8"/>
        <v>42316</v>
      </c>
      <c r="B46" s="376">
        <f t="shared" si="8"/>
        <v>42317</v>
      </c>
      <c r="C46" s="126">
        <f t="shared" si="8"/>
        <v>42318</v>
      </c>
      <c r="D46" s="112">
        <f t="shared" si="8"/>
        <v>42319</v>
      </c>
      <c r="E46" s="82">
        <f t="shared" si="8"/>
        <v>42320</v>
      </c>
      <c r="F46" s="82">
        <f t="shared" si="8"/>
        <v>42321</v>
      </c>
      <c r="G46" s="112">
        <f t="shared" si="8"/>
        <v>42322</v>
      </c>
      <c r="I46" s="17"/>
      <c r="J46" s="85"/>
      <c r="K46" s="85"/>
      <c r="L46" s="96"/>
      <c r="M46" s="96"/>
      <c r="N46" s="99"/>
      <c r="O46" s="99"/>
      <c r="P46" s="99"/>
      <c r="Q46" s="82">
        <f t="shared" si="9"/>
        <v>42498</v>
      </c>
      <c r="R46" s="378">
        <f t="shared" si="9"/>
        <v>42499</v>
      </c>
      <c r="S46" s="126">
        <f t="shared" si="9"/>
        <v>42500</v>
      </c>
      <c r="T46" s="112">
        <f t="shared" si="9"/>
        <v>42501</v>
      </c>
      <c r="U46" s="82">
        <f t="shared" si="9"/>
        <v>42502</v>
      </c>
      <c r="V46" s="82">
        <f t="shared" si="9"/>
        <v>42503</v>
      </c>
      <c r="W46" s="82">
        <f t="shared" si="9"/>
        <v>42504</v>
      </c>
      <c r="X46" s="291"/>
      <c r="Y46" s="55"/>
      <c r="Z46" s="97"/>
      <c r="AA46" s="97"/>
      <c r="AB46" s="99"/>
    </row>
    <row r="47" spans="1:30">
      <c r="A47" s="111">
        <f t="shared" si="8"/>
        <v>42323</v>
      </c>
      <c r="B47" s="369">
        <f t="shared" si="8"/>
        <v>42324</v>
      </c>
      <c r="C47" s="115">
        <f t="shared" si="8"/>
        <v>42325</v>
      </c>
      <c r="D47" s="82">
        <f t="shared" si="8"/>
        <v>42326</v>
      </c>
      <c r="E47" s="348">
        <f t="shared" si="8"/>
        <v>42327</v>
      </c>
      <c r="F47" s="82">
        <f t="shared" si="8"/>
        <v>42328</v>
      </c>
      <c r="G47" s="112">
        <f t="shared" si="8"/>
        <v>42329</v>
      </c>
      <c r="I47" s="17"/>
      <c r="J47" s="96"/>
      <c r="K47" s="85"/>
      <c r="M47" s="96"/>
      <c r="N47" s="99"/>
      <c r="O47" s="99"/>
      <c r="P47" s="99"/>
      <c r="Q47" s="82">
        <f t="shared" si="9"/>
        <v>42505</v>
      </c>
      <c r="R47" s="369">
        <f t="shared" si="9"/>
        <v>42506</v>
      </c>
      <c r="S47" s="115">
        <f t="shared" si="9"/>
        <v>42507</v>
      </c>
      <c r="T47" s="82">
        <f t="shared" si="9"/>
        <v>42508</v>
      </c>
      <c r="U47" s="82">
        <f t="shared" si="9"/>
        <v>42509</v>
      </c>
      <c r="V47" s="82">
        <f t="shared" si="9"/>
        <v>42510</v>
      </c>
      <c r="W47" s="82">
        <f t="shared" si="9"/>
        <v>42511</v>
      </c>
      <c r="X47" s="96"/>
      <c r="Y47" s="56"/>
      <c r="AA47" s="88"/>
      <c r="AB47" s="99"/>
    </row>
    <row r="48" spans="1:30">
      <c r="A48" s="111">
        <f t="shared" si="8"/>
        <v>42330</v>
      </c>
      <c r="B48" s="368">
        <f t="shared" si="8"/>
        <v>42331</v>
      </c>
      <c r="C48" s="368">
        <f t="shared" si="8"/>
        <v>42332</v>
      </c>
      <c r="D48" s="368">
        <f t="shared" si="8"/>
        <v>42333</v>
      </c>
      <c r="E48" s="368">
        <f t="shared" si="8"/>
        <v>42334</v>
      </c>
      <c r="F48" s="368">
        <f t="shared" si="8"/>
        <v>42335</v>
      </c>
      <c r="G48" s="112">
        <f t="shared" si="8"/>
        <v>42336</v>
      </c>
      <c r="I48" s="17"/>
      <c r="J48" s="290"/>
      <c r="K48" s="85"/>
      <c r="L48" s="96"/>
      <c r="M48" s="96"/>
      <c r="N48" s="99"/>
      <c r="O48" s="99"/>
      <c r="P48" s="99"/>
      <c r="Q48" s="82">
        <f t="shared" si="9"/>
        <v>42512</v>
      </c>
      <c r="R48" s="81">
        <f t="shared" si="9"/>
        <v>42513</v>
      </c>
      <c r="S48" s="348">
        <f t="shared" si="9"/>
        <v>42514</v>
      </c>
      <c r="T48" s="82">
        <f t="shared" si="9"/>
        <v>42515</v>
      </c>
      <c r="U48" s="82">
        <f t="shared" si="9"/>
        <v>42516</v>
      </c>
      <c r="V48" s="82">
        <f t="shared" si="9"/>
        <v>42517</v>
      </c>
      <c r="W48" s="82">
        <f t="shared" si="9"/>
        <v>42518</v>
      </c>
      <c r="X48" s="375"/>
      <c r="Y48" s="54"/>
      <c r="Z48" s="97"/>
      <c r="AA48" s="97"/>
      <c r="AB48" s="99"/>
    </row>
    <row r="49" spans="1:29">
      <c r="A49" s="111">
        <f t="shared" si="8"/>
        <v>42337</v>
      </c>
      <c r="B49" s="81">
        <f>IF(MONTH($A$43)&lt;&gt;MONTH($A$43-(WEEKDAY($A$43,1)-($I$4-1))-IF((WEEKDAY($A$43,1)-($I$4-1))&lt;=0,7,0)+(ROW(B49)-ROW($A$45))*7+(COLUMN(B49)-COLUMN($A$45)+1)),"",$A$43-(WEEKDAY($A$43,1)-($I$4-1))-IF((WEEKDAY($A$43,1)-($I$4-1))&lt;=0,7,0)+(ROW(B49)-ROW($A$45))*7+(COLUMN(B49)-COLUMN($A$45)+1))</f>
        <v>42338</v>
      </c>
      <c r="C49" s="82" t="str">
        <f t="shared" si="8"/>
        <v/>
      </c>
      <c r="D49" s="90" t="str">
        <f t="shared" si="8"/>
        <v/>
      </c>
      <c r="E49" s="90" t="str">
        <f t="shared" si="8"/>
        <v/>
      </c>
      <c r="F49" s="90" t="str">
        <f t="shared" si="8"/>
        <v/>
      </c>
      <c r="G49" s="371" t="str">
        <f t="shared" si="8"/>
        <v/>
      </c>
      <c r="I49" s="17"/>
      <c r="J49" s="317"/>
      <c r="K49" s="85"/>
      <c r="L49" s="96"/>
      <c r="M49" s="96"/>
      <c r="N49" s="99"/>
      <c r="O49" s="99"/>
      <c r="P49" s="99"/>
      <c r="Q49" s="82">
        <f t="shared" si="9"/>
        <v>42519</v>
      </c>
      <c r="R49" s="368">
        <f t="shared" si="9"/>
        <v>42520</v>
      </c>
      <c r="S49" s="82">
        <f t="shared" si="9"/>
        <v>42521</v>
      </c>
      <c r="T49" s="82" t="str">
        <f t="shared" si="9"/>
        <v/>
      </c>
      <c r="U49" s="82" t="str">
        <f t="shared" si="9"/>
        <v/>
      </c>
      <c r="V49" s="82" t="str">
        <f t="shared" si="9"/>
        <v/>
      </c>
      <c r="W49" s="82" t="str">
        <f t="shared" si="9"/>
        <v/>
      </c>
      <c r="X49" s="109"/>
      <c r="Y49" s="56"/>
      <c r="Z49" s="88"/>
      <c r="AA49" s="88"/>
      <c r="AB49" s="99"/>
    </row>
    <row r="50" spans="1:29">
      <c r="A50" s="82" t="str">
        <f t="shared" si="8"/>
        <v/>
      </c>
      <c r="B50" s="115" t="str">
        <f t="shared" si="8"/>
        <v/>
      </c>
      <c r="C50" s="115" t="str">
        <f t="shared" si="8"/>
        <v/>
      </c>
      <c r="D50" s="115" t="str">
        <f t="shared" si="8"/>
        <v/>
      </c>
      <c r="E50" s="115" t="str">
        <f t="shared" si="8"/>
        <v/>
      </c>
      <c r="F50" s="115" t="str">
        <f t="shared" si="8"/>
        <v/>
      </c>
      <c r="G50" s="82" t="str">
        <f t="shared" si="8"/>
        <v/>
      </c>
      <c r="I50" s="17"/>
      <c r="J50" s="3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c r="A54" s="82" t="str">
        <f t="shared" ref="A54:G59" si="10">IF(MONTH($A$52)&lt;&gt;MONTH($A$52-(WEEKDAY($A$52,1)-($I$4-1))-IF((WEEKDAY($A$52,1)-($I$4-1))&lt;=0,7,0)+(ROW(A54)-ROW($A$54))*7+(COLUMN(A54)-COLUMN($A$54)+1)),"",$A$52-(WEEKDAY($A$52,1)-($I$4-1))-IF((WEEKDAY($A$52,1)-($I$4-1))&lt;=0,7,0)+(ROW(A54)-ROW($A$54))*7+(COLUMN(A54)-COLUMN($A$54)+1))</f>
        <v/>
      </c>
      <c r="B54" s="82" t="str">
        <f t="shared" si="10"/>
        <v/>
      </c>
      <c r="C54" s="82">
        <f t="shared" si="10"/>
        <v>42339</v>
      </c>
      <c r="D54" s="348">
        <f t="shared" si="10"/>
        <v>42340</v>
      </c>
      <c r="E54" s="82">
        <f t="shared" si="10"/>
        <v>42341</v>
      </c>
      <c r="F54" s="82">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82">
        <f t="shared" si="11"/>
        <v>42522</v>
      </c>
      <c r="U54" s="82">
        <f t="shared" si="11"/>
        <v>42523</v>
      </c>
      <c r="V54" s="82">
        <f t="shared" si="11"/>
        <v>42524</v>
      </c>
      <c r="W54" s="82">
        <f t="shared" si="11"/>
        <v>42525</v>
      </c>
      <c r="X54" s="54"/>
      <c r="Y54" s="54"/>
      <c r="Z54" s="97"/>
      <c r="AA54" s="97"/>
      <c r="AB54" s="99"/>
    </row>
    <row r="55" spans="1:29">
      <c r="A55" s="82">
        <f t="shared" si="10"/>
        <v>42344</v>
      </c>
      <c r="B55" s="369">
        <f t="shared" si="10"/>
        <v>42345</v>
      </c>
      <c r="C55" s="82">
        <f t="shared" si="10"/>
        <v>42346</v>
      </c>
      <c r="D55" s="82">
        <f t="shared" si="10"/>
        <v>42347</v>
      </c>
      <c r="E55" s="82">
        <f t="shared" si="10"/>
        <v>42348</v>
      </c>
      <c r="F55" s="82">
        <f t="shared" si="10"/>
        <v>42349</v>
      </c>
      <c r="G55" s="112">
        <f t="shared" si="10"/>
        <v>42350</v>
      </c>
      <c r="I55" s="17"/>
      <c r="J55" s="85"/>
      <c r="K55" s="85"/>
      <c r="L55" s="96"/>
      <c r="M55" s="96"/>
      <c r="N55" s="99"/>
      <c r="O55" s="99"/>
      <c r="P55" s="99"/>
      <c r="Q55" s="82">
        <f t="shared" si="11"/>
        <v>42526</v>
      </c>
      <c r="R55" s="369">
        <f t="shared" si="11"/>
        <v>42527</v>
      </c>
      <c r="S55" s="82">
        <f t="shared" si="11"/>
        <v>42528</v>
      </c>
      <c r="T55" s="348">
        <f t="shared" si="11"/>
        <v>42529</v>
      </c>
      <c r="U55" s="82">
        <f t="shared" si="11"/>
        <v>42530</v>
      </c>
      <c r="V55" s="94">
        <f t="shared" si="11"/>
        <v>42531</v>
      </c>
      <c r="W55" s="82">
        <f t="shared" si="11"/>
        <v>42532</v>
      </c>
      <c r="X55" s="291"/>
      <c r="Y55" s="54"/>
      <c r="Z55" s="99"/>
      <c r="AA55" s="99"/>
      <c r="AB55" s="99"/>
    </row>
    <row r="56" spans="1:29">
      <c r="A56" s="82">
        <f t="shared" si="10"/>
        <v>42351</v>
      </c>
      <c r="B56" s="81">
        <f t="shared" si="10"/>
        <v>42352</v>
      </c>
      <c r="C56" s="82">
        <f t="shared" si="10"/>
        <v>42353</v>
      </c>
      <c r="D56" s="82">
        <f t="shared" si="10"/>
        <v>42354</v>
      </c>
      <c r="E56" s="82">
        <f t="shared" si="10"/>
        <v>42355</v>
      </c>
      <c r="F56" s="94">
        <f t="shared" si="10"/>
        <v>42356</v>
      </c>
      <c r="G56" s="372">
        <f t="shared" si="10"/>
        <v>42357</v>
      </c>
      <c r="H56" s="22"/>
      <c r="I56" s="17"/>
      <c r="J56" s="317"/>
      <c r="K56" s="54"/>
      <c r="L56" s="99"/>
      <c r="M56" s="96"/>
      <c r="N56" s="99"/>
      <c r="O56" s="99"/>
      <c r="P56" s="99"/>
      <c r="Q56" s="81">
        <f t="shared" si="11"/>
        <v>42533</v>
      </c>
      <c r="R56" s="81">
        <f t="shared" si="11"/>
        <v>42534</v>
      </c>
      <c r="S56" s="81">
        <f t="shared" si="11"/>
        <v>42535</v>
      </c>
      <c r="T56" s="81">
        <f t="shared" si="11"/>
        <v>42536</v>
      </c>
      <c r="U56" s="320">
        <f t="shared" si="11"/>
        <v>42537</v>
      </c>
      <c r="V56" s="320">
        <f t="shared" si="11"/>
        <v>42538</v>
      </c>
      <c r="W56" s="81">
        <f t="shared" si="11"/>
        <v>42539</v>
      </c>
      <c r="X56" s="317"/>
      <c r="Y56" s="54"/>
      <c r="Z56" s="99"/>
      <c r="AA56" s="99"/>
      <c r="AB56" s="99"/>
    </row>
    <row r="57" spans="1:29">
      <c r="A57" s="92">
        <f t="shared" si="10"/>
        <v>42358</v>
      </c>
      <c r="B57" s="92">
        <f t="shared" si="10"/>
        <v>42359</v>
      </c>
      <c r="C57" s="357">
        <f t="shared" si="10"/>
        <v>42360</v>
      </c>
      <c r="D57" s="92">
        <f t="shared" si="10"/>
        <v>42361</v>
      </c>
      <c r="E57" s="92">
        <f t="shared" si="10"/>
        <v>42362</v>
      </c>
      <c r="F57" s="92">
        <f t="shared" si="10"/>
        <v>42363</v>
      </c>
      <c r="G57" s="373">
        <f t="shared" si="10"/>
        <v>42364</v>
      </c>
      <c r="I57" s="17"/>
      <c r="J57" s="290"/>
      <c r="K57" s="54"/>
      <c r="L57" s="99"/>
      <c r="M57" s="99"/>
      <c r="N57" s="99"/>
      <c r="O57" s="99"/>
      <c r="P57" s="99"/>
      <c r="Q57" s="98">
        <f t="shared" si="11"/>
        <v>42540</v>
      </c>
      <c r="R57" s="98">
        <f t="shared" si="11"/>
        <v>42541</v>
      </c>
      <c r="S57" s="98">
        <f t="shared" si="11"/>
        <v>42542</v>
      </c>
      <c r="T57" s="357">
        <f t="shared" si="11"/>
        <v>42543</v>
      </c>
      <c r="U57" s="98">
        <f t="shared" si="11"/>
        <v>42544</v>
      </c>
      <c r="V57" s="98">
        <f t="shared" si="11"/>
        <v>42545</v>
      </c>
      <c r="W57" s="92">
        <f t="shared" si="11"/>
        <v>42546</v>
      </c>
      <c r="X57" s="291"/>
      <c r="Y57" s="54"/>
      <c r="Z57" s="99"/>
      <c r="AA57" s="99"/>
      <c r="AB57" s="99"/>
    </row>
    <row r="58" spans="1:29" ht="18.75" customHeight="1">
      <c r="A58" s="92">
        <f t="shared" si="10"/>
        <v>42365</v>
      </c>
      <c r="B58" s="92">
        <f t="shared" si="10"/>
        <v>42366</v>
      </c>
      <c r="C58" s="92">
        <f t="shared" si="10"/>
        <v>42367</v>
      </c>
      <c r="D58" s="92">
        <f t="shared" si="10"/>
        <v>42368</v>
      </c>
      <c r="E58" s="92">
        <f t="shared" si="10"/>
        <v>42369</v>
      </c>
      <c r="F58" s="92" t="str">
        <f t="shared" si="10"/>
        <v/>
      </c>
      <c r="G58" s="373" t="str">
        <f t="shared" si="10"/>
        <v/>
      </c>
      <c r="I58" s="17"/>
      <c r="J58" s="85"/>
      <c r="K58" s="54"/>
      <c r="L58" s="99"/>
      <c r="M58" s="99"/>
      <c r="N58" s="99"/>
      <c r="O58" s="99"/>
      <c r="P58" s="99"/>
      <c r="Q58" s="98">
        <f t="shared" si="11"/>
        <v>42547</v>
      </c>
      <c r="R58" s="98">
        <f t="shared" si="11"/>
        <v>42548</v>
      </c>
      <c r="S58" s="98">
        <f t="shared" si="11"/>
        <v>42549</v>
      </c>
      <c r="T58" s="98">
        <f t="shared" si="11"/>
        <v>42550</v>
      </c>
      <c r="U58" s="357">
        <f t="shared" si="11"/>
        <v>42551</v>
      </c>
      <c r="V58" s="81" t="str">
        <f t="shared" si="11"/>
        <v/>
      </c>
      <c r="W58" s="81" t="str">
        <f t="shared" si="11"/>
        <v/>
      </c>
      <c r="X58" s="291"/>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t="s">
        <v>160</v>
      </c>
      <c r="P61" s="70"/>
      <c r="Q61" s="70"/>
      <c r="R61" s="70"/>
      <c r="S61" s="25"/>
      <c r="T61" s="370"/>
      <c r="U61" s="70" t="s">
        <v>162</v>
      </c>
      <c r="V61" s="74"/>
      <c r="W61" s="25" t="s">
        <v>163</v>
      </c>
      <c r="X61" s="72"/>
      <c r="Y61" s="70"/>
      <c r="Z61" s="73"/>
    </row>
    <row r="62" spans="1:29" ht="15.75" thickBot="1">
      <c r="A62" s="45"/>
      <c r="B62" s="70" t="s">
        <v>161</v>
      </c>
      <c r="C62" s="70"/>
      <c r="D62" s="70"/>
      <c r="E62" s="70"/>
      <c r="F62" s="71"/>
      <c r="G62" s="71"/>
      <c r="H62" s="72"/>
      <c r="I62" s="70"/>
      <c r="J62" s="73"/>
      <c r="K62" s="6"/>
      <c r="L62" s="6"/>
      <c r="N62" s="3"/>
      <c r="V62" s="71"/>
      <c r="W62" s="87"/>
      <c r="X62" s="104"/>
      <c r="Y62" s="25"/>
      <c r="Z62" s="25"/>
      <c r="AC62" s="29"/>
    </row>
    <row r="63" spans="1:29">
      <c r="A63" s="292"/>
      <c r="B63" s="293" t="s">
        <v>126</v>
      </c>
      <c r="C63" s="293"/>
      <c r="D63" s="293"/>
      <c r="E63" s="293"/>
      <c r="F63" s="77"/>
      <c r="G63" s="77"/>
      <c r="H63" s="70"/>
      <c r="I63" s="70"/>
      <c r="J63" s="73"/>
      <c r="K63" s="6"/>
      <c r="L63" s="6"/>
      <c r="T63" s="70"/>
      <c r="U63" s="70"/>
      <c r="V63" s="70"/>
      <c r="W63" s="70"/>
      <c r="X63" s="70"/>
      <c r="Y63" s="70"/>
      <c r="Z63" s="70"/>
    </row>
    <row r="64" spans="1:29">
      <c r="B64" s="70"/>
      <c r="C64" s="70"/>
      <c r="D64" s="70"/>
      <c r="E64" s="70"/>
      <c r="F64" s="70"/>
      <c r="G64" s="70"/>
      <c r="H64" s="72"/>
      <c r="I64" s="70"/>
      <c r="J64" s="73"/>
      <c r="K64" s="6"/>
      <c r="L64" s="6"/>
    </row>
    <row r="74" spans="1:24">
      <c r="A74" s="30" t="s">
        <v>20</v>
      </c>
      <c r="H74"/>
      <c r="X74"/>
    </row>
  </sheetData>
  <mergeCells count="21">
    <mergeCell ref="A16:G16"/>
    <mergeCell ref="Q16:W16"/>
    <mergeCell ref="A1:P1"/>
    <mergeCell ref="A2:G2"/>
    <mergeCell ref="R2:X2"/>
    <mergeCell ref="A3:C3"/>
    <mergeCell ref="E3:G3"/>
    <mergeCell ref="I3:L3"/>
    <mergeCell ref="A4:C4"/>
    <mergeCell ref="E4:G4"/>
    <mergeCell ref="I4:L4"/>
    <mergeCell ref="A7:G7"/>
    <mergeCell ref="Q7:W7"/>
    <mergeCell ref="A52:G52"/>
    <mergeCell ref="Q52:W52"/>
    <mergeCell ref="A25:G25"/>
    <mergeCell ref="Q25:W25"/>
    <mergeCell ref="A34:G34"/>
    <mergeCell ref="Q34:W34"/>
    <mergeCell ref="A43:G43"/>
    <mergeCell ref="Q43:W43"/>
  </mergeCells>
  <conditionalFormatting sqref="Q36:W41 Q54:W59 Q45:W50 Q27:W32 Q18:W23 Q9:W14 A54:G59 A45:G50 A36:G41 A27:G32 A9:G14 A18:G23 B61">
    <cfRule type="cellIs" dxfId="4" priority="1" stopIfTrue="1" operator="equal">
      <formula>""</formula>
    </cfRule>
  </conditionalFormatting>
  <hyperlinks>
    <hyperlink ref="A2" r:id="rId1"/>
    <hyperlink ref="A74" r:id="rId2"/>
  </hyperlinks>
  <pageMargins left="0.25" right="0.25" top="0.61093750000000002" bottom="0.5" header="0.3" footer="0.3"/>
  <pageSetup scale="68" orientation="portrait" r:id="rId3"/>
  <headerFooter>
    <oddHeader>&amp;C&amp;20 2015-2016 AIU3 Adult Education GED Lab</oddHeader>
  </headerFooter>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workbookViewId="0">
      <selection sqref="A1:P1"/>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5" customWidth="1"/>
    <col min="28" max="28" width="19.42578125" bestFit="1" customWidth="1"/>
    <col min="30" max="30" width="10.42578125" bestFit="1" customWidth="1"/>
  </cols>
  <sheetData>
    <row r="1" spans="1:30"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30">
      <c r="A2" s="599" t="s">
        <v>20</v>
      </c>
      <c r="B2" s="599"/>
      <c r="C2" s="599"/>
      <c r="D2" s="599"/>
      <c r="E2" s="599"/>
      <c r="F2" s="599"/>
      <c r="G2" s="599"/>
      <c r="R2" s="600" t="s">
        <v>21</v>
      </c>
      <c r="S2" s="600"/>
      <c r="T2" s="600"/>
      <c r="U2" s="600"/>
      <c r="V2" s="600"/>
      <c r="W2" s="600"/>
      <c r="X2" s="600"/>
    </row>
    <row r="3" spans="1:30">
      <c r="A3" s="601" t="s">
        <v>22</v>
      </c>
      <c r="B3" s="601"/>
      <c r="C3" s="601"/>
      <c r="D3" s="11"/>
      <c r="E3" s="601" t="s">
        <v>23</v>
      </c>
      <c r="F3" s="601"/>
      <c r="G3" s="601"/>
      <c r="H3" s="12"/>
      <c r="I3" s="602" t="s">
        <v>24</v>
      </c>
      <c r="J3" s="602"/>
      <c r="K3" s="602"/>
      <c r="L3" s="602"/>
      <c r="M3" s="13"/>
      <c r="N3" s="13"/>
      <c r="O3" s="13"/>
      <c r="P3" s="13"/>
      <c r="Q3" s="13"/>
    </row>
    <row r="4" spans="1:30">
      <c r="A4" s="603">
        <v>2015</v>
      </c>
      <c r="B4" s="603"/>
      <c r="C4" s="603"/>
      <c r="D4" s="11"/>
      <c r="E4" s="603">
        <v>7</v>
      </c>
      <c r="F4" s="603"/>
      <c r="G4" s="603"/>
      <c r="H4" s="12"/>
      <c r="I4" s="603">
        <v>1</v>
      </c>
      <c r="J4" s="603"/>
      <c r="K4" s="603"/>
      <c r="L4" s="603"/>
      <c r="M4" s="14" t="s">
        <v>25</v>
      </c>
      <c r="N4" s="13"/>
      <c r="O4" s="13"/>
      <c r="P4" s="13"/>
      <c r="Q4" s="13"/>
    </row>
    <row r="5" spans="1:30" ht="23.25">
      <c r="A5" s="37" t="s">
        <v>26</v>
      </c>
      <c r="B5" s="38"/>
      <c r="C5" s="39"/>
      <c r="D5" s="40"/>
      <c r="E5" s="41"/>
      <c r="F5" s="41"/>
      <c r="G5" s="42"/>
      <c r="H5" s="35"/>
      <c r="I5" s="35"/>
      <c r="J5" s="43"/>
      <c r="K5" s="35"/>
      <c r="L5" s="15"/>
      <c r="M5" s="15"/>
      <c r="N5" s="15"/>
      <c r="O5" s="15"/>
      <c r="P5" s="15"/>
      <c r="Q5" s="15"/>
      <c r="R5" s="15"/>
      <c r="S5" s="15"/>
      <c r="T5" s="15"/>
      <c r="U5" s="34" t="s">
        <v>58</v>
      </c>
      <c r="V5" s="35"/>
      <c r="W5" s="35"/>
      <c r="X5" s="35"/>
      <c r="Y5" s="36"/>
      <c r="Z5" s="36"/>
      <c r="AA5" s="36"/>
    </row>
    <row r="6" spans="1:30" ht="6" customHeight="1">
      <c r="A6" s="58"/>
      <c r="B6" s="58"/>
      <c r="C6" s="58"/>
      <c r="D6" s="58"/>
      <c r="E6" s="58"/>
      <c r="F6" s="58"/>
      <c r="G6" s="58"/>
      <c r="P6" s="58"/>
    </row>
    <row r="7" spans="1:30">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c r="AB7" t="s">
        <v>119</v>
      </c>
    </row>
    <row r="8" spans="1:30">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c r="AB8" t="s">
        <v>123</v>
      </c>
      <c r="AC8" t="s">
        <v>117</v>
      </c>
      <c r="AD8" t="s">
        <v>130</v>
      </c>
    </row>
    <row r="9" spans="1:30">
      <c r="A9" s="82" t="str">
        <f t="shared" ref="A9:G14" si="0">IF(MONTH($A$7)&lt;&gt;MONTH($A$7-(WEEKDAY($A$7,1)-($I$4-1))-IF((WEEKDAY($A$7,1)-($I$4-1))&lt;=0,7,0)+(ROW(A9)-ROW($A$9))*7+(COLUMN(A9)-COLUMN($A$9)+1)),"",$A$7-(WEEKDAY($A$7,1)-($I$4-1))-IF((WEEKDAY($A$7,1)-($I$4-1))&lt;=0,7,0)+(ROW(A9)-ROW($A$9))*7+(COLUMN(A9)-COLUMN($A$9)+1))</f>
        <v/>
      </c>
      <c r="B9" s="82" t="str">
        <f t="shared" si="0"/>
        <v/>
      </c>
      <c r="C9" s="90" t="str">
        <f t="shared" si="0"/>
        <v/>
      </c>
      <c r="D9" s="90">
        <f t="shared" si="0"/>
        <v>42186</v>
      </c>
      <c r="E9" s="90">
        <f t="shared" si="0"/>
        <v>42187</v>
      </c>
      <c r="F9" s="90">
        <f t="shared" si="0"/>
        <v>42188</v>
      </c>
      <c r="G9" s="90">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82" t="str">
        <f t="shared" si="1"/>
        <v/>
      </c>
      <c r="S9" s="82" t="str">
        <f t="shared" si="1"/>
        <v/>
      </c>
      <c r="T9" s="374" t="str">
        <f t="shared" si="1"/>
        <v/>
      </c>
      <c r="U9" s="93" t="str">
        <f t="shared" si="1"/>
        <v/>
      </c>
      <c r="V9" s="93">
        <f t="shared" si="1"/>
        <v>42370</v>
      </c>
      <c r="W9" s="93">
        <f t="shared" si="1"/>
        <v>42371</v>
      </c>
      <c r="X9" s="57"/>
      <c r="Y9" s="54"/>
      <c r="Z9" s="99"/>
      <c r="AA9" s="99"/>
      <c r="AB9" t="s">
        <v>129</v>
      </c>
      <c r="AC9">
        <f>COUNT(C10:E10,C11:E11,C13,E13,C19:E19,C22:E22,D27:E27,C28:E28,C29:E29,C30:E30,C31:D31,C37:E37,C38:E38,C39:E40,C45:E47,C48:D48,C54:E55,C56:D56,S10:U13,S18:U21,S27:U29,S30:T31,U31,S37:U39,S40:T40,S45:U48,S49,T54:U54,S55:T55, U30, E56)</f>
        <v>126</v>
      </c>
      <c r="AD9">
        <v>126</v>
      </c>
    </row>
    <row r="10" spans="1:30">
      <c r="A10" s="320">
        <f t="shared" si="0"/>
        <v>42190</v>
      </c>
      <c r="B10" s="320">
        <f t="shared" si="0"/>
        <v>42191</v>
      </c>
      <c r="C10" s="320">
        <f>IF(MONTH($A$7)&lt;&gt;MONTH($A$7-(WEEKDAY($A$7,1)-($I$4-1))-IF((WEEKDAY($A$7,1)-($I$4-1))&lt;=0,7,0)+(ROW(C10)-ROW($A$9))*7+(COLUMN(C10)-COLUMN($A$9)+1)),"",$A$7-(WEEKDAY($A$7,1)-($I$4-1))-IF((WEEKDAY($A$7,1)-($I$4-1))&lt;=0,7,0)+(ROW(C10)-ROW($A$9))*7+(COLUMN(C10)-COLUMN($A$9)+1))</f>
        <v>42192</v>
      </c>
      <c r="D10" s="320">
        <f t="shared" si="0"/>
        <v>42193</v>
      </c>
      <c r="E10" s="320">
        <f t="shared" si="0"/>
        <v>42194</v>
      </c>
      <c r="F10" s="367">
        <f t="shared" si="0"/>
        <v>42195</v>
      </c>
      <c r="G10" s="320">
        <f t="shared" si="0"/>
        <v>42196</v>
      </c>
      <c r="I10" s="17"/>
      <c r="J10" s="290"/>
      <c r="K10" s="54"/>
      <c r="L10" s="99"/>
      <c r="M10" s="99"/>
      <c r="N10" s="99"/>
      <c r="O10" s="99"/>
      <c r="P10" s="99"/>
      <c r="Q10" s="82">
        <f t="shared" si="1"/>
        <v>42372</v>
      </c>
      <c r="R10" s="369">
        <f t="shared" si="1"/>
        <v>42373</v>
      </c>
      <c r="S10" s="82">
        <f t="shared" si="1"/>
        <v>42374</v>
      </c>
      <c r="T10" s="82">
        <f t="shared" si="1"/>
        <v>42375</v>
      </c>
      <c r="U10" s="348">
        <f t="shared" si="1"/>
        <v>42376</v>
      </c>
      <c r="V10" s="82">
        <f t="shared" si="1"/>
        <v>42377</v>
      </c>
      <c r="W10" s="82">
        <f t="shared" si="1"/>
        <v>42378</v>
      </c>
      <c r="X10" s="291"/>
      <c r="Y10" s="54"/>
      <c r="Z10" s="88"/>
      <c r="AA10" s="88"/>
      <c r="AB10" t="s">
        <v>121</v>
      </c>
      <c r="AC10">
        <f>COUNT(E10,C11,E11,C12,E12,C13,E13,C19,E19,C20,E20,C20,E20,C22,E22,E27,C28,E28,C29,E29,C30,E30,C31,E36,C37,E37,C38,E38,C39,E39,C40,E40,C45,E45,C46,E46,C47,E47,C54,E54,C55,E55,S10,U10,S11,U11,S12,U12,S13,U13,S18,U18,S19,U19,S20,U20,S21,U21,S27,U27,S28,U28,S29,U29,S31,U31,S37,U37,S38,U38,S39,U39,S40,S45,U45,S46,U46,S47,U47,S48,U48,S49,U54,S55)</f>
        <v>84</v>
      </c>
      <c r="AD10">
        <v>84</v>
      </c>
    </row>
    <row r="11" spans="1:30">
      <c r="A11" s="320">
        <f t="shared" si="0"/>
        <v>42197</v>
      </c>
      <c r="B11" s="320">
        <f t="shared" si="0"/>
        <v>42198</v>
      </c>
      <c r="C11" s="320">
        <f t="shared" si="0"/>
        <v>42199</v>
      </c>
      <c r="D11" s="320">
        <f t="shared" si="0"/>
        <v>42200</v>
      </c>
      <c r="E11" s="320">
        <f t="shared" si="0"/>
        <v>42201</v>
      </c>
      <c r="F11" s="320">
        <f t="shared" si="0"/>
        <v>42202</v>
      </c>
      <c r="G11" s="320">
        <f t="shared" si="0"/>
        <v>42203</v>
      </c>
      <c r="I11" s="17"/>
      <c r="J11" s="85"/>
      <c r="K11" s="54"/>
      <c r="L11" s="100"/>
      <c r="M11" s="88"/>
      <c r="N11" s="87"/>
      <c r="O11" s="87"/>
      <c r="P11" s="99"/>
      <c r="Q11" s="82">
        <f t="shared" si="1"/>
        <v>42379</v>
      </c>
      <c r="R11" s="369">
        <f t="shared" si="1"/>
        <v>42380</v>
      </c>
      <c r="S11" s="82">
        <f t="shared" si="1"/>
        <v>42381</v>
      </c>
      <c r="T11" s="82">
        <f t="shared" si="1"/>
        <v>42382</v>
      </c>
      <c r="U11" s="82">
        <f t="shared" si="1"/>
        <v>42383</v>
      </c>
      <c r="V11" s="82">
        <f t="shared" si="1"/>
        <v>42384</v>
      </c>
      <c r="W11" s="82">
        <f t="shared" si="1"/>
        <v>42385</v>
      </c>
      <c r="X11" s="56"/>
      <c r="Y11" s="56"/>
      <c r="Z11" s="88"/>
      <c r="AA11" s="88"/>
      <c r="AB11" t="s">
        <v>122</v>
      </c>
      <c r="AC11">
        <f>COUNT(B10,B10:B13,D10:D13,F10:F13,B19,D19,F19,B22:B23,D22,F22,B29:B31,D27:D31,F27:F30,B37:B40,D37:D40,F36:F40,B45:B49,D45:D47,F45:F47,B55:B56,D54:D56,F54:F55,R10:R11,T10:T13,V10:V13,R13,R18:R22,T18:T21,V18:V21,R28:R30,T27:T31,V27:V28,V29,R37:R40,T37:T40,V36:V40,R45:R48,T45:T48,V45:V47,R55:R55,T54:T55,V54)</f>
        <v>126</v>
      </c>
      <c r="AD11">
        <v>126</v>
      </c>
    </row>
    <row r="12" spans="1:30">
      <c r="A12" s="320">
        <f t="shared" si="0"/>
        <v>42204</v>
      </c>
      <c r="B12" s="320">
        <f t="shared" si="0"/>
        <v>42205</v>
      </c>
      <c r="C12" s="320">
        <f t="shared" si="0"/>
        <v>42206</v>
      </c>
      <c r="D12" s="320">
        <f t="shared" si="0"/>
        <v>42207</v>
      </c>
      <c r="E12" s="320">
        <f t="shared" si="0"/>
        <v>42208</v>
      </c>
      <c r="F12" s="367">
        <f t="shared" si="0"/>
        <v>42209</v>
      </c>
      <c r="G12" s="320">
        <f t="shared" si="0"/>
        <v>42210</v>
      </c>
      <c r="I12" s="17"/>
      <c r="J12" s="290"/>
      <c r="K12" s="287"/>
      <c r="L12" s="67"/>
      <c r="M12" s="96"/>
      <c r="N12" s="87"/>
      <c r="O12" s="87"/>
      <c r="P12" s="99"/>
      <c r="Q12" s="82">
        <f t="shared" si="1"/>
        <v>42386</v>
      </c>
      <c r="R12" s="368">
        <f t="shared" si="1"/>
        <v>42387</v>
      </c>
      <c r="S12" s="82">
        <f t="shared" si="1"/>
        <v>42388</v>
      </c>
      <c r="T12" s="82">
        <f t="shared" si="1"/>
        <v>42389</v>
      </c>
      <c r="U12" s="82">
        <f t="shared" si="1"/>
        <v>42390</v>
      </c>
      <c r="V12" s="348">
        <f t="shared" si="1"/>
        <v>42391</v>
      </c>
      <c r="W12" s="82">
        <f t="shared" si="1"/>
        <v>42392</v>
      </c>
      <c r="X12" s="291"/>
      <c r="Y12" s="56"/>
      <c r="Z12" s="88"/>
      <c r="AA12" s="88"/>
      <c r="AB12" t="s">
        <v>156</v>
      </c>
      <c r="AC12">
        <f>COUNT(D10,E10,C11:E11,C12,E12,C13:E13,C19:E19,C22:E22,D27:E27,C28:E30,C31:D31,E36,C37:E39,C40:E40,C45:E47,C48,C54:E56,S10:U13,S18:U21,S27:U29,S37:U39,S40,S45:U48,S49,T54:U54,S55:T55, S30:T31,U31)</f>
        <v>126</v>
      </c>
      <c r="AD12">
        <v>126</v>
      </c>
    </row>
    <row r="13" spans="1:30">
      <c r="A13" s="320">
        <f t="shared" si="0"/>
        <v>42211</v>
      </c>
      <c r="B13" s="320">
        <f t="shared" si="0"/>
        <v>42212</v>
      </c>
      <c r="C13" s="320">
        <f t="shared" si="0"/>
        <v>42213</v>
      </c>
      <c r="D13" s="320">
        <f t="shared" si="0"/>
        <v>42214</v>
      </c>
      <c r="E13" s="320">
        <f t="shared" si="0"/>
        <v>42215</v>
      </c>
      <c r="F13" s="320">
        <f t="shared" si="0"/>
        <v>42216</v>
      </c>
      <c r="G13" s="320" t="str">
        <f t="shared" si="0"/>
        <v/>
      </c>
      <c r="I13" s="17"/>
      <c r="J13" s="85"/>
      <c r="K13" s="54"/>
      <c r="L13" s="96"/>
      <c r="M13" s="96"/>
      <c r="N13" s="87"/>
      <c r="O13" s="87"/>
      <c r="P13" s="99"/>
      <c r="Q13" s="82">
        <f t="shared" si="1"/>
        <v>42393</v>
      </c>
      <c r="R13" s="369">
        <f t="shared" si="1"/>
        <v>42394</v>
      </c>
      <c r="S13" s="82">
        <f t="shared" si="1"/>
        <v>42395</v>
      </c>
      <c r="T13" s="82">
        <f t="shared" si="1"/>
        <v>42396</v>
      </c>
      <c r="U13" s="82">
        <f t="shared" si="1"/>
        <v>42397</v>
      </c>
      <c r="V13" s="82">
        <f t="shared" si="1"/>
        <v>42398</v>
      </c>
      <c r="W13" s="82">
        <f t="shared" si="1"/>
        <v>42399</v>
      </c>
      <c r="X13" s="96"/>
      <c r="Y13" s="56"/>
      <c r="AA13" s="97"/>
      <c r="AB13" t="s">
        <v>157</v>
      </c>
      <c r="AC13">
        <f>COUNT(B10,D10,B11,C11,B12:D12,B13:D13,B19:D19,B22,C22,D22,B23,D27,C28:D28,B29:D29,B30:D30,B31:D31,B37:D40,B45:D47,B48:C48,B49,C54:D54,B55:D56,R10:T11,S12:T12,R13:T13,R18:T21,R22,S27:T27,R28:S30,S31:T31,R37:T40,R45:T48,S49,T54,R55:T55, T28:T29)</f>
        <v>126</v>
      </c>
      <c r="AD13">
        <v>126</v>
      </c>
    </row>
    <row r="14" spans="1:30">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82" t="str">
        <f t="shared" si="1"/>
        <v/>
      </c>
      <c r="S14" s="82" t="str">
        <f t="shared" si="1"/>
        <v/>
      </c>
      <c r="T14" s="82" t="str">
        <f t="shared" si="1"/>
        <v/>
      </c>
      <c r="U14" s="82" t="str">
        <f t="shared" si="1"/>
        <v/>
      </c>
      <c r="V14" s="82" t="str">
        <f t="shared" si="1"/>
        <v/>
      </c>
      <c r="W14" s="82" t="str">
        <f t="shared" si="1"/>
        <v/>
      </c>
      <c r="X14" s="53"/>
      <c r="Y14" s="53"/>
      <c r="Z14" s="104"/>
      <c r="AA14" s="104"/>
      <c r="AB14" t="s">
        <v>118</v>
      </c>
      <c r="AC14">
        <f>COUNT(B29:B31,B38:B40,B45:B47,B55,R10:R11,R13,R19:R21,R28:R30,R38:R40,R45:R47)</f>
        <v>25</v>
      </c>
      <c r="AD14">
        <v>25</v>
      </c>
    </row>
    <row r="15" spans="1:30" ht="4.5" customHeight="1">
      <c r="A15" s="26"/>
      <c r="B15" s="26"/>
      <c r="C15" s="26"/>
      <c r="D15" s="26"/>
      <c r="E15" s="26"/>
      <c r="F15" s="26"/>
      <c r="G15" s="26"/>
      <c r="I15" s="17"/>
      <c r="J15" s="85"/>
      <c r="K15" s="54"/>
      <c r="L15" s="96"/>
      <c r="M15" s="96"/>
      <c r="N15" s="99"/>
      <c r="O15" s="99"/>
      <c r="P15" s="99"/>
      <c r="X15" s="57"/>
      <c r="Y15" s="57"/>
      <c r="Z15" s="104"/>
      <c r="AA15" s="104"/>
    </row>
    <row r="16" spans="1:30">
      <c r="A16" s="592">
        <f>DATE(YEAR(A7+35),MONTH(A7+35),1)</f>
        <v>42217</v>
      </c>
      <c r="B16" s="593"/>
      <c r="C16" s="593"/>
      <c r="D16" s="593"/>
      <c r="E16" s="593"/>
      <c r="F16" s="593"/>
      <c r="G16" s="594"/>
      <c r="H16" s="22"/>
      <c r="I16" s="17"/>
      <c r="J16" s="85"/>
      <c r="K16" s="54"/>
      <c r="L16" s="96"/>
      <c r="M16" s="96"/>
      <c r="N16" s="99"/>
      <c r="O16" s="99"/>
      <c r="P16" s="99"/>
      <c r="Q16" s="593">
        <f>DATE(YEAR(Q7+35),MONTH(Q7+35),1)</f>
        <v>42401</v>
      </c>
      <c r="R16" s="593"/>
      <c r="S16" s="593"/>
      <c r="T16" s="593"/>
      <c r="U16" s="593"/>
      <c r="V16" s="593"/>
      <c r="W16" s="593"/>
      <c r="X16" s="57"/>
      <c r="Y16" s="57"/>
      <c r="Z16" s="89"/>
      <c r="AA16" s="89"/>
      <c r="AB16" t="s">
        <v>60</v>
      </c>
      <c r="AC16">
        <f>COUNT(B11,D11,F11,B12,D12,F12,B13,D13,F13,B19,D19,F19,B22,D22,F22,B23,D27,F27,D28,F28,B29,D29,F29,B30,D30,F30,B31,D31,F36,B37,D37,F37,B38,D38,F38,B39,D39,F39,B40,D40,F40,B45:B49,D45,F45,D46,F46,D47,F47,D54,F54,B55,D55,F55,B56,D56,F56,D48,R10,T10,V10,R11,T11,V11,T12,V12,R13,T13,V13,R18,T18,V18,R19,T19,V19,R20,T20,V20,R21,T21,V21,R22,T27,V27,R28,T28,V28,R29,T29,V29,R30,T30,R31,T31,V31,R37,T37,V37,R38,T38,V38,R39,T39,V39,R40,T40,V40,R45,T45,V45,R46,T46,V46,R47,T47,V47,R48,T48,V48,T54,V54,R55,T55,V55)</f>
        <v>126</v>
      </c>
      <c r="AD16">
        <v>126</v>
      </c>
    </row>
    <row r="17" spans="1:30">
      <c r="A17" s="18" t="str">
        <f>$A$8</f>
        <v>Su</v>
      </c>
      <c r="B17" s="20" t="str">
        <f>$B$8</f>
        <v>M</v>
      </c>
      <c r="C17" s="20" t="str">
        <f>$C$8</f>
        <v>Tu</v>
      </c>
      <c r="D17" s="20" t="str">
        <f>$D$8</f>
        <v>W</v>
      </c>
      <c r="E17" s="20" t="str">
        <f>$E$8</f>
        <v>Th</v>
      </c>
      <c r="F17" s="20" t="str">
        <f>$F$8</f>
        <v>F</v>
      </c>
      <c r="G17" s="21"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c r="AB17" t="s">
        <v>62</v>
      </c>
      <c r="AC17">
        <f>COUNT(E27,C28,E28,C29,E29,C30,E30,C31,C22,E22,E36,C37,E37,C38,E38,C39,E39,C40,E40)</f>
        <v>19</v>
      </c>
      <c r="AD17">
        <v>19</v>
      </c>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82" t="str">
        <f t="shared" ref="Q18:W23" si="3">IF(MONTH($Q$16)&lt;&gt;MONTH($Q$16-(WEEKDAY($Q$16,1)-($I$4-1))-IF((WEEKDAY($Q$16,1)-($I$4-1))&lt;=0,7,0)+(ROW(Q18)-ROW($Q$18))*7+(COLUMN(Q18)-COLUMN($Q$18)+1)),"",$Q$16-(WEEKDAY($Q$16,1)-($I$4-1))-IF((WEEKDAY($Q$16,1)-($I$4-1))&lt;=0,7,0)+(ROW(Q18)-ROW($Q$18))*7+(COLUMN(Q18)-COLUMN($Q$18)+1))</f>
        <v/>
      </c>
      <c r="R18" s="81">
        <f t="shared" si="3"/>
        <v>42401</v>
      </c>
      <c r="S18" s="114">
        <f t="shared" si="3"/>
        <v>42402</v>
      </c>
      <c r="T18" s="82">
        <f t="shared" si="3"/>
        <v>42403</v>
      </c>
      <c r="U18" s="82">
        <f t="shared" si="3"/>
        <v>42404</v>
      </c>
      <c r="V18" s="348">
        <f t="shared" si="3"/>
        <v>42405</v>
      </c>
      <c r="W18" s="82">
        <f t="shared" si="3"/>
        <v>42406</v>
      </c>
      <c r="X18" s="291"/>
      <c r="Y18" s="56"/>
      <c r="Z18" s="88"/>
      <c r="AA18" s="88"/>
      <c r="AB18" t="s">
        <v>62</v>
      </c>
      <c r="AC18">
        <f>COUNT(S29:S31,U29:U31,S37:S40,U37:U39,S45:S48,U45:U48)</f>
        <v>21</v>
      </c>
      <c r="AD18">
        <v>21</v>
      </c>
    </row>
    <row r="19" spans="1:30" ht="15.75" thickBot="1">
      <c r="A19" s="320">
        <f t="shared" si="2"/>
        <v>42218</v>
      </c>
      <c r="B19" s="320">
        <f t="shared" si="2"/>
        <v>42219</v>
      </c>
      <c r="C19" s="320">
        <f t="shared" si="2"/>
        <v>42220</v>
      </c>
      <c r="D19" s="320">
        <f t="shared" si="2"/>
        <v>42221</v>
      </c>
      <c r="E19" s="320">
        <f t="shared" si="2"/>
        <v>42222</v>
      </c>
      <c r="F19" s="367">
        <f t="shared" si="2"/>
        <v>42223</v>
      </c>
      <c r="G19" s="320">
        <f t="shared" si="2"/>
        <v>42224</v>
      </c>
      <c r="H19" s="22"/>
      <c r="I19" s="17"/>
      <c r="M19" s="96"/>
      <c r="N19" s="99"/>
      <c r="O19" s="99"/>
      <c r="P19" s="99"/>
      <c r="Q19" s="82">
        <f t="shared" si="3"/>
        <v>42407</v>
      </c>
      <c r="R19" s="376">
        <f t="shared" si="3"/>
        <v>42408</v>
      </c>
      <c r="S19" s="126">
        <f t="shared" si="3"/>
        <v>42409</v>
      </c>
      <c r="T19" s="112">
        <f t="shared" si="3"/>
        <v>42410</v>
      </c>
      <c r="U19" s="82">
        <f t="shared" si="3"/>
        <v>42411</v>
      </c>
      <c r="V19" s="82">
        <f t="shared" si="3"/>
        <v>42412</v>
      </c>
      <c r="W19" s="82">
        <f t="shared" si="3"/>
        <v>42413</v>
      </c>
      <c r="X19" s="54"/>
      <c r="Y19" s="54"/>
      <c r="AA19" s="88"/>
      <c r="AB19" t="s">
        <v>159</v>
      </c>
      <c r="AC19">
        <f>COUNT(C22,E22,E27,C28,E28,C29,E29,C30,E30,C31,E36,C37,E37,C38,E38,C39,E39,C40,E40,C45,E45,C46,E46,C47,E47,C48,C54,E54,C55,E55,C56,E56,S10,U10, S11,U11,S12,U12,S13,U13,S18,U18,S19,U19,S20,U20,S21,U21,S27,U27,S28,U28,S29,U29,S30,S31,U31,S37,U37,S38,U38,S39,U39,S40,U40, S45,U45,S46,U46,S47,U47,S48,U48,S49,U54,S55)</f>
        <v>76</v>
      </c>
      <c r="AD19">
        <v>76</v>
      </c>
    </row>
    <row r="20" spans="1:30">
      <c r="A20" s="320">
        <f t="shared" si="2"/>
        <v>42225</v>
      </c>
      <c r="B20" s="367">
        <f t="shared" si="2"/>
        <v>42226</v>
      </c>
      <c r="C20" s="368">
        <f t="shared" si="2"/>
        <v>42227</v>
      </c>
      <c r="D20" s="368">
        <f t="shared" si="2"/>
        <v>42228</v>
      </c>
      <c r="E20" s="368">
        <f t="shared" si="2"/>
        <v>42229</v>
      </c>
      <c r="F20" s="368">
        <f t="shared" si="2"/>
        <v>42230</v>
      </c>
      <c r="G20" s="320">
        <f t="shared" si="2"/>
        <v>42231</v>
      </c>
      <c r="I20" s="17"/>
      <c r="J20" s="290"/>
      <c r="K20" s="54"/>
      <c r="L20" s="96"/>
      <c r="M20" s="96"/>
      <c r="N20" s="99"/>
      <c r="O20" s="99"/>
      <c r="P20" s="99"/>
      <c r="Q20" s="82">
        <f t="shared" si="3"/>
        <v>42414</v>
      </c>
      <c r="R20" s="369">
        <f t="shared" si="3"/>
        <v>42415</v>
      </c>
      <c r="S20" s="115">
        <f t="shared" si="3"/>
        <v>42416</v>
      </c>
      <c r="T20" s="82">
        <f t="shared" si="3"/>
        <v>42417</v>
      </c>
      <c r="U20" s="82">
        <f t="shared" si="3"/>
        <v>42418</v>
      </c>
      <c r="V20" s="82">
        <f t="shared" si="3"/>
        <v>42419</v>
      </c>
      <c r="W20" s="82">
        <f t="shared" si="3"/>
        <v>42420</v>
      </c>
      <c r="X20" s="56"/>
      <c r="Y20" s="56"/>
      <c r="Z20" s="87"/>
      <c r="AA20" s="87"/>
      <c r="AB20" t="s">
        <v>61</v>
      </c>
      <c r="AC20">
        <f>COUNT(B10:B13,D10:D13,B19,D19,B22,D22,B23,D27,D28:D31,B29:B31,B37:B40,D37:D40,B45:B47,D45:D47,B49,D54,B55,D55,T12,R13,T13,R18,T18,R19,T19,R20,T20,R21,T21,R22,T27,R28:R29,T28:T29,R31,T31,R37,T37,R38,T38,R39,T39,R40,T40,R45:R48,T45:T48,T54,R55,T55, R56,T56,R57)</f>
        <v>80</v>
      </c>
      <c r="AD20">
        <v>80</v>
      </c>
    </row>
    <row r="21" spans="1:30">
      <c r="A21" s="320">
        <f t="shared" si="2"/>
        <v>42232</v>
      </c>
      <c r="B21" s="368">
        <f t="shared" si="2"/>
        <v>42233</v>
      </c>
      <c r="C21" s="368">
        <f t="shared" si="2"/>
        <v>42234</v>
      </c>
      <c r="D21" s="368">
        <f t="shared" si="2"/>
        <v>42235</v>
      </c>
      <c r="E21" s="368">
        <f t="shared" si="2"/>
        <v>42236</v>
      </c>
      <c r="F21" s="367">
        <f t="shared" si="2"/>
        <v>42237</v>
      </c>
      <c r="G21" s="320">
        <f t="shared" si="2"/>
        <v>42238</v>
      </c>
      <c r="I21" s="17"/>
      <c r="J21" s="290"/>
      <c r="K21" s="54"/>
      <c r="L21" s="96"/>
      <c r="M21" s="96"/>
      <c r="N21" s="99"/>
      <c r="O21" s="99"/>
      <c r="P21" s="99"/>
      <c r="Q21" s="82">
        <f t="shared" si="3"/>
        <v>42421</v>
      </c>
      <c r="R21" s="369">
        <f t="shared" si="3"/>
        <v>42422</v>
      </c>
      <c r="S21" s="348">
        <f t="shared" si="3"/>
        <v>42423</v>
      </c>
      <c r="T21" s="82">
        <f t="shared" si="3"/>
        <v>42424</v>
      </c>
      <c r="U21" s="82">
        <f t="shared" si="3"/>
        <v>42425</v>
      </c>
      <c r="V21" s="82">
        <f t="shared" si="3"/>
        <v>42426</v>
      </c>
      <c r="W21" s="82">
        <f t="shared" si="3"/>
        <v>42427</v>
      </c>
      <c r="X21" s="375"/>
      <c r="Y21" s="54"/>
      <c r="Z21" s="99"/>
      <c r="AA21" s="99"/>
      <c r="AB21" t="s">
        <v>158</v>
      </c>
      <c r="AC21">
        <f>COUNT(B22,D22,B23,D27,D28,B29,D29,B30,D30,B31,D31,B37,D37,B38,D38,B39,D39,B40,D40,B45,D45,B10B46,D46,B47,D47,B48,B49,D54,B55,D55,B56,D56,R10,T10,R11,T11,T12,R13,T13,R18,T18,R19,T19,R20,T20,R21,T21,R22,T27,R28,T28,R29,T29,R30,T30,R31,T31,R37,T37,R38,T38,R39,T39,R40,T40,R45,T45,R46,T46,R47,T47,R48,T48,T54,R55,T55)</f>
        <v>75</v>
      </c>
      <c r="AD21">
        <v>76</v>
      </c>
    </row>
    <row r="22" spans="1:30">
      <c r="A22" s="82">
        <f t="shared" si="2"/>
        <v>42239</v>
      </c>
      <c r="B22" s="81">
        <f t="shared" si="2"/>
        <v>42240</v>
      </c>
      <c r="C22" s="82">
        <f t="shared" si="2"/>
        <v>42241</v>
      </c>
      <c r="D22" s="82">
        <f t="shared" si="2"/>
        <v>42242</v>
      </c>
      <c r="E22" s="82">
        <f t="shared" si="2"/>
        <v>42243</v>
      </c>
      <c r="F22" s="82">
        <f t="shared" si="2"/>
        <v>42244</v>
      </c>
      <c r="G22" s="82">
        <f t="shared" si="2"/>
        <v>42245</v>
      </c>
      <c r="I22" s="17"/>
      <c r="J22" s="317"/>
      <c r="K22" s="54"/>
      <c r="L22" s="96"/>
      <c r="M22" s="96"/>
      <c r="N22" s="99"/>
      <c r="O22" s="99"/>
      <c r="P22" s="99"/>
      <c r="Q22" s="82">
        <f t="shared" si="3"/>
        <v>42428</v>
      </c>
      <c r="R22" s="81">
        <f t="shared" si="3"/>
        <v>42429</v>
      </c>
      <c r="S22" s="82" t="str">
        <f t="shared" si="3"/>
        <v/>
      </c>
      <c r="T22" s="82" t="str">
        <f t="shared" si="3"/>
        <v/>
      </c>
      <c r="U22" s="82" t="str">
        <f t="shared" si="3"/>
        <v/>
      </c>
      <c r="V22" s="82" t="str">
        <f t="shared" si="3"/>
        <v/>
      </c>
      <c r="W22" s="82" t="str">
        <f t="shared" si="3"/>
        <v/>
      </c>
      <c r="X22" s="53"/>
      <c r="Y22" s="54"/>
      <c r="Z22" s="87"/>
      <c r="AA22" s="87"/>
      <c r="AB22" t="s">
        <v>120</v>
      </c>
      <c r="AD22" s="316" t="s">
        <v>155</v>
      </c>
    </row>
    <row r="23" spans="1:30">
      <c r="A23" s="82">
        <f t="shared" si="2"/>
        <v>42246</v>
      </c>
      <c r="B23" s="82">
        <f t="shared" si="2"/>
        <v>42247</v>
      </c>
      <c r="C23" s="82" t="str">
        <f t="shared" si="2"/>
        <v/>
      </c>
      <c r="D23" s="82" t="str">
        <f t="shared" si="2"/>
        <v/>
      </c>
      <c r="E23" s="82" t="str">
        <f t="shared" si="2"/>
        <v/>
      </c>
      <c r="F23" s="82" t="str">
        <f t="shared" si="2"/>
        <v/>
      </c>
      <c r="G23" s="82" t="str">
        <f t="shared" si="2"/>
        <v/>
      </c>
      <c r="I23" s="17"/>
      <c r="J23" s="85"/>
      <c r="K23" s="54"/>
      <c r="L23" s="96"/>
      <c r="M23" s="96"/>
      <c r="N23" s="99"/>
      <c r="O23" s="99"/>
      <c r="P23" s="99"/>
      <c r="Q23" s="115" t="str">
        <f t="shared" si="3"/>
        <v/>
      </c>
      <c r="R23" s="115" t="str">
        <f t="shared" si="3"/>
        <v/>
      </c>
      <c r="S23" s="115" t="str">
        <f t="shared" si="3"/>
        <v/>
      </c>
      <c r="T23" s="115" t="str">
        <f t="shared" si="3"/>
        <v/>
      </c>
      <c r="U23" s="115" t="str">
        <f t="shared" si="3"/>
        <v/>
      </c>
      <c r="V23" s="115" t="str">
        <f t="shared" si="3"/>
        <v/>
      </c>
      <c r="W23" s="115" t="str">
        <f t="shared" si="3"/>
        <v/>
      </c>
      <c r="X23" s="53"/>
      <c r="Y23" s="54"/>
      <c r="Z23" s="99"/>
      <c r="AA23" s="99"/>
      <c r="AB23" t="s">
        <v>151</v>
      </c>
      <c r="AC23">
        <f>COUNT(C19,E19,C28,E28,E27,E37,C37,C38,C45,E45,C46,C54,E54,C55,S10,S11,U10,S18,U18,S19,S27,S28,U27,S37,U37,S38,S45,U45,S48,U48,S49)+COUNT(C22,E22,C29,E29,C39,E39,C47,E47,E55,C56,S46,U46,S55,U54,U39,S39,S29,U29,S20,U20,U12,S12)</f>
        <v>53</v>
      </c>
      <c r="AD23" s="316" t="s">
        <v>154</v>
      </c>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B25" t="s">
        <v>2</v>
      </c>
      <c r="AC25">
        <f>COUNT(C10,C10:C13,E10:E13,C19,E19,C28:C31,E28:E30,C37:C39,E36:E39,C46:C47,E45:E47, S12:S13,U12:U13,S18:S20,U18:U20,S27:S29,U27:U29, S31,U31,S37:S40,U37:U39,S46:S48,U46:U47)</f>
        <v>60</v>
      </c>
      <c r="AD25" s="316">
        <v>60</v>
      </c>
    </row>
    <row r="26" spans="1:30">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B26" t="s">
        <v>127</v>
      </c>
      <c r="AC26">
        <f>COUNT(C10,C10:C13,E10:E13,C19,E19,C22,E22,C28:C31,E27:E30,C37:C40,E36:E40,C45:C47,E45:E47, S12:S13,U12:U13,S18:S21,U18:U20,S27:S29,U27:U29, S31,U31,S37:S40,U37:U39,S46:S48,U46:U48)</f>
        <v>68</v>
      </c>
      <c r="AD26" s="316">
        <v>68</v>
      </c>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114">
        <f t="shared" si="4"/>
        <v>42248</v>
      </c>
      <c r="D27" s="82">
        <f t="shared" si="4"/>
        <v>42249</v>
      </c>
      <c r="E27" s="82">
        <f t="shared" si="4"/>
        <v>42250</v>
      </c>
      <c r="F27" s="82">
        <f t="shared" si="4"/>
        <v>42251</v>
      </c>
      <c r="G27" s="82">
        <f t="shared" si="4"/>
        <v>42252</v>
      </c>
      <c r="I27" s="17"/>
      <c r="J27" s="317"/>
      <c r="K27" s="54"/>
      <c r="L27" s="96"/>
      <c r="M27" s="96"/>
      <c r="N27" s="99"/>
      <c r="O27" s="99"/>
      <c r="P27" s="99"/>
      <c r="Q27" s="82" t="str">
        <f t="shared" ref="Q27:W32" si="5">IF(MONTH($Q$25)&lt;&gt;MONTH($Q$25-(WEEKDAY($Q$25,1)-($I$4-1))-IF((WEEKDAY($Q$25,1)-($I$4-1))&lt;=0,7,0)+(ROW(Q27)-ROW($Q$27))*7+(COLUMN(Q27)-COLUMN($Q$27)+1)),"",$Q$25-(WEEKDAY($Q$25,1)-($I$4-1))-IF((WEEKDAY($Q$25,1)-($I$4-1))&lt;=0,7,0)+(ROW(Q27)-ROW($Q$27))*7+(COLUMN(Q27)-COLUMN($Q$27)+1))</f>
        <v/>
      </c>
      <c r="R27" s="82" t="str">
        <f t="shared" si="5"/>
        <v/>
      </c>
      <c r="S27" s="114">
        <f t="shared" si="5"/>
        <v>42430</v>
      </c>
      <c r="T27" s="82">
        <f t="shared" si="5"/>
        <v>42431</v>
      </c>
      <c r="U27" s="82">
        <f t="shared" si="5"/>
        <v>42432</v>
      </c>
      <c r="V27" s="82">
        <f t="shared" si="5"/>
        <v>42433</v>
      </c>
      <c r="W27" s="82">
        <f t="shared" si="5"/>
        <v>42434</v>
      </c>
      <c r="X27" s="54"/>
      <c r="Y27" s="54"/>
      <c r="Z27" s="97"/>
      <c r="AA27" s="97"/>
      <c r="AB27" t="s">
        <v>128</v>
      </c>
      <c r="AC27">
        <f>COUNT(C10,C10:C13,E10:E13,C19,E19,C28:C31,E28:E30,C37:C39,E36:E39,C46:C47,E45:E47, S12:S13,U12:U13,S18:S20,U18:U20,S27:S29,U27:U29, S31,U31,S37:S40,U37:U39,S46:S48,U46:U47)</f>
        <v>60</v>
      </c>
      <c r="AD27" s="316">
        <v>60</v>
      </c>
    </row>
    <row r="28" spans="1:30" ht="15.75" thickBot="1">
      <c r="A28" s="111">
        <f t="shared" si="4"/>
        <v>42253</v>
      </c>
      <c r="B28" s="377">
        <f t="shared" si="4"/>
        <v>42254</v>
      </c>
      <c r="C28" s="114">
        <f t="shared" si="4"/>
        <v>42255</v>
      </c>
      <c r="D28" s="379">
        <f t="shared" si="4"/>
        <v>42256</v>
      </c>
      <c r="E28" s="82">
        <f t="shared" si="4"/>
        <v>42257</v>
      </c>
      <c r="F28" s="82">
        <f t="shared" si="4"/>
        <v>42258</v>
      </c>
      <c r="G28" s="112">
        <f t="shared" si="4"/>
        <v>42259</v>
      </c>
      <c r="I28" s="17"/>
      <c r="J28" s="290"/>
      <c r="K28" s="54"/>
      <c r="L28" s="96"/>
      <c r="M28" s="96"/>
      <c r="N28" s="87"/>
      <c r="O28" s="87"/>
      <c r="P28" s="99"/>
      <c r="Q28" s="82">
        <f t="shared" si="5"/>
        <v>42435</v>
      </c>
      <c r="R28" s="376">
        <f t="shared" si="5"/>
        <v>42436</v>
      </c>
      <c r="S28" s="126">
        <f t="shared" si="5"/>
        <v>42437</v>
      </c>
      <c r="T28" s="379">
        <f t="shared" si="5"/>
        <v>42438</v>
      </c>
      <c r="U28" s="82">
        <f t="shared" si="5"/>
        <v>42439</v>
      </c>
      <c r="V28" s="82">
        <f t="shared" si="5"/>
        <v>42440</v>
      </c>
      <c r="W28" s="82">
        <f t="shared" si="5"/>
        <v>42441</v>
      </c>
      <c r="X28" s="291"/>
      <c r="Y28" s="56"/>
      <c r="Z28" s="96"/>
      <c r="AA28" s="88"/>
      <c r="AB28" s="99" t="s">
        <v>142</v>
      </c>
      <c r="AD28" s="316" t="s">
        <v>143</v>
      </c>
    </row>
    <row r="29" spans="1:30" ht="15.75" thickBot="1">
      <c r="A29" s="111">
        <f t="shared" si="4"/>
        <v>42260</v>
      </c>
      <c r="B29" s="376">
        <f t="shared" si="4"/>
        <v>42261</v>
      </c>
      <c r="C29" s="126">
        <f t="shared" si="4"/>
        <v>42262</v>
      </c>
      <c r="D29" s="112">
        <f t="shared" si="4"/>
        <v>42263</v>
      </c>
      <c r="E29" s="82">
        <f t="shared" si="4"/>
        <v>42264</v>
      </c>
      <c r="F29" s="82">
        <f t="shared" si="4"/>
        <v>42265</v>
      </c>
      <c r="G29" s="112">
        <f t="shared" si="4"/>
        <v>42266</v>
      </c>
      <c r="I29" s="17"/>
      <c r="J29" s="85"/>
      <c r="K29" s="54"/>
      <c r="L29" s="96"/>
      <c r="M29" s="96"/>
      <c r="N29" s="87"/>
      <c r="O29" s="87"/>
      <c r="P29" s="99"/>
      <c r="Q29" s="82">
        <f t="shared" si="5"/>
        <v>42442</v>
      </c>
      <c r="R29" s="369">
        <f t="shared" si="5"/>
        <v>42443</v>
      </c>
      <c r="S29" s="115">
        <f t="shared" si="5"/>
        <v>42444</v>
      </c>
      <c r="T29" s="82">
        <f t="shared" si="5"/>
        <v>42445</v>
      </c>
      <c r="U29" s="82">
        <f t="shared" si="5"/>
        <v>42446</v>
      </c>
      <c r="V29" s="82">
        <f t="shared" si="5"/>
        <v>42447</v>
      </c>
      <c r="W29" s="82">
        <f t="shared" si="5"/>
        <v>42448</v>
      </c>
      <c r="X29" s="96"/>
      <c r="Y29" s="56"/>
      <c r="AA29" s="88"/>
      <c r="AB29" s="99" t="s">
        <v>147</v>
      </c>
      <c r="AC29">
        <f>COUNT(F30,F39,F47,V19,V28,V37,V46)</f>
        <v>7</v>
      </c>
      <c r="AD29" s="316" t="s">
        <v>148</v>
      </c>
    </row>
    <row r="30" spans="1:30">
      <c r="A30" s="111">
        <f t="shared" si="4"/>
        <v>42267</v>
      </c>
      <c r="B30" s="369">
        <f t="shared" si="4"/>
        <v>42268</v>
      </c>
      <c r="C30" s="115">
        <f t="shared" si="4"/>
        <v>42269</v>
      </c>
      <c r="D30" s="82">
        <f t="shared" si="4"/>
        <v>42270</v>
      </c>
      <c r="E30" s="348">
        <f t="shared" si="4"/>
        <v>42271</v>
      </c>
      <c r="F30" s="82">
        <f t="shared" si="4"/>
        <v>42272</v>
      </c>
      <c r="G30" s="112">
        <f t="shared" si="4"/>
        <v>42273</v>
      </c>
      <c r="H30" s="23"/>
      <c r="I30" s="24"/>
      <c r="J30" s="96"/>
      <c r="K30" s="96"/>
      <c r="L30" s="87"/>
      <c r="M30" s="87"/>
      <c r="P30" s="99"/>
      <c r="Q30" s="82">
        <f t="shared" si="5"/>
        <v>42449</v>
      </c>
      <c r="R30" s="369">
        <f t="shared" si="5"/>
        <v>42450</v>
      </c>
      <c r="S30" s="82">
        <f t="shared" si="5"/>
        <v>42451</v>
      </c>
      <c r="T30" s="82">
        <f t="shared" si="5"/>
        <v>42452</v>
      </c>
      <c r="U30" s="348">
        <f t="shared" si="5"/>
        <v>42453</v>
      </c>
      <c r="V30" s="84">
        <f t="shared" si="5"/>
        <v>42454</v>
      </c>
      <c r="W30" s="82">
        <f t="shared" si="5"/>
        <v>42455</v>
      </c>
      <c r="X30" s="291"/>
      <c r="Y30" s="56"/>
      <c r="Z30" s="88"/>
      <c r="AA30" s="88"/>
      <c r="AB30" s="99" t="s">
        <v>152</v>
      </c>
      <c r="AD30" s="316" t="s">
        <v>153</v>
      </c>
    </row>
    <row r="31" spans="1:30">
      <c r="A31" s="82">
        <f t="shared" si="4"/>
        <v>42274</v>
      </c>
      <c r="B31" s="369">
        <f t="shared" si="4"/>
        <v>42275</v>
      </c>
      <c r="C31" s="82">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81">
        <f t="shared" si="5"/>
        <v>42457</v>
      </c>
      <c r="S31" s="82">
        <f t="shared" si="5"/>
        <v>42458</v>
      </c>
      <c r="T31" s="82">
        <f t="shared" si="5"/>
        <v>42459</v>
      </c>
      <c r="U31" s="82">
        <f t="shared" si="5"/>
        <v>42460</v>
      </c>
      <c r="V31" s="82" t="str">
        <f t="shared" si="5"/>
        <v/>
      </c>
      <c r="W31" s="82" t="str">
        <f t="shared" si="5"/>
        <v/>
      </c>
      <c r="X31" s="317"/>
      <c r="Y31" s="55"/>
      <c r="Z31" s="99"/>
      <c r="AA31" s="99"/>
      <c r="AB31" s="99" t="s">
        <v>15</v>
      </c>
      <c r="AD31" s="316" t="s">
        <v>146</v>
      </c>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8"/>
      <c r="Y32" s="55"/>
      <c r="Z32" s="99"/>
      <c r="AA32" s="99"/>
      <c r="AB32" s="99" t="s">
        <v>14</v>
      </c>
      <c r="AD32" s="316" t="s">
        <v>145</v>
      </c>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X34" s="319"/>
      <c r="Y34" s="54"/>
      <c r="Z34" s="99"/>
      <c r="AA34" s="99"/>
      <c r="AB34" s="99" t="s">
        <v>141</v>
      </c>
      <c r="AD34" s="316" t="s">
        <v>144</v>
      </c>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t="s">
        <v>149</v>
      </c>
      <c r="AD35" s="316" t="s">
        <v>150</v>
      </c>
    </row>
    <row r="36" spans="1:30" ht="15.75" thickBot="1">
      <c r="A36" s="111"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82">
        <f t="shared" si="6"/>
        <v>42278</v>
      </c>
      <c r="F36" s="82">
        <f t="shared" si="6"/>
        <v>42279</v>
      </c>
      <c r="G36" s="112">
        <f t="shared" si="6"/>
        <v>42280</v>
      </c>
      <c r="H36" s="46"/>
      <c r="I36" s="47"/>
      <c r="J36" s="85"/>
      <c r="K36" s="85"/>
      <c r="L36" s="96"/>
      <c r="M36" s="96"/>
      <c r="N36" s="99"/>
      <c r="O36" s="99"/>
      <c r="P36" s="99"/>
      <c r="Q36" s="82" t="str">
        <f t="shared" ref="Q36:W41" si="7">IF(MONTH($Q$34)&lt;&gt;MONTH($Q$34-(WEEKDAY($Q$34,1)-($I$4-1))-IF((WEEKDAY($Q$34,1)-($I$4-1))&lt;=0,7,0)+(ROW(Q36)-ROW($Q$36))*7+(COLUMN(Q36)-COLUMN($Q$36)+1)),"",$Q$34-(WEEKDAY($Q$34,1)-($I$4-1))-IF((WEEKDAY($Q$34,1)-($I$4-1))&lt;=0,7,0)+(ROW(Q36)-ROW($Q$36))*7+(COLUMN(Q36)-COLUMN($Q$36)+1))</f>
        <v/>
      </c>
      <c r="R36" s="82" t="str">
        <f t="shared" si="7"/>
        <v/>
      </c>
      <c r="S36" s="82" t="str">
        <f t="shared" si="7"/>
        <v/>
      </c>
      <c r="T36" s="82" t="str">
        <f t="shared" si="7"/>
        <v/>
      </c>
      <c r="U36" s="83" t="str">
        <f t="shared" si="7"/>
        <v/>
      </c>
      <c r="V36" s="82">
        <f t="shared" si="7"/>
        <v>42461</v>
      </c>
      <c r="W36" s="82">
        <f t="shared" si="7"/>
        <v>42462</v>
      </c>
      <c r="X36" s="57"/>
      <c r="Y36" s="55"/>
      <c r="Z36" s="99"/>
      <c r="AA36" s="99"/>
      <c r="AB36" s="99"/>
    </row>
    <row r="37" spans="1:30" ht="15.75" thickBot="1">
      <c r="A37" s="111">
        <f t="shared" si="6"/>
        <v>42281</v>
      </c>
      <c r="B37" s="81">
        <f t="shared" si="6"/>
        <v>42282</v>
      </c>
      <c r="C37" s="114">
        <f t="shared" si="6"/>
        <v>42283</v>
      </c>
      <c r="D37" s="82">
        <f t="shared" si="6"/>
        <v>42284</v>
      </c>
      <c r="E37" s="82">
        <f t="shared" si="6"/>
        <v>42285</v>
      </c>
      <c r="F37" s="348">
        <f t="shared" si="6"/>
        <v>42286</v>
      </c>
      <c r="G37" s="112">
        <f t="shared" si="6"/>
        <v>42287</v>
      </c>
      <c r="I37" s="17"/>
      <c r="J37" s="290"/>
      <c r="K37" s="107"/>
      <c r="L37" s="101"/>
      <c r="M37" s="101"/>
      <c r="N37" s="99"/>
      <c r="O37" s="99"/>
      <c r="P37" s="99"/>
      <c r="Q37" s="82">
        <f t="shared" si="7"/>
        <v>42463</v>
      </c>
      <c r="R37" s="81">
        <f t="shared" si="7"/>
        <v>42464</v>
      </c>
      <c r="S37" s="114">
        <f t="shared" si="7"/>
        <v>42465</v>
      </c>
      <c r="T37" s="82">
        <f t="shared" si="7"/>
        <v>42466</v>
      </c>
      <c r="U37" s="82">
        <f t="shared" si="7"/>
        <v>42467</v>
      </c>
      <c r="V37" s="348">
        <f t="shared" si="7"/>
        <v>42468</v>
      </c>
      <c r="W37" s="82">
        <f t="shared" si="7"/>
        <v>42469</v>
      </c>
      <c r="X37" s="291"/>
      <c r="Y37" s="56"/>
      <c r="Z37" s="88"/>
      <c r="AA37" s="88"/>
      <c r="AB37" s="99"/>
    </row>
    <row r="38" spans="1:30" ht="15.75" thickBot="1">
      <c r="A38" s="111">
        <f t="shared" si="6"/>
        <v>42288</v>
      </c>
      <c r="B38" s="376">
        <f t="shared" si="6"/>
        <v>42289</v>
      </c>
      <c r="C38" s="126">
        <f t="shared" si="6"/>
        <v>42290</v>
      </c>
      <c r="D38" s="112">
        <f t="shared" si="6"/>
        <v>42291</v>
      </c>
      <c r="E38" s="82">
        <f t="shared" si="6"/>
        <v>42292</v>
      </c>
      <c r="F38" s="82">
        <f t="shared" si="6"/>
        <v>42293</v>
      </c>
      <c r="G38" s="112">
        <f t="shared" si="6"/>
        <v>42294</v>
      </c>
      <c r="H38" s="27"/>
      <c r="I38" s="28"/>
      <c r="J38" s="85"/>
      <c r="K38" s="85"/>
      <c r="L38" s="96"/>
      <c r="M38" s="96"/>
      <c r="N38" s="87"/>
      <c r="O38" s="87"/>
      <c r="P38" s="99"/>
      <c r="Q38" s="82">
        <f t="shared" si="7"/>
        <v>42470</v>
      </c>
      <c r="R38" s="376">
        <f t="shared" si="7"/>
        <v>42471</v>
      </c>
      <c r="S38" s="126">
        <f t="shared" si="7"/>
        <v>42472</v>
      </c>
      <c r="T38" s="112">
        <f t="shared" si="7"/>
        <v>42473</v>
      </c>
      <c r="U38" s="82">
        <f t="shared" si="7"/>
        <v>42474</v>
      </c>
      <c r="V38" s="82">
        <f t="shared" si="7"/>
        <v>42475</v>
      </c>
      <c r="W38" s="82">
        <f t="shared" si="7"/>
        <v>42476</v>
      </c>
      <c r="X38" s="96"/>
      <c r="Y38" s="56"/>
      <c r="AA38" s="88"/>
      <c r="AB38" s="99"/>
    </row>
    <row r="39" spans="1:30">
      <c r="A39" s="111">
        <f t="shared" si="6"/>
        <v>42295</v>
      </c>
      <c r="B39" s="369">
        <f t="shared" si="6"/>
        <v>42296</v>
      </c>
      <c r="C39" s="115">
        <f t="shared" si="6"/>
        <v>42297</v>
      </c>
      <c r="D39" s="82">
        <f t="shared" si="6"/>
        <v>42298</v>
      </c>
      <c r="E39" s="82">
        <f t="shared" si="6"/>
        <v>42299</v>
      </c>
      <c r="F39" s="348">
        <f>IF(MONTH($A$34)&lt;&gt;MONTH($A$34-(WEEKDAY($A$34,1)-($I$4-1))-IF((WEEKDAY($A$34,1)-($I$4-1))&lt;=0,7,0)+(ROW(F39)-ROW($A$36))*7+(COLUMN(F39)-COLUMN($A$36)+1)),"",$A$34-(WEEKDAY($A$34,1)-($I$4-1))-IF((WEEKDAY($A$34,1)-($I$4-1))&lt;=0,7,0)+(ROW(F39)-ROW($A$36))*7+(COLUMN(F39)-COLUMN($A$36)+1))</f>
        <v>42300</v>
      </c>
      <c r="G39" s="112">
        <f t="shared" si="6"/>
        <v>42301</v>
      </c>
      <c r="H39" s="22"/>
      <c r="I39" s="17"/>
      <c r="J39" s="96"/>
      <c r="K39" s="85"/>
      <c r="M39" s="96"/>
      <c r="N39" s="87"/>
      <c r="O39" s="87"/>
      <c r="P39" s="99"/>
      <c r="Q39" s="82">
        <f t="shared" si="7"/>
        <v>42477</v>
      </c>
      <c r="R39" s="369">
        <f t="shared" si="7"/>
        <v>42478</v>
      </c>
      <c r="S39" s="115">
        <f t="shared" si="7"/>
        <v>42479</v>
      </c>
      <c r="T39" s="82">
        <f t="shared" si="7"/>
        <v>42480</v>
      </c>
      <c r="U39" s="82">
        <f t="shared" si="7"/>
        <v>42481</v>
      </c>
      <c r="V39" s="348">
        <f t="shared" si="7"/>
        <v>42482</v>
      </c>
      <c r="W39" s="82">
        <f t="shared" si="7"/>
        <v>42483</v>
      </c>
      <c r="X39" s="291"/>
      <c r="Y39" s="56"/>
      <c r="Z39" s="88"/>
      <c r="AA39" s="88"/>
      <c r="AB39" s="99"/>
      <c r="AC39" s="321"/>
    </row>
    <row r="40" spans="1:30">
      <c r="A40" s="111">
        <f t="shared" si="6"/>
        <v>42302</v>
      </c>
      <c r="B40" s="369">
        <f t="shared" si="6"/>
        <v>42303</v>
      </c>
      <c r="C40" s="82">
        <f t="shared" si="6"/>
        <v>42304</v>
      </c>
      <c r="D40" s="82">
        <f t="shared" si="6"/>
        <v>42305</v>
      </c>
      <c r="E40" s="82">
        <f t="shared" si="6"/>
        <v>42306</v>
      </c>
      <c r="F40" s="82">
        <f t="shared" si="6"/>
        <v>42307</v>
      </c>
      <c r="G40" s="112">
        <f t="shared" si="6"/>
        <v>42308</v>
      </c>
      <c r="H40" s="23"/>
      <c r="I40" s="24"/>
      <c r="J40" s="317"/>
      <c r="K40" s="55"/>
      <c r="L40" s="96"/>
      <c r="M40" s="96"/>
      <c r="N40" s="87"/>
      <c r="O40" s="87"/>
      <c r="P40" s="99"/>
      <c r="Q40" s="82">
        <f t="shared" si="7"/>
        <v>42484</v>
      </c>
      <c r="R40" s="369">
        <f t="shared" si="7"/>
        <v>42485</v>
      </c>
      <c r="S40" s="82">
        <f t="shared" si="7"/>
        <v>42486</v>
      </c>
      <c r="T40" s="82">
        <f t="shared" si="7"/>
        <v>42487</v>
      </c>
      <c r="U40" s="82">
        <f t="shared" si="7"/>
        <v>42488</v>
      </c>
      <c r="V40" s="82">
        <f t="shared" si="7"/>
        <v>42489</v>
      </c>
      <c r="W40" s="82">
        <f t="shared" si="7"/>
        <v>42490</v>
      </c>
      <c r="X40" s="108"/>
      <c r="Y40" s="54"/>
      <c r="Z40" s="97"/>
      <c r="AA40" s="97"/>
      <c r="AB40" s="99"/>
      <c r="AC40" s="97"/>
    </row>
    <row r="41" spans="1:30">
      <c r="A41" s="84" t="str">
        <f t="shared" si="6"/>
        <v/>
      </c>
      <c r="B41" s="82" t="str">
        <f t="shared" si="6"/>
        <v/>
      </c>
      <c r="C41" s="84" t="str">
        <f t="shared" si="6"/>
        <v/>
      </c>
      <c r="D41" s="84" t="str">
        <f t="shared" si="6"/>
        <v/>
      </c>
      <c r="E41" s="84" t="str">
        <f t="shared" si="6"/>
        <v/>
      </c>
      <c r="F41" s="84" t="str">
        <f t="shared" si="6"/>
        <v/>
      </c>
      <c r="G41" s="84"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369">
        <f t="shared" si="8"/>
        <v>42310</v>
      </c>
      <c r="C45" s="114">
        <f t="shared" si="8"/>
        <v>42311</v>
      </c>
      <c r="D45" s="82">
        <f t="shared" si="8"/>
        <v>42312</v>
      </c>
      <c r="E45" s="348">
        <f t="shared" si="8"/>
        <v>42313</v>
      </c>
      <c r="F45" s="82">
        <f t="shared" si="8"/>
        <v>42314</v>
      </c>
      <c r="G45" s="112">
        <f t="shared" si="8"/>
        <v>42315</v>
      </c>
      <c r="I45" s="17"/>
      <c r="J45" s="290"/>
      <c r="K45" s="54"/>
      <c r="L45" s="96"/>
      <c r="M45" s="96"/>
      <c r="N45" s="99"/>
      <c r="O45" s="99"/>
      <c r="P45" s="99"/>
      <c r="Q45" s="82">
        <f t="shared" ref="Q45:W50" si="9">IF(MONTH($Q$43)&lt;&gt;MONTH($Q$43-(WEEKDAY($Q$43,1)-($I$4-1))-IF((WEEKDAY($Q$43,1)-($I$4-1))&lt;=0,7,0)+(ROW(Q45)-ROW($Q$45))*7+(COLUMN(Q45)-COLUMN($Q$45)+1)),"",$Q$43-(WEEKDAY($Q$43,1)-($I$4-1))-IF((WEEKDAY($Q$43,1)-($I$4-1))&lt;=0,7,0)+(ROW(Q45)-ROW($Q$45))*7+(COLUMN(Q45)-COLUMN($Q$45)+1))</f>
        <v>42491</v>
      </c>
      <c r="R45" s="369">
        <f t="shared" si="9"/>
        <v>42492</v>
      </c>
      <c r="S45" s="114">
        <f t="shared" si="9"/>
        <v>42493</v>
      </c>
      <c r="T45" s="82">
        <f t="shared" si="9"/>
        <v>42494</v>
      </c>
      <c r="U45" s="82">
        <f t="shared" si="9"/>
        <v>42495</v>
      </c>
      <c r="V45" s="82">
        <f t="shared" si="9"/>
        <v>42496</v>
      </c>
      <c r="W45" s="82">
        <f t="shared" si="9"/>
        <v>42497</v>
      </c>
      <c r="X45" s="54"/>
      <c r="Y45" s="54"/>
      <c r="Z45" s="99"/>
      <c r="AA45" s="99"/>
      <c r="AB45" s="99"/>
    </row>
    <row r="46" spans="1:30" ht="15.75" thickBot="1">
      <c r="A46" s="111">
        <f t="shared" si="8"/>
        <v>42316</v>
      </c>
      <c r="B46" s="376">
        <f t="shared" si="8"/>
        <v>42317</v>
      </c>
      <c r="C46" s="126">
        <f t="shared" si="8"/>
        <v>42318</v>
      </c>
      <c r="D46" s="112">
        <f t="shared" si="8"/>
        <v>42319</v>
      </c>
      <c r="E46" s="82">
        <f t="shared" si="8"/>
        <v>42320</v>
      </c>
      <c r="F46" s="82">
        <f t="shared" si="8"/>
        <v>42321</v>
      </c>
      <c r="G46" s="112">
        <f t="shared" si="8"/>
        <v>42322</v>
      </c>
      <c r="I46" s="17"/>
      <c r="J46" s="85"/>
      <c r="K46" s="85"/>
      <c r="L46" s="96"/>
      <c r="M46" s="96"/>
      <c r="N46" s="99"/>
      <c r="O46" s="99"/>
      <c r="P46" s="99"/>
      <c r="Q46" s="82">
        <f t="shared" si="9"/>
        <v>42498</v>
      </c>
      <c r="R46" s="378">
        <f t="shared" si="9"/>
        <v>42499</v>
      </c>
      <c r="S46" s="126">
        <f t="shared" si="9"/>
        <v>42500</v>
      </c>
      <c r="T46" s="112">
        <f t="shared" si="9"/>
        <v>42501</v>
      </c>
      <c r="U46" s="82">
        <f t="shared" si="9"/>
        <v>42502</v>
      </c>
      <c r="V46" s="82">
        <f t="shared" si="9"/>
        <v>42503</v>
      </c>
      <c r="W46" s="82">
        <f t="shared" si="9"/>
        <v>42504</v>
      </c>
      <c r="X46" s="291"/>
      <c r="Y46" s="55"/>
      <c r="Z46" s="97"/>
      <c r="AA46" s="97"/>
      <c r="AB46" s="99"/>
    </row>
    <row r="47" spans="1:30">
      <c r="A47" s="111">
        <f t="shared" si="8"/>
        <v>42323</v>
      </c>
      <c r="B47" s="369">
        <f t="shared" si="8"/>
        <v>42324</v>
      </c>
      <c r="C47" s="115">
        <f t="shared" si="8"/>
        <v>42325</v>
      </c>
      <c r="D47" s="82">
        <f t="shared" si="8"/>
        <v>42326</v>
      </c>
      <c r="E47" s="348">
        <f t="shared" si="8"/>
        <v>42327</v>
      </c>
      <c r="F47" s="82">
        <f t="shared" si="8"/>
        <v>42328</v>
      </c>
      <c r="G47" s="112">
        <f t="shared" si="8"/>
        <v>42329</v>
      </c>
      <c r="I47" s="17"/>
      <c r="J47" s="96"/>
      <c r="K47" s="85"/>
      <c r="M47" s="96"/>
      <c r="N47" s="99"/>
      <c r="O47" s="99"/>
      <c r="P47" s="99"/>
      <c r="Q47" s="82">
        <f t="shared" si="9"/>
        <v>42505</v>
      </c>
      <c r="R47" s="369">
        <f t="shared" si="9"/>
        <v>42506</v>
      </c>
      <c r="S47" s="115">
        <f t="shared" si="9"/>
        <v>42507</v>
      </c>
      <c r="T47" s="82">
        <f t="shared" si="9"/>
        <v>42508</v>
      </c>
      <c r="U47" s="82">
        <f t="shared" si="9"/>
        <v>42509</v>
      </c>
      <c r="V47" s="82">
        <f t="shared" si="9"/>
        <v>42510</v>
      </c>
      <c r="W47" s="82">
        <f t="shared" si="9"/>
        <v>42511</v>
      </c>
      <c r="X47" s="96"/>
      <c r="Y47" s="56"/>
      <c r="AA47" s="88"/>
      <c r="AB47" s="99"/>
    </row>
    <row r="48" spans="1:30">
      <c r="A48" s="111">
        <f t="shared" si="8"/>
        <v>42330</v>
      </c>
      <c r="B48" s="368">
        <f t="shared" si="8"/>
        <v>42331</v>
      </c>
      <c r="C48" s="368">
        <f t="shared" si="8"/>
        <v>42332</v>
      </c>
      <c r="D48" s="368">
        <f t="shared" si="8"/>
        <v>42333</v>
      </c>
      <c r="E48" s="368">
        <f t="shared" si="8"/>
        <v>42334</v>
      </c>
      <c r="F48" s="368">
        <f t="shared" si="8"/>
        <v>42335</v>
      </c>
      <c r="G48" s="112">
        <f t="shared" si="8"/>
        <v>42336</v>
      </c>
      <c r="I48" s="17"/>
      <c r="J48" s="290"/>
      <c r="K48" s="85"/>
      <c r="L48" s="96"/>
      <c r="M48" s="96"/>
      <c r="N48" s="99"/>
      <c r="O48" s="99"/>
      <c r="P48" s="99"/>
      <c r="Q48" s="82">
        <f t="shared" si="9"/>
        <v>42512</v>
      </c>
      <c r="R48" s="81">
        <f t="shared" si="9"/>
        <v>42513</v>
      </c>
      <c r="S48" s="348">
        <f t="shared" si="9"/>
        <v>42514</v>
      </c>
      <c r="T48" s="82">
        <f t="shared" si="9"/>
        <v>42515</v>
      </c>
      <c r="U48" s="82">
        <f t="shared" si="9"/>
        <v>42516</v>
      </c>
      <c r="V48" s="82">
        <f t="shared" si="9"/>
        <v>42517</v>
      </c>
      <c r="W48" s="82">
        <f t="shared" si="9"/>
        <v>42518</v>
      </c>
      <c r="X48" s="375"/>
      <c r="Y48" s="54"/>
      <c r="Z48" s="97"/>
      <c r="AA48" s="97"/>
      <c r="AB48" s="99"/>
    </row>
    <row r="49" spans="1:29">
      <c r="A49" s="111">
        <f t="shared" si="8"/>
        <v>42337</v>
      </c>
      <c r="B49" s="81">
        <f>IF(MONTH($A$43)&lt;&gt;MONTH($A$43-(WEEKDAY($A$43,1)-($I$4-1))-IF((WEEKDAY($A$43,1)-($I$4-1))&lt;=0,7,0)+(ROW(B49)-ROW($A$45))*7+(COLUMN(B49)-COLUMN($A$45)+1)),"",$A$43-(WEEKDAY($A$43,1)-($I$4-1))-IF((WEEKDAY($A$43,1)-($I$4-1))&lt;=0,7,0)+(ROW(B49)-ROW($A$45))*7+(COLUMN(B49)-COLUMN($A$45)+1))</f>
        <v>42338</v>
      </c>
      <c r="C49" s="82" t="str">
        <f t="shared" si="8"/>
        <v/>
      </c>
      <c r="D49" s="90" t="str">
        <f t="shared" si="8"/>
        <v/>
      </c>
      <c r="E49" s="90" t="str">
        <f t="shared" si="8"/>
        <v/>
      </c>
      <c r="F49" s="90" t="str">
        <f t="shared" si="8"/>
        <v/>
      </c>
      <c r="G49" s="371" t="str">
        <f t="shared" si="8"/>
        <v/>
      </c>
      <c r="I49" s="17"/>
      <c r="J49" s="317"/>
      <c r="K49" s="85"/>
      <c r="L49" s="96"/>
      <c r="M49" s="96"/>
      <c r="N49" s="99"/>
      <c r="O49" s="99"/>
      <c r="P49" s="99"/>
      <c r="Q49" s="82">
        <f t="shared" si="9"/>
        <v>42519</v>
      </c>
      <c r="R49" s="368">
        <f t="shared" si="9"/>
        <v>42520</v>
      </c>
      <c r="S49" s="82">
        <f t="shared" si="9"/>
        <v>42521</v>
      </c>
      <c r="T49" s="82" t="str">
        <f t="shared" si="9"/>
        <v/>
      </c>
      <c r="U49" s="82" t="str">
        <f t="shared" si="9"/>
        <v/>
      </c>
      <c r="V49" s="82" t="str">
        <f t="shared" si="9"/>
        <v/>
      </c>
      <c r="W49" s="82" t="str">
        <f t="shared" si="9"/>
        <v/>
      </c>
      <c r="X49" s="109"/>
      <c r="Y49" s="56"/>
      <c r="Z49" s="88"/>
      <c r="AA49" s="88"/>
      <c r="AB49" s="99"/>
    </row>
    <row r="50" spans="1:29">
      <c r="A50" s="82" t="str">
        <f t="shared" si="8"/>
        <v/>
      </c>
      <c r="B50" s="115" t="str">
        <f t="shared" si="8"/>
        <v/>
      </c>
      <c r="C50" s="115" t="str">
        <f t="shared" si="8"/>
        <v/>
      </c>
      <c r="D50" s="115" t="str">
        <f t="shared" si="8"/>
        <v/>
      </c>
      <c r="E50" s="115" t="str">
        <f t="shared" si="8"/>
        <v/>
      </c>
      <c r="F50" s="115" t="str">
        <f t="shared" si="8"/>
        <v/>
      </c>
      <c r="G50" s="82" t="str">
        <f t="shared" si="8"/>
        <v/>
      </c>
      <c r="I50" s="17"/>
      <c r="J50" s="3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c r="A54" s="82" t="str">
        <f t="shared" ref="A54:G59" si="10">IF(MONTH($A$52)&lt;&gt;MONTH($A$52-(WEEKDAY($A$52,1)-($I$4-1))-IF((WEEKDAY($A$52,1)-($I$4-1))&lt;=0,7,0)+(ROW(A54)-ROW($A$54))*7+(COLUMN(A54)-COLUMN($A$54)+1)),"",$A$52-(WEEKDAY($A$52,1)-($I$4-1))-IF((WEEKDAY($A$52,1)-($I$4-1))&lt;=0,7,0)+(ROW(A54)-ROW($A$54))*7+(COLUMN(A54)-COLUMN($A$54)+1))</f>
        <v/>
      </c>
      <c r="B54" s="82" t="str">
        <f t="shared" si="10"/>
        <v/>
      </c>
      <c r="C54" s="82">
        <f t="shared" si="10"/>
        <v>42339</v>
      </c>
      <c r="D54" s="348">
        <f t="shared" si="10"/>
        <v>42340</v>
      </c>
      <c r="E54" s="82">
        <f t="shared" si="10"/>
        <v>42341</v>
      </c>
      <c r="F54" s="82">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82">
        <f t="shared" si="11"/>
        <v>42522</v>
      </c>
      <c r="U54" s="82">
        <f t="shared" si="11"/>
        <v>42523</v>
      </c>
      <c r="V54" s="82">
        <f t="shared" si="11"/>
        <v>42524</v>
      </c>
      <c r="W54" s="82">
        <f t="shared" si="11"/>
        <v>42525</v>
      </c>
      <c r="X54" s="54"/>
      <c r="Y54" s="54"/>
      <c r="Z54" s="97"/>
      <c r="AA54" s="97"/>
      <c r="AB54" s="99"/>
    </row>
    <row r="55" spans="1:29">
      <c r="A55" s="82">
        <f t="shared" si="10"/>
        <v>42344</v>
      </c>
      <c r="B55" s="369">
        <f t="shared" si="10"/>
        <v>42345</v>
      </c>
      <c r="C55" s="82">
        <f t="shared" si="10"/>
        <v>42346</v>
      </c>
      <c r="D55" s="82">
        <f t="shared" si="10"/>
        <v>42347</v>
      </c>
      <c r="E55" s="82">
        <f t="shared" si="10"/>
        <v>42348</v>
      </c>
      <c r="F55" s="82">
        <f t="shared" si="10"/>
        <v>42349</v>
      </c>
      <c r="G55" s="112">
        <f t="shared" si="10"/>
        <v>42350</v>
      </c>
      <c r="I55" s="17"/>
      <c r="J55" s="85"/>
      <c r="K55" s="85"/>
      <c r="L55" s="96"/>
      <c r="M55" s="96"/>
      <c r="N55" s="99"/>
      <c r="O55" s="99"/>
      <c r="P55" s="99"/>
      <c r="Q55" s="82">
        <f t="shared" si="11"/>
        <v>42526</v>
      </c>
      <c r="R55" s="369">
        <f t="shared" si="11"/>
        <v>42527</v>
      </c>
      <c r="S55" s="82">
        <f t="shared" si="11"/>
        <v>42528</v>
      </c>
      <c r="T55" s="348">
        <f t="shared" si="11"/>
        <v>42529</v>
      </c>
      <c r="U55" s="82">
        <f t="shared" si="11"/>
        <v>42530</v>
      </c>
      <c r="V55" s="94">
        <f t="shared" si="11"/>
        <v>42531</v>
      </c>
      <c r="W55" s="82">
        <f t="shared" si="11"/>
        <v>42532</v>
      </c>
      <c r="X55" s="291"/>
      <c r="Y55" s="54"/>
      <c r="Z55" s="99"/>
      <c r="AA55" s="99"/>
      <c r="AB55" s="99"/>
    </row>
    <row r="56" spans="1:29">
      <c r="A56" s="82">
        <f t="shared" si="10"/>
        <v>42351</v>
      </c>
      <c r="B56" s="81">
        <f t="shared" si="10"/>
        <v>42352</v>
      </c>
      <c r="C56" s="82">
        <f t="shared" si="10"/>
        <v>42353</v>
      </c>
      <c r="D56" s="82">
        <f t="shared" si="10"/>
        <v>42354</v>
      </c>
      <c r="E56" s="82">
        <f t="shared" si="10"/>
        <v>42355</v>
      </c>
      <c r="F56" s="94">
        <f t="shared" si="10"/>
        <v>42356</v>
      </c>
      <c r="G56" s="372">
        <f t="shared" si="10"/>
        <v>42357</v>
      </c>
      <c r="H56" s="22"/>
      <c r="I56" s="17"/>
      <c r="J56" s="317"/>
      <c r="K56" s="54"/>
      <c r="L56" s="99"/>
      <c r="M56" s="96"/>
      <c r="N56" s="99"/>
      <c r="O56" s="99"/>
      <c r="P56" s="99"/>
      <c r="Q56" s="81">
        <f t="shared" si="11"/>
        <v>42533</v>
      </c>
      <c r="R56" s="81">
        <f t="shared" si="11"/>
        <v>42534</v>
      </c>
      <c r="S56" s="81">
        <f t="shared" si="11"/>
        <v>42535</v>
      </c>
      <c r="T56" s="81">
        <f t="shared" si="11"/>
        <v>42536</v>
      </c>
      <c r="U56" s="320">
        <f t="shared" si="11"/>
        <v>42537</v>
      </c>
      <c r="V56" s="320">
        <f t="shared" si="11"/>
        <v>42538</v>
      </c>
      <c r="W56" s="81">
        <f t="shared" si="11"/>
        <v>42539</v>
      </c>
      <c r="X56" s="317"/>
      <c r="Y56" s="54"/>
      <c r="Z56" s="99"/>
      <c r="AA56" s="99"/>
      <c r="AB56" s="99"/>
    </row>
    <row r="57" spans="1:29">
      <c r="A57" s="92">
        <f t="shared" si="10"/>
        <v>42358</v>
      </c>
      <c r="B57" s="92">
        <f t="shared" si="10"/>
        <v>42359</v>
      </c>
      <c r="C57" s="357">
        <f t="shared" si="10"/>
        <v>42360</v>
      </c>
      <c r="D57" s="92">
        <f t="shared" si="10"/>
        <v>42361</v>
      </c>
      <c r="E57" s="92">
        <f t="shared" si="10"/>
        <v>42362</v>
      </c>
      <c r="F57" s="92">
        <f t="shared" si="10"/>
        <v>42363</v>
      </c>
      <c r="G57" s="373">
        <f t="shared" si="10"/>
        <v>42364</v>
      </c>
      <c r="I57" s="17"/>
      <c r="J57" s="290"/>
      <c r="K57" s="54"/>
      <c r="L57" s="99"/>
      <c r="M57" s="99"/>
      <c r="N57" s="99"/>
      <c r="O57" s="99"/>
      <c r="P57" s="99"/>
      <c r="Q57" s="98">
        <f t="shared" si="11"/>
        <v>42540</v>
      </c>
      <c r="R57" s="98">
        <f t="shared" si="11"/>
        <v>42541</v>
      </c>
      <c r="S57" s="98">
        <f t="shared" si="11"/>
        <v>42542</v>
      </c>
      <c r="T57" s="357">
        <f t="shared" si="11"/>
        <v>42543</v>
      </c>
      <c r="U57" s="98">
        <f t="shared" si="11"/>
        <v>42544</v>
      </c>
      <c r="V57" s="98">
        <f t="shared" si="11"/>
        <v>42545</v>
      </c>
      <c r="W57" s="92">
        <f t="shared" si="11"/>
        <v>42546</v>
      </c>
      <c r="X57" s="291"/>
      <c r="Y57" s="54"/>
      <c r="Z57" s="99"/>
      <c r="AA57" s="99"/>
      <c r="AB57" s="99"/>
    </row>
    <row r="58" spans="1:29" ht="18.75" customHeight="1">
      <c r="A58" s="92">
        <f t="shared" si="10"/>
        <v>42365</v>
      </c>
      <c r="B58" s="92">
        <f t="shared" si="10"/>
        <v>42366</v>
      </c>
      <c r="C58" s="92">
        <f t="shared" si="10"/>
        <v>42367</v>
      </c>
      <c r="D58" s="92">
        <f t="shared" si="10"/>
        <v>42368</v>
      </c>
      <c r="E58" s="92">
        <f t="shared" si="10"/>
        <v>42369</v>
      </c>
      <c r="F58" s="92" t="str">
        <f t="shared" si="10"/>
        <v/>
      </c>
      <c r="G58" s="373" t="str">
        <f t="shared" si="10"/>
        <v/>
      </c>
      <c r="I58" s="17"/>
      <c r="J58" s="85"/>
      <c r="K58" s="54"/>
      <c r="L58" s="99"/>
      <c r="M58" s="99"/>
      <c r="N58" s="99"/>
      <c r="O58" s="99"/>
      <c r="P58" s="99"/>
      <c r="Q58" s="98">
        <f t="shared" si="11"/>
        <v>42547</v>
      </c>
      <c r="R58" s="98">
        <f t="shared" si="11"/>
        <v>42548</v>
      </c>
      <c r="S58" s="98">
        <f t="shared" si="11"/>
        <v>42549</v>
      </c>
      <c r="T58" s="98">
        <f t="shared" si="11"/>
        <v>42550</v>
      </c>
      <c r="U58" s="357">
        <f t="shared" si="11"/>
        <v>42551</v>
      </c>
      <c r="V58" s="81" t="str">
        <f t="shared" si="11"/>
        <v/>
      </c>
      <c r="W58" s="81" t="str">
        <f t="shared" si="11"/>
        <v/>
      </c>
      <c r="X58" s="291"/>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t="s">
        <v>160</v>
      </c>
      <c r="P61" s="70"/>
      <c r="Q61" s="70"/>
      <c r="R61" s="70"/>
      <c r="S61" s="25"/>
      <c r="T61" s="370"/>
      <c r="U61" s="70" t="s">
        <v>162</v>
      </c>
      <c r="V61" s="74"/>
      <c r="W61" s="25" t="s">
        <v>163</v>
      </c>
      <c r="X61" s="72"/>
      <c r="Y61" s="70"/>
      <c r="Z61" s="73"/>
    </row>
    <row r="62" spans="1:29" ht="15.75" thickBot="1">
      <c r="A62" s="45"/>
      <c r="B62" s="70" t="s">
        <v>161</v>
      </c>
      <c r="C62" s="70"/>
      <c r="D62" s="70"/>
      <c r="E62" s="70"/>
      <c r="F62" s="71"/>
      <c r="G62" s="71"/>
      <c r="H62" s="72"/>
      <c r="I62" s="70"/>
      <c r="J62" s="73"/>
      <c r="K62" s="6"/>
      <c r="L62" s="6"/>
      <c r="N62" s="3"/>
      <c r="V62" s="71"/>
      <c r="W62" s="87"/>
      <c r="X62" s="104"/>
      <c r="Y62" s="25"/>
      <c r="Z62" s="25"/>
      <c r="AC62" s="29"/>
    </row>
    <row r="63" spans="1:29">
      <c r="A63" s="292"/>
      <c r="B63" s="293" t="s">
        <v>126</v>
      </c>
      <c r="C63" s="293"/>
      <c r="D63" s="293"/>
      <c r="E63" s="293"/>
      <c r="F63" s="77"/>
      <c r="G63" s="77"/>
      <c r="H63" s="70"/>
      <c r="I63" s="70"/>
      <c r="J63" s="73"/>
      <c r="K63" s="6"/>
      <c r="L63" s="6"/>
      <c r="T63" s="70"/>
      <c r="U63" s="70"/>
      <c r="V63" s="70"/>
      <c r="W63" s="70"/>
      <c r="X63" s="70"/>
      <c r="Y63" s="70"/>
      <c r="Z63" s="70"/>
    </row>
    <row r="64" spans="1:29">
      <c r="B64" s="70"/>
      <c r="C64" s="70"/>
      <c r="D64" s="70"/>
      <c r="E64" s="70"/>
      <c r="F64" s="70"/>
      <c r="G64" s="70"/>
      <c r="H64" s="72"/>
      <c r="I64" s="70"/>
      <c r="J64" s="73"/>
      <c r="K64" s="6"/>
      <c r="L64" s="6"/>
    </row>
    <row r="74" spans="1:24">
      <c r="A74" s="30" t="s">
        <v>20</v>
      </c>
      <c r="H74"/>
      <c r="X74"/>
    </row>
  </sheetData>
  <mergeCells count="21">
    <mergeCell ref="A16:G16"/>
    <mergeCell ref="Q16:W16"/>
    <mergeCell ref="A1:P1"/>
    <mergeCell ref="A2:G2"/>
    <mergeCell ref="R2:X2"/>
    <mergeCell ref="A3:C3"/>
    <mergeCell ref="E3:G3"/>
    <mergeCell ref="I3:L3"/>
    <mergeCell ref="A4:C4"/>
    <mergeCell ref="E4:G4"/>
    <mergeCell ref="I4:L4"/>
    <mergeCell ref="A7:G7"/>
    <mergeCell ref="Q7:W7"/>
    <mergeCell ref="A52:G52"/>
    <mergeCell ref="Q52:W52"/>
    <mergeCell ref="A25:G25"/>
    <mergeCell ref="Q25:W25"/>
    <mergeCell ref="A34:G34"/>
    <mergeCell ref="Q34:W34"/>
    <mergeCell ref="A43:G43"/>
    <mergeCell ref="Q43:W43"/>
  </mergeCells>
  <conditionalFormatting sqref="Q36:W41 Q54:W59 Q45:W50 Q27:W32 Q18:W23 Q9:W14 A54:G59 A45:G50 A36:G41 A27:G32 A9:G14 A18:G23 B61">
    <cfRule type="cellIs" dxfId="3" priority="1" stopIfTrue="1" operator="equal">
      <formula>""</formula>
    </cfRule>
  </conditionalFormatting>
  <hyperlinks>
    <hyperlink ref="A2" r:id="rId1"/>
    <hyperlink ref="A74" r:id="rId2"/>
  </hyperlinks>
  <pageMargins left="0.25" right="0.25" top="0.61093750000000002" bottom="0.5" header="0.3" footer="0.3"/>
  <pageSetup scale="68" orientation="portrait" r:id="rId3"/>
  <headerFooter>
    <oddHeader>&amp;C&amp;20 2015-2016 AIU3 Adult Education GED Lab</oddHeader>
  </headerFooter>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view="pageLayout" zoomScaleNormal="100" workbookViewId="0">
      <selection activeCell="V12" sqref="V12"/>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5" customWidth="1"/>
    <col min="28" max="28" width="19.42578125" bestFit="1" customWidth="1"/>
    <col min="30" max="30" width="10.42578125" bestFit="1" customWidth="1"/>
  </cols>
  <sheetData>
    <row r="1" spans="1:30"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30">
      <c r="A2" s="599" t="s">
        <v>20</v>
      </c>
      <c r="B2" s="599"/>
      <c r="C2" s="599"/>
      <c r="D2" s="599"/>
      <c r="E2" s="599"/>
      <c r="F2" s="599"/>
      <c r="G2" s="599"/>
      <c r="R2" s="600" t="s">
        <v>21</v>
      </c>
      <c r="S2" s="600"/>
      <c r="T2" s="600"/>
      <c r="U2" s="600"/>
      <c r="V2" s="600"/>
      <c r="W2" s="600"/>
      <c r="X2" s="600"/>
    </row>
    <row r="3" spans="1:30">
      <c r="A3" s="601" t="s">
        <v>22</v>
      </c>
      <c r="B3" s="601"/>
      <c r="C3" s="601"/>
      <c r="D3" s="11"/>
      <c r="E3" s="601" t="s">
        <v>23</v>
      </c>
      <c r="F3" s="601"/>
      <c r="G3" s="601"/>
      <c r="H3" s="12"/>
      <c r="I3" s="602" t="s">
        <v>24</v>
      </c>
      <c r="J3" s="602"/>
      <c r="K3" s="602"/>
      <c r="L3" s="602"/>
      <c r="M3" s="13"/>
      <c r="N3" s="13"/>
      <c r="O3" s="13"/>
      <c r="P3" s="13"/>
      <c r="Q3" s="13"/>
    </row>
    <row r="4" spans="1:30">
      <c r="A4" s="603">
        <v>2015</v>
      </c>
      <c r="B4" s="603"/>
      <c r="C4" s="603"/>
      <c r="D4" s="11"/>
      <c r="E4" s="603">
        <v>7</v>
      </c>
      <c r="F4" s="603"/>
      <c r="G4" s="603"/>
      <c r="H4" s="12"/>
      <c r="I4" s="603">
        <v>1</v>
      </c>
      <c r="J4" s="603"/>
      <c r="K4" s="603"/>
      <c r="L4" s="603"/>
      <c r="M4" s="14" t="s">
        <v>25</v>
      </c>
      <c r="N4" s="13"/>
      <c r="O4" s="13"/>
      <c r="P4" s="13"/>
      <c r="Q4" s="13"/>
    </row>
    <row r="5" spans="1:30" ht="23.25">
      <c r="A5" s="37" t="s">
        <v>26</v>
      </c>
      <c r="B5" s="38"/>
      <c r="C5" s="39"/>
      <c r="D5" s="40"/>
      <c r="E5" s="41"/>
      <c r="F5" s="41"/>
      <c r="G5" s="42"/>
      <c r="H5" s="35"/>
      <c r="I5" s="35"/>
      <c r="J5" s="43"/>
      <c r="K5" s="35"/>
      <c r="L5" s="15"/>
      <c r="M5" s="15"/>
      <c r="N5" s="15"/>
      <c r="O5" s="15"/>
      <c r="P5" s="15"/>
      <c r="Q5" s="15"/>
      <c r="R5" s="15"/>
      <c r="S5" s="15"/>
      <c r="T5" s="15"/>
      <c r="U5" s="34" t="s">
        <v>58</v>
      </c>
      <c r="V5" s="35"/>
      <c r="W5" s="35"/>
      <c r="X5" s="35"/>
      <c r="Y5" s="36"/>
      <c r="Z5" s="36"/>
      <c r="AA5" s="36"/>
    </row>
    <row r="6" spans="1:30" ht="6" customHeight="1">
      <c r="A6" s="58"/>
      <c r="B6" s="58"/>
      <c r="C6" s="58"/>
      <c r="D6" s="58"/>
      <c r="E6" s="58"/>
      <c r="F6" s="58"/>
      <c r="G6" s="58"/>
      <c r="P6" s="58"/>
    </row>
    <row r="7" spans="1:30">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c r="AB7" t="s">
        <v>119</v>
      </c>
    </row>
    <row r="8" spans="1:30">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c r="AB8" t="s">
        <v>123</v>
      </c>
      <c r="AC8" t="s">
        <v>117</v>
      </c>
      <c r="AD8" t="s">
        <v>130</v>
      </c>
    </row>
    <row r="9" spans="1:30">
      <c r="A9" s="82" t="str">
        <f t="shared" ref="A9:G14" si="0">IF(MONTH($A$7)&lt;&gt;MONTH($A$7-(WEEKDAY($A$7,1)-($I$4-1))-IF((WEEKDAY($A$7,1)-($I$4-1))&lt;=0,7,0)+(ROW(A9)-ROW($A$9))*7+(COLUMN(A9)-COLUMN($A$9)+1)),"",$A$7-(WEEKDAY($A$7,1)-($I$4-1))-IF((WEEKDAY($A$7,1)-($I$4-1))&lt;=0,7,0)+(ROW(A9)-ROW($A$9))*7+(COLUMN(A9)-COLUMN($A$9)+1))</f>
        <v/>
      </c>
      <c r="B9" s="82" t="str">
        <f t="shared" si="0"/>
        <v/>
      </c>
      <c r="C9" s="90" t="str">
        <f t="shared" si="0"/>
        <v/>
      </c>
      <c r="D9" s="90">
        <f t="shared" si="0"/>
        <v>42186</v>
      </c>
      <c r="E9" s="90">
        <f t="shared" si="0"/>
        <v>42187</v>
      </c>
      <c r="F9" s="90">
        <f t="shared" si="0"/>
        <v>42188</v>
      </c>
      <c r="G9" s="90">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82" t="str">
        <f t="shared" si="1"/>
        <v/>
      </c>
      <c r="S9" s="82" t="str">
        <f t="shared" si="1"/>
        <v/>
      </c>
      <c r="T9" s="374" t="str">
        <f t="shared" si="1"/>
        <v/>
      </c>
      <c r="U9" s="93" t="str">
        <f t="shared" si="1"/>
        <v/>
      </c>
      <c r="V9" s="464">
        <f t="shared" si="1"/>
        <v>42370</v>
      </c>
      <c r="W9" s="464">
        <f t="shared" si="1"/>
        <v>42371</v>
      </c>
      <c r="X9" s="57"/>
      <c r="Y9" s="54"/>
      <c r="Z9" s="99"/>
      <c r="AA9" s="99"/>
      <c r="AB9" t="s">
        <v>129</v>
      </c>
      <c r="AC9">
        <f>COUNT(C10:E10,C11:E11,C13,E13,C19:E19,C22:E22,D27:E27,C28:E28,C29:E29,C30:E30,C31:D31,C37:E37,C38:E38,C39:E40,C45:E47,C48:D48,C54:E55,C56:D56,S10:U13,S18:U21,S27:U29,S30:T31,U31,S37:U39,S40:T40,S45:U48,S49,T54:U54,S55:T55, U30, E56)</f>
        <v>126</v>
      </c>
      <c r="AD9">
        <v>126</v>
      </c>
    </row>
    <row r="10" spans="1:30">
      <c r="A10" s="320">
        <f t="shared" si="0"/>
        <v>42190</v>
      </c>
      <c r="B10" s="320">
        <f t="shared" si="0"/>
        <v>42191</v>
      </c>
      <c r="C10" s="320">
        <f>IF(MONTH($A$7)&lt;&gt;MONTH($A$7-(WEEKDAY($A$7,1)-($I$4-1))-IF((WEEKDAY($A$7,1)-($I$4-1))&lt;=0,7,0)+(ROW(C10)-ROW($A$9))*7+(COLUMN(C10)-COLUMN($A$9)+1)),"",$A$7-(WEEKDAY($A$7,1)-($I$4-1))-IF((WEEKDAY($A$7,1)-($I$4-1))&lt;=0,7,0)+(ROW(C10)-ROW($A$9))*7+(COLUMN(C10)-COLUMN($A$9)+1))</f>
        <v>42192</v>
      </c>
      <c r="D10" s="320">
        <f t="shared" si="0"/>
        <v>42193</v>
      </c>
      <c r="E10" s="320">
        <f t="shared" si="0"/>
        <v>42194</v>
      </c>
      <c r="F10" s="367">
        <f t="shared" si="0"/>
        <v>42195</v>
      </c>
      <c r="G10" s="320">
        <f t="shared" si="0"/>
        <v>42196</v>
      </c>
      <c r="I10" s="17"/>
      <c r="J10" s="290"/>
      <c r="K10" s="54"/>
      <c r="L10" s="99"/>
      <c r="M10" s="99"/>
      <c r="N10" s="99"/>
      <c r="O10" s="99"/>
      <c r="P10" s="99"/>
      <c r="Q10" s="82">
        <f t="shared" si="1"/>
        <v>42372</v>
      </c>
      <c r="R10" s="369">
        <f t="shared" si="1"/>
        <v>42373</v>
      </c>
      <c r="S10" s="459">
        <f t="shared" si="1"/>
        <v>42374</v>
      </c>
      <c r="T10" s="369">
        <f t="shared" si="1"/>
        <v>42375</v>
      </c>
      <c r="U10" s="463">
        <f t="shared" si="1"/>
        <v>42376</v>
      </c>
      <c r="V10" s="82">
        <f t="shared" si="1"/>
        <v>42377</v>
      </c>
      <c r="W10" s="82">
        <f t="shared" si="1"/>
        <v>42378</v>
      </c>
      <c r="X10" s="291"/>
      <c r="Y10" s="54"/>
      <c r="Z10" s="88"/>
      <c r="AA10" s="88"/>
      <c r="AB10" t="s">
        <v>121</v>
      </c>
      <c r="AC10">
        <f>COUNT(E10,C11,E11,C12,E12,C13,E13,C19,E19,C20,E20,C20,E20,C22,E22,E27,C28,E28,C29,E29,C30,E30,C31,E36,C37,E37,C38,E38,C39,E39,C40,E40,C45,E45,C46,E46,C47,E47,C54,E54,C55,E55,S10,U10,S11,U11,S12,U12,S13,U13,S18,U18,S19,U19,S20,U20,S21,U21,S27,U27,S28,U28,S29,U29,S31,U31,S37,U37,S38,U38,S39,U39,S40,S45,U45,S46,U46,S47,U47,S48,U48,S49,U54,S55)</f>
        <v>84</v>
      </c>
      <c r="AD10">
        <v>84</v>
      </c>
    </row>
    <row r="11" spans="1:30">
      <c r="A11" s="320">
        <f t="shared" si="0"/>
        <v>42197</v>
      </c>
      <c r="B11" s="320">
        <f t="shared" si="0"/>
        <v>42198</v>
      </c>
      <c r="C11" s="320">
        <f t="shared" si="0"/>
        <v>42199</v>
      </c>
      <c r="D11" s="320">
        <f t="shared" si="0"/>
        <v>42200</v>
      </c>
      <c r="E11" s="320">
        <f t="shared" si="0"/>
        <v>42201</v>
      </c>
      <c r="F11" s="320">
        <f t="shared" si="0"/>
        <v>42202</v>
      </c>
      <c r="G11" s="320">
        <f t="shared" si="0"/>
        <v>42203</v>
      </c>
      <c r="I11" s="17"/>
      <c r="J11" s="85"/>
      <c r="K11" s="54"/>
      <c r="L11" s="100"/>
      <c r="M11" s="88"/>
      <c r="N11" s="87"/>
      <c r="O11" s="87"/>
      <c r="P11" s="99"/>
      <c r="Q11" s="82">
        <f t="shared" si="1"/>
        <v>42379</v>
      </c>
      <c r="R11" s="369">
        <f t="shared" si="1"/>
        <v>42380</v>
      </c>
      <c r="S11" s="459">
        <f t="shared" si="1"/>
        <v>42381</v>
      </c>
      <c r="T11" s="369">
        <f t="shared" si="1"/>
        <v>42382</v>
      </c>
      <c r="U11" s="459">
        <f t="shared" si="1"/>
        <v>42383</v>
      </c>
      <c r="V11" s="82">
        <f t="shared" si="1"/>
        <v>42384</v>
      </c>
      <c r="W11" s="82">
        <f t="shared" si="1"/>
        <v>42385</v>
      </c>
      <c r="X11" s="56"/>
      <c r="Y11" s="56"/>
      <c r="Z11" s="88"/>
      <c r="AA11" s="88"/>
      <c r="AB11" t="s">
        <v>122</v>
      </c>
      <c r="AC11">
        <f>COUNT(B10,B10:B13,D10:D13,F10:F13,B19,D19,F19,B22:B23,D22,F22,B29:B31,D27:D31,F27:F30,B37:B40,D37:D40,F36:F40,B45:B49,D45:D47,F45:F47,B55:B56,D54:D56,F54:F55,R10:R11,T10:T13,V10:V13,R13,R18:R22,T18:T21,V18:V21,R28:R30,T27:T31,V27:V28,V29,R37:R40,T37:T40,V36:V40,R45:R48,T45:T48,V45:V47,R55:R55,T54:T55,V54)</f>
        <v>126</v>
      </c>
      <c r="AD11">
        <v>126</v>
      </c>
    </row>
    <row r="12" spans="1:30">
      <c r="A12" s="320">
        <f t="shared" si="0"/>
        <v>42204</v>
      </c>
      <c r="B12" s="320">
        <f t="shared" si="0"/>
        <v>42205</v>
      </c>
      <c r="C12" s="320">
        <f t="shared" si="0"/>
        <v>42206</v>
      </c>
      <c r="D12" s="320">
        <f t="shared" si="0"/>
        <v>42207</v>
      </c>
      <c r="E12" s="320">
        <f t="shared" si="0"/>
        <v>42208</v>
      </c>
      <c r="F12" s="367">
        <f t="shared" si="0"/>
        <v>42209</v>
      </c>
      <c r="G12" s="320">
        <f t="shared" si="0"/>
        <v>42210</v>
      </c>
      <c r="I12" s="17"/>
      <c r="J12" s="290"/>
      <c r="K12" s="287"/>
      <c r="L12" s="67"/>
      <c r="M12" s="96"/>
      <c r="N12" s="87"/>
      <c r="O12" s="87"/>
      <c r="P12" s="99"/>
      <c r="Q12" s="82">
        <f t="shared" si="1"/>
        <v>42386</v>
      </c>
      <c r="R12" s="368">
        <f t="shared" si="1"/>
        <v>42387</v>
      </c>
      <c r="S12" s="459">
        <f t="shared" si="1"/>
        <v>42388</v>
      </c>
      <c r="T12" s="369">
        <f t="shared" si="1"/>
        <v>42389</v>
      </c>
      <c r="U12" s="459">
        <f t="shared" si="1"/>
        <v>42390</v>
      </c>
      <c r="V12" s="466">
        <f t="shared" si="1"/>
        <v>42391</v>
      </c>
      <c r="W12" s="82">
        <f t="shared" si="1"/>
        <v>42392</v>
      </c>
      <c r="X12" s="291"/>
      <c r="Y12" s="56"/>
      <c r="Z12" s="88"/>
      <c r="AA12" s="88"/>
      <c r="AB12" t="s">
        <v>156</v>
      </c>
      <c r="AC12">
        <f>COUNT(D10,E10,C11:E11,C12,E12,C13:E13,C19:E19,C22:E22,D27:E27,C28:E30,C31:D31,E36,C37:E39,C40:E40,C45:E47,C48,C54:E56,S10:U13,S18:U21,S27:U29,S37:U39,S40,S45:U48,S49,T54:U54,S55:T55, S30:T31,U31)</f>
        <v>126</v>
      </c>
      <c r="AD12">
        <v>126</v>
      </c>
    </row>
    <row r="13" spans="1:30">
      <c r="A13" s="320">
        <f t="shared" si="0"/>
        <v>42211</v>
      </c>
      <c r="B13" s="320">
        <f t="shared" si="0"/>
        <v>42212</v>
      </c>
      <c r="C13" s="320">
        <f t="shared" si="0"/>
        <v>42213</v>
      </c>
      <c r="D13" s="320">
        <f t="shared" si="0"/>
        <v>42214</v>
      </c>
      <c r="E13" s="320">
        <f t="shared" si="0"/>
        <v>42215</v>
      </c>
      <c r="F13" s="320">
        <f t="shared" si="0"/>
        <v>42216</v>
      </c>
      <c r="G13" s="320" t="str">
        <f t="shared" si="0"/>
        <v/>
      </c>
      <c r="I13" s="17"/>
      <c r="J13" s="85"/>
      <c r="K13" s="54"/>
      <c r="L13" s="96"/>
      <c r="M13" s="96"/>
      <c r="N13" s="87"/>
      <c r="O13" s="87"/>
      <c r="P13" s="99"/>
      <c r="Q13" s="82">
        <f t="shared" si="1"/>
        <v>42393</v>
      </c>
      <c r="R13" s="369">
        <f t="shared" si="1"/>
        <v>42394</v>
      </c>
      <c r="S13" s="459">
        <f t="shared" si="1"/>
        <v>42395</v>
      </c>
      <c r="T13" s="369">
        <f t="shared" si="1"/>
        <v>42396</v>
      </c>
      <c r="U13" s="459">
        <f t="shared" si="1"/>
        <v>42397</v>
      </c>
      <c r="V13" s="82">
        <f t="shared" si="1"/>
        <v>42398</v>
      </c>
      <c r="W13" s="82">
        <f t="shared" si="1"/>
        <v>42399</v>
      </c>
      <c r="X13" s="96"/>
      <c r="Y13" s="56"/>
      <c r="AA13" s="97"/>
      <c r="AB13" t="s">
        <v>157</v>
      </c>
      <c r="AC13">
        <f>COUNT(B10,D10,B11,C11,B12:D12,B13:D13,B19:D19,B22,C22,D22,B23,D27,C28:D28,B29:D29,B30:D30,B31:D31,B37:D40,B45:D47,B48:C48,B49,C54:D54,B55:D56,R10:T11,S12:T12,R13:T13,R18:T21,R22,S27:T27,R28:S30,S31:T31,R37:T40,R45:T48,S49,T54,R55:T55, T28:T29)</f>
        <v>126</v>
      </c>
      <c r="AD13">
        <v>126</v>
      </c>
    </row>
    <row r="14" spans="1:30">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82" t="str">
        <f t="shared" si="1"/>
        <v/>
      </c>
      <c r="S14" s="82" t="str">
        <f t="shared" si="1"/>
        <v/>
      </c>
      <c r="T14" s="82" t="str">
        <f t="shared" si="1"/>
        <v/>
      </c>
      <c r="U14" s="82" t="str">
        <f t="shared" si="1"/>
        <v/>
      </c>
      <c r="V14" s="82" t="str">
        <f t="shared" si="1"/>
        <v/>
      </c>
      <c r="W14" s="82" t="str">
        <f t="shared" si="1"/>
        <v/>
      </c>
      <c r="X14" s="53"/>
      <c r="Y14" s="53"/>
      <c r="Z14" s="104"/>
      <c r="AA14" s="104"/>
      <c r="AB14" t="s">
        <v>118</v>
      </c>
      <c r="AC14">
        <f>COUNT(B29:B31,B38:B40,B45:B47,B55,R10:R11,R13,R19:R21,R28:R30,R38:R40,R45:R47)</f>
        <v>25</v>
      </c>
      <c r="AD14">
        <v>25</v>
      </c>
    </row>
    <row r="15" spans="1:30" ht="4.5" customHeight="1">
      <c r="A15" s="26"/>
      <c r="B15" s="26"/>
      <c r="C15" s="26"/>
      <c r="D15" s="26"/>
      <c r="E15" s="26"/>
      <c r="F15" s="26"/>
      <c r="G15" s="26"/>
      <c r="I15" s="17"/>
      <c r="J15" s="85"/>
      <c r="K15" s="54"/>
      <c r="L15" s="96"/>
      <c r="M15" s="96"/>
      <c r="N15" s="99"/>
      <c r="O15" s="99"/>
      <c r="P15" s="99"/>
      <c r="X15" s="57"/>
      <c r="Y15" s="57"/>
      <c r="Z15" s="104"/>
      <c r="AA15" s="104"/>
    </row>
    <row r="16" spans="1:30">
      <c r="A16" s="592">
        <f>DATE(YEAR(A7+35),MONTH(A7+35),1)</f>
        <v>42217</v>
      </c>
      <c r="B16" s="593"/>
      <c r="C16" s="593"/>
      <c r="D16" s="593"/>
      <c r="E16" s="593"/>
      <c r="F16" s="593"/>
      <c r="G16" s="594"/>
      <c r="H16" s="22"/>
      <c r="I16" s="17"/>
      <c r="J16" s="85"/>
      <c r="K16" s="54"/>
      <c r="L16" s="96"/>
      <c r="M16" s="96"/>
      <c r="N16" s="99"/>
      <c r="O16" s="99"/>
      <c r="P16" s="99"/>
      <c r="Q16" s="593">
        <f>DATE(YEAR(Q7+35),MONTH(Q7+35),1)</f>
        <v>42401</v>
      </c>
      <c r="R16" s="593"/>
      <c r="S16" s="593"/>
      <c r="T16" s="593"/>
      <c r="U16" s="593"/>
      <c r="V16" s="593"/>
      <c r="W16" s="593"/>
      <c r="X16" s="57"/>
      <c r="Y16" s="57"/>
      <c r="Z16" s="89"/>
      <c r="AA16" s="89"/>
      <c r="AB16" t="s">
        <v>60</v>
      </c>
      <c r="AC16">
        <f>COUNT(B11,D11,F11,B12,D12,F12,B13,D13,F13,B19,D19,F19,B22,D22,F22,B23,D27,F27,D28,F28,B29,D29,F29,B30,D30,F30,B31,D31,F36,B37,D37,F37,B38,D38,F38,B39,D39,F39,B40,D40,F40,B45:B49,D45,F45,D46,F46,D47,F47,D54,F54,B55,D55,F55,B56,D56,F56,D48,R10,T10,V10,R11,T11,V11,T12,V12,R13,T13,V13,R18,T18,V18,R19,T19,V19,R20,T20,V20,R21,T21,V21,R22,T27,V27,R28,T28,V28,R29,T29,V29,R30,T30,R31,T31,V31,R37,T37,V37,R38,T38,V38,R39,T39,V39,R40,T40,V40,R45,T45,V45,R46,T46,V46,R47,T47,V47,R48,T48,V48,T54,V54,R55,T55,V55)</f>
        <v>126</v>
      </c>
      <c r="AD16">
        <v>126</v>
      </c>
    </row>
    <row r="17" spans="1:30">
      <c r="A17" s="18" t="str">
        <f>$A$8</f>
        <v>Su</v>
      </c>
      <c r="B17" s="20" t="str">
        <f>$B$8</f>
        <v>M</v>
      </c>
      <c r="C17" s="20" t="str">
        <f>$C$8</f>
        <v>Tu</v>
      </c>
      <c r="D17" s="20" t="str">
        <f>$D$8</f>
        <v>W</v>
      </c>
      <c r="E17" s="20" t="str">
        <f>$E$8</f>
        <v>Th</v>
      </c>
      <c r="F17" s="20" t="str">
        <f>$F$8</f>
        <v>F</v>
      </c>
      <c r="G17" s="21"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c r="AB17" t="s">
        <v>62</v>
      </c>
      <c r="AC17">
        <f>COUNT(E27,C28,E28,C29,E29,C30,E30,C31,C22,E22,E36,C37,E37,C38,E38,C39,E39,C40,E40)</f>
        <v>19</v>
      </c>
      <c r="AD17">
        <v>19</v>
      </c>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82" t="str">
        <f t="shared" ref="Q18:W23" si="3">IF(MONTH($Q$16)&lt;&gt;MONTH($Q$16-(WEEKDAY($Q$16,1)-($I$4-1))-IF((WEEKDAY($Q$16,1)-($I$4-1))&lt;=0,7,0)+(ROW(Q18)-ROW($Q$18))*7+(COLUMN(Q18)-COLUMN($Q$18)+1)),"",$Q$16-(WEEKDAY($Q$16,1)-($I$4-1))-IF((WEEKDAY($Q$16,1)-($I$4-1))&lt;=0,7,0)+(ROW(Q18)-ROW($Q$18))*7+(COLUMN(Q18)-COLUMN($Q$18)+1))</f>
        <v/>
      </c>
      <c r="R18" s="369">
        <f t="shared" si="3"/>
        <v>42401</v>
      </c>
      <c r="S18" s="460">
        <f t="shared" si="3"/>
        <v>42402</v>
      </c>
      <c r="T18" s="369">
        <f t="shared" si="3"/>
        <v>42403</v>
      </c>
      <c r="U18" s="459">
        <f t="shared" si="3"/>
        <v>42404</v>
      </c>
      <c r="V18" s="348">
        <f t="shared" si="3"/>
        <v>42405</v>
      </c>
      <c r="W18" s="82">
        <f t="shared" si="3"/>
        <v>42406</v>
      </c>
      <c r="X18" s="291"/>
      <c r="Y18" s="56"/>
      <c r="Z18" s="88"/>
      <c r="AA18" s="88"/>
      <c r="AB18" t="s">
        <v>62</v>
      </c>
      <c r="AC18">
        <f>COUNT(S29:S31,U29:U31,S37:S40,U37:U39,S45:S48,U45:U48)</f>
        <v>21</v>
      </c>
      <c r="AD18">
        <v>21</v>
      </c>
    </row>
    <row r="19" spans="1:30" ht="15.75" thickBot="1">
      <c r="A19" s="320">
        <f t="shared" si="2"/>
        <v>42218</v>
      </c>
      <c r="B19" s="320">
        <f t="shared" si="2"/>
        <v>42219</v>
      </c>
      <c r="C19" s="320">
        <f t="shared" si="2"/>
        <v>42220</v>
      </c>
      <c r="D19" s="320">
        <f t="shared" si="2"/>
        <v>42221</v>
      </c>
      <c r="E19" s="320">
        <f t="shared" si="2"/>
        <v>42222</v>
      </c>
      <c r="F19" s="367">
        <f t="shared" si="2"/>
        <v>42223</v>
      </c>
      <c r="G19" s="320">
        <f t="shared" si="2"/>
        <v>42224</v>
      </c>
      <c r="H19" s="22"/>
      <c r="I19" s="17"/>
      <c r="M19" s="96"/>
      <c r="N19" s="99"/>
      <c r="O19" s="99"/>
      <c r="P19" s="99"/>
      <c r="Q19" s="82">
        <f t="shared" si="3"/>
        <v>42407</v>
      </c>
      <c r="R19" s="376">
        <f t="shared" si="3"/>
        <v>42408</v>
      </c>
      <c r="S19" s="461">
        <f t="shared" si="3"/>
        <v>42409</v>
      </c>
      <c r="T19" s="455">
        <f t="shared" si="3"/>
        <v>42410</v>
      </c>
      <c r="U19" s="459">
        <f t="shared" si="3"/>
        <v>42411</v>
      </c>
      <c r="V19" s="82">
        <f t="shared" si="3"/>
        <v>42412</v>
      </c>
      <c r="W19" s="82">
        <f t="shared" si="3"/>
        <v>42413</v>
      </c>
      <c r="X19" s="54"/>
      <c r="Y19" s="54"/>
      <c r="AA19" s="88"/>
      <c r="AB19" t="s">
        <v>159</v>
      </c>
      <c r="AC19">
        <f>COUNT(C22,E22,E27,C28,E28,C29,E29,C30,E30,C31,E36,C37,E37,C38,E38,C39,E39,C40,E40,C45,E45,C46,E46,C47,E47,C48,C54,E54,C55,E55,C56,E56,S10,U10, S11,U11,S12,U12,S13,U13,S18,U18,S19,U19,S20,U20,S21,U21,S27,U27,S28,U28,S29,U29,S30,S31,U31,S37,U37,S38,U38,S39,U39,S40,U40, S45,U45,S46,U46,S47,U47,S48,U48,S49,U54,S55)</f>
        <v>76</v>
      </c>
      <c r="AD19">
        <v>76</v>
      </c>
    </row>
    <row r="20" spans="1:30">
      <c r="A20" s="320">
        <f t="shared" si="2"/>
        <v>42225</v>
      </c>
      <c r="B20" s="367">
        <f t="shared" si="2"/>
        <v>42226</v>
      </c>
      <c r="C20" s="368">
        <f t="shared" si="2"/>
        <v>42227</v>
      </c>
      <c r="D20" s="368">
        <f t="shared" si="2"/>
        <v>42228</v>
      </c>
      <c r="E20" s="368">
        <f t="shared" si="2"/>
        <v>42229</v>
      </c>
      <c r="F20" s="368">
        <f t="shared" si="2"/>
        <v>42230</v>
      </c>
      <c r="G20" s="320">
        <f t="shared" si="2"/>
        <v>42231</v>
      </c>
      <c r="I20" s="17"/>
      <c r="J20" s="290"/>
      <c r="K20" s="54"/>
      <c r="L20" s="96"/>
      <c r="M20" s="96"/>
      <c r="N20" s="99"/>
      <c r="O20" s="99"/>
      <c r="P20" s="99"/>
      <c r="Q20" s="82">
        <f t="shared" si="3"/>
        <v>42414</v>
      </c>
      <c r="R20" s="320">
        <f t="shared" si="3"/>
        <v>42415</v>
      </c>
      <c r="S20" s="462">
        <f t="shared" si="3"/>
        <v>42416</v>
      </c>
      <c r="T20" s="369">
        <f t="shared" si="3"/>
        <v>42417</v>
      </c>
      <c r="U20" s="459">
        <f t="shared" si="3"/>
        <v>42418</v>
      </c>
      <c r="V20" s="119">
        <f t="shared" si="3"/>
        <v>42419</v>
      </c>
      <c r="W20" s="82">
        <f t="shared" si="3"/>
        <v>42420</v>
      </c>
      <c r="X20" s="56"/>
      <c r="Y20" s="56"/>
      <c r="Z20" s="87"/>
      <c r="AA20" s="87"/>
      <c r="AB20" t="s">
        <v>61</v>
      </c>
      <c r="AC20">
        <f>COUNT(B10:B13,D10:D13,B19,D19,B22,D22,B23,D27,D28:D31,B29:B31,B37:B40,D37:D40,B45:B47,D45:D47,B49,D54,B55,D55,T12,R13,T13,R18,T18,R19,T19,R20,T20,R21,T21,R22,T27,R28:R29,T28:T29,R31,T31,R37,T37,R38,T38,R39,T39,R40,T40,R45:R48,T45:T48,T54,R55,T55, R56,T56,R57)</f>
        <v>80</v>
      </c>
      <c r="AD20">
        <v>80</v>
      </c>
    </row>
    <row r="21" spans="1:30">
      <c r="A21" s="320">
        <f t="shared" si="2"/>
        <v>42232</v>
      </c>
      <c r="B21" s="368">
        <f t="shared" si="2"/>
        <v>42233</v>
      </c>
      <c r="C21" s="368">
        <f t="shared" si="2"/>
        <v>42234</v>
      </c>
      <c r="D21" s="368">
        <f t="shared" si="2"/>
        <v>42235</v>
      </c>
      <c r="E21" s="368">
        <f t="shared" si="2"/>
        <v>42236</v>
      </c>
      <c r="F21" s="367">
        <f t="shared" si="2"/>
        <v>42237</v>
      </c>
      <c r="G21" s="320">
        <f t="shared" si="2"/>
        <v>42238</v>
      </c>
      <c r="I21" s="17"/>
      <c r="J21" s="290"/>
      <c r="K21" s="54"/>
      <c r="L21" s="96"/>
      <c r="M21" s="96"/>
      <c r="N21" s="99"/>
      <c r="O21" s="99"/>
      <c r="P21" s="99"/>
      <c r="Q21" s="82">
        <f t="shared" si="3"/>
        <v>42421</v>
      </c>
      <c r="R21" s="369">
        <f t="shared" si="3"/>
        <v>42422</v>
      </c>
      <c r="S21" s="463">
        <f t="shared" si="3"/>
        <v>42423</v>
      </c>
      <c r="T21" s="369">
        <f t="shared" si="3"/>
        <v>42424</v>
      </c>
      <c r="U21" s="459">
        <f t="shared" si="3"/>
        <v>42425</v>
      </c>
      <c r="V21" s="82">
        <f t="shared" si="3"/>
        <v>42426</v>
      </c>
      <c r="W21" s="82">
        <f t="shared" si="3"/>
        <v>42427</v>
      </c>
      <c r="X21" s="375"/>
      <c r="Y21" s="54"/>
      <c r="Z21" s="99"/>
      <c r="AA21" s="99"/>
      <c r="AB21" t="s">
        <v>158</v>
      </c>
      <c r="AC21">
        <f>COUNT(B22,D22,B23,D27,D28,B29,D29,B30,D30,B31,D31,B37,D37,B38,D38,B39,D39,B40,D40,B45,D45,B10B46,D46,B47,D47,B48,B49,D54,B55,D55,B56,D56,R10,T10,R11,T11,T12,R13,T13,R18,T18,R19,T19,R20,T20,R21,T21,R22,T27,R28,T28,R29,T29,R30,T30,R31,T31,R37,T37,R38,T38,R39,T39,R40,T40,R45,T45,R46,T46,R47,T47,R48,T48,T54,R55,T55)</f>
        <v>75</v>
      </c>
      <c r="AD21">
        <v>76</v>
      </c>
    </row>
    <row r="22" spans="1:30">
      <c r="A22" s="82">
        <f t="shared" si="2"/>
        <v>42239</v>
      </c>
      <c r="B22" s="81">
        <f t="shared" si="2"/>
        <v>42240</v>
      </c>
      <c r="C22" s="82">
        <f t="shared" si="2"/>
        <v>42241</v>
      </c>
      <c r="D22" s="82">
        <f t="shared" si="2"/>
        <v>42242</v>
      </c>
      <c r="E22" s="82">
        <f t="shared" si="2"/>
        <v>42243</v>
      </c>
      <c r="F22" s="82">
        <f t="shared" si="2"/>
        <v>42244</v>
      </c>
      <c r="G22" s="82">
        <f t="shared" si="2"/>
        <v>42245</v>
      </c>
      <c r="I22" s="17"/>
      <c r="J22" s="317"/>
      <c r="K22" s="54"/>
      <c r="L22" s="96"/>
      <c r="M22" s="96"/>
      <c r="N22" s="99"/>
      <c r="O22" s="99"/>
      <c r="P22" s="99"/>
      <c r="Q22" s="82">
        <f t="shared" si="3"/>
        <v>42428</v>
      </c>
      <c r="R22" s="369">
        <f t="shared" si="3"/>
        <v>42429</v>
      </c>
      <c r="S22" s="82" t="str">
        <f t="shared" si="3"/>
        <v/>
      </c>
      <c r="T22" s="82" t="str">
        <f t="shared" si="3"/>
        <v/>
      </c>
      <c r="U22" s="82" t="str">
        <f t="shared" si="3"/>
        <v/>
      </c>
      <c r="V22" s="82" t="str">
        <f t="shared" si="3"/>
        <v/>
      </c>
      <c r="W22" s="82" t="str">
        <f t="shared" si="3"/>
        <v/>
      </c>
      <c r="X22" s="53"/>
      <c r="Y22" s="54"/>
      <c r="Z22" s="87"/>
      <c r="AA22" s="87"/>
      <c r="AB22" t="s">
        <v>120</v>
      </c>
      <c r="AD22" s="316" t="s">
        <v>155</v>
      </c>
    </row>
    <row r="23" spans="1:30">
      <c r="A23" s="82">
        <f t="shared" si="2"/>
        <v>42246</v>
      </c>
      <c r="B23" s="82">
        <f t="shared" si="2"/>
        <v>42247</v>
      </c>
      <c r="C23" s="82" t="str">
        <f t="shared" si="2"/>
        <v/>
      </c>
      <c r="D23" s="82" t="str">
        <f t="shared" si="2"/>
        <v/>
      </c>
      <c r="E23" s="82" t="str">
        <f t="shared" si="2"/>
        <v/>
      </c>
      <c r="F23" s="82" t="str">
        <f t="shared" si="2"/>
        <v/>
      </c>
      <c r="G23" s="82" t="str">
        <f t="shared" si="2"/>
        <v/>
      </c>
      <c r="I23" s="17"/>
      <c r="J23" s="85"/>
      <c r="K23" s="54"/>
      <c r="L23" s="96"/>
      <c r="M23" s="96"/>
      <c r="N23" s="99"/>
      <c r="O23" s="99"/>
      <c r="P23" s="99"/>
      <c r="Q23" s="115" t="str">
        <f t="shared" si="3"/>
        <v/>
      </c>
      <c r="R23" s="115" t="str">
        <f t="shared" si="3"/>
        <v/>
      </c>
      <c r="S23" s="115" t="str">
        <f t="shared" si="3"/>
        <v/>
      </c>
      <c r="T23" s="115" t="str">
        <f t="shared" si="3"/>
        <v/>
      </c>
      <c r="U23" s="115" t="str">
        <f t="shared" si="3"/>
        <v/>
      </c>
      <c r="V23" s="115" t="str">
        <f t="shared" si="3"/>
        <v/>
      </c>
      <c r="W23" s="115" t="str">
        <f t="shared" si="3"/>
        <v/>
      </c>
      <c r="X23" s="53"/>
      <c r="Y23" s="54"/>
      <c r="Z23" s="99"/>
      <c r="AA23" s="99"/>
      <c r="AB23" t="s">
        <v>151</v>
      </c>
      <c r="AC23">
        <f>COUNT(C19,E19,C28,E28,E27,E37,C37,C38,C45,E45,C46,C54,E54,C55,S10,S11,U10,S18,U18,S19,S27,S28,U27,S37,U37,S38,S45,U45,S48,U48,S49)+COUNT(C22,E22,C29,E29,C39,E39,C47,E47,E55,C56,S46,U46,S55,U54,U39,S39,S29,U29,S20,U20,U12,S12)</f>
        <v>53</v>
      </c>
      <c r="AD23" s="316" t="s">
        <v>154</v>
      </c>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B25" t="s">
        <v>2</v>
      </c>
      <c r="AC25">
        <f>COUNT(C10,C10:C13,E10:E13,C19,E19,C28:C31,E28:E30,C37:C39,E36:E39,C46:C47,E45:E47, S12:S13,U12:U13,S18:S20,U18:U20,S27:S29,U27:U29, S31,U31,S37:S40,U37:U39,S46:S48,U46:U47)</f>
        <v>60</v>
      </c>
      <c r="AD25" s="316">
        <v>60</v>
      </c>
    </row>
    <row r="26" spans="1:30">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B26" t="s">
        <v>127</v>
      </c>
      <c r="AC26">
        <f>COUNT(C10,C10:C13,E10:E13,C19,E19,C22,E22,C28:C31,E27:E30,C37:C40,E36:E40,C45:C47,E45:E47, S12:S13,U12:U13,S18:S21,U18:U20,S27:S29,U27:U29, S31,U31,S37:S40,U37:U39,S46:S48,U46:U48)</f>
        <v>68</v>
      </c>
      <c r="AD26" s="316">
        <v>68</v>
      </c>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114">
        <f t="shared" si="4"/>
        <v>42248</v>
      </c>
      <c r="D27" s="82">
        <f t="shared" si="4"/>
        <v>42249</v>
      </c>
      <c r="E27" s="82">
        <f t="shared" si="4"/>
        <v>42250</v>
      </c>
      <c r="F27" s="82">
        <f t="shared" si="4"/>
        <v>42251</v>
      </c>
      <c r="G27" s="82">
        <f t="shared" si="4"/>
        <v>42252</v>
      </c>
      <c r="I27" s="17"/>
      <c r="J27" s="317"/>
      <c r="K27" s="54"/>
      <c r="L27" s="96"/>
      <c r="M27" s="96"/>
      <c r="N27" s="99"/>
      <c r="O27" s="99"/>
      <c r="P27" s="99"/>
      <c r="Q27" s="82" t="str">
        <f t="shared" ref="Q27:W32" si="5">IF(MONTH($Q$25)&lt;&gt;MONTH($Q$25-(WEEKDAY($Q$25,1)-($I$4-1))-IF((WEEKDAY($Q$25,1)-($I$4-1))&lt;=0,7,0)+(ROW(Q27)-ROW($Q$27))*7+(COLUMN(Q27)-COLUMN($Q$27)+1)),"",$Q$25-(WEEKDAY($Q$25,1)-($I$4-1))-IF((WEEKDAY($Q$25,1)-($I$4-1))&lt;=0,7,0)+(ROW(Q27)-ROW($Q$27))*7+(COLUMN(Q27)-COLUMN($Q$27)+1))</f>
        <v/>
      </c>
      <c r="R27" s="82" t="str">
        <f t="shared" si="5"/>
        <v/>
      </c>
      <c r="S27" s="460">
        <f t="shared" si="5"/>
        <v>42430</v>
      </c>
      <c r="T27" s="369">
        <f t="shared" si="5"/>
        <v>42431</v>
      </c>
      <c r="U27" s="459">
        <f t="shared" si="5"/>
        <v>42432</v>
      </c>
      <c r="V27" s="82">
        <f t="shared" si="5"/>
        <v>42433</v>
      </c>
      <c r="W27" s="82">
        <f t="shared" si="5"/>
        <v>42434</v>
      </c>
      <c r="X27" s="54"/>
      <c r="Y27" s="54"/>
      <c r="Z27" s="97"/>
      <c r="AA27" s="97"/>
      <c r="AB27" t="s">
        <v>128</v>
      </c>
      <c r="AC27">
        <f>COUNT(C10,C10:C13,E10:E13,C19,E19,C28:C31,E28:E30,C37:C39,E36:E39,C46:C47,E45:E47, S12:S13,U12:U13,S18:S20,U18:U20,S27:S29,U27:U29, S31,U31,S37:S40,U37:U39,S46:S48,U46:U47)</f>
        <v>60</v>
      </c>
      <c r="AD27" s="316">
        <v>60</v>
      </c>
    </row>
    <row r="28" spans="1:30" ht="15.75" thickBot="1">
      <c r="A28" s="111">
        <f t="shared" si="4"/>
        <v>42253</v>
      </c>
      <c r="B28" s="453">
        <f t="shared" si="4"/>
        <v>42254</v>
      </c>
      <c r="C28" s="114">
        <f t="shared" si="4"/>
        <v>42255</v>
      </c>
      <c r="D28" s="379">
        <f t="shared" si="4"/>
        <v>42256</v>
      </c>
      <c r="E28" s="82">
        <f t="shared" si="4"/>
        <v>42257</v>
      </c>
      <c r="F28" s="82">
        <f t="shared" si="4"/>
        <v>42258</v>
      </c>
      <c r="G28" s="112">
        <f t="shared" si="4"/>
        <v>42259</v>
      </c>
      <c r="I28" s="17"/>
      <c r="J28" s="290"/>
      <c r="K28" s="54"/>
      <c r="L28" s="96"/>
      <c r="M28" s="96"/>
      <c r="N28" s="87"/>
      <c r="O28" s="87"/>
      <c r="P28" s="99"/>
      <c r="Q28" s="82">
        <f t="shared" si="5"/>
        <v>42435</v>
      </c>
      <c r="R28" s="376">
        <f t="shared" si="5"/>
        <v>42436</v>
      </c>
      <c r="S28" s="461">
        <f t="shared" si="5"/>
        <v>42437</v>
      </c>
      <c r="T28" s="456">
        <f t="shared" si="5"/>
        <v>42438</v>
      </c>
      <c r="U28" s="459">
        <f t="shared" si="5"/>
        <v>42439</v>
      </c>
      <c r="V28" s="82">
        <f t="shared" si="5"/>
        <v>42440</v>
      </c>
      <c r="W28" s="82">
        <f t="shared" si="5"/>
        <v>42441</v>
      </c>
      <c r="X28" s="291"/>
      <c r="Y28" s="56"/>
      <c r="Z28" s="96"/>
      <c r="AA28" s="88"/>
      <c r="AB28" s="99" t="s">
        <v>142</v>
      </c>
      <c r="AD28" s="316" t="s">
        <v>143</v>
      </c>
    </row>
    <row r="29" spans="1:30" ht="15.75" thickBot="1">
      <c r="A29" s="111">
        <f t="shared" si="4"/>
        <v>42260</v>
      </c>
      <c r="B29" s="111">
        <f t="shared" si="4"/>
        <v>42261</v>
      </c>
      <c r="C29" s="126">
        <f t="shared" si="4"/>
        <v>42262</v>
      </c>
      <c r="D29" s="112">
        <f t="shared" si="4"/>
        <v>42263</v>
      </c>
      <c r="E29" s="82">
        <f t="shared" si="4"/>
        <v>42264</v>
      </c>
      <c r="F29" s="82">
        <f t="shared" si="4"/>
        <v>42265</v>
      </c>
      <c r="G29" s="112">
        <f t="shared" si="4"/>
        <v>42266</v>
      </c>
      <c r="I29" s="17"/>
      <c r="J29" s="85"/>
      <c r="K29" s="54"/>
      <c r="L29" s="96"/>
      <c r="M29" s="96"/>
      <c r="N29" s="87"/>
      <c r="O29" s="87"/>
      <c r="P29" s="99"/>
      <c r="Q29" s="82">
        <f t="shared" si="5"/>
        <v>42442</v>
      </c>
      <c r="R29" s="369">
        <f t="shared" si="5"/>
        <v>42443</v>
      </c>
      <c r="S29" s="462">
        <f t="shared" si="5"/>
        <v>42444</v>
      </c>
      <c r="T29" s="369">
        <f t="shared" si="5"/>
        <v>42445</v>
      </c>
      <c r="U29" s="459">
        <f t="shared" si="5"/>
        <v>42446</v>
      </c>
      <c r="V29" s="119">
        <f t="shared" si="5"/>
        <v>42447</v>
      </c>
      <c r="W29" s="82">
        <f t="shared" si="5"/>
        <v>42448</v>
      </c>
      <c r="X29" s="96"/>
      <c r="Y29" s="56"/>
      <c r="AA29" s="88"/>
      <c r="AB29" s="99" t="s">
        <v>147</v>
      </c>
      <c r="AC29">
        <f>COUNT(F30,F39,F47,V19,V28,V37,V46)</f>
        <v>7</v>
      </c>
      <c r="AD29" s="316" t="s">
        <v>148</v>
      </c>
    </row>
    <row r="30" spans="1:30">
      <c r="A30" s="111">
        <f t="shared" si="4"/>
        <v>42267</v>
      </c>
      <c r="B30" s="82">
        <f t="shared" si="4"/>
        <v>42268</v>
      </c>
      <c r="C30" s="115">
        <f t="shared" si="4"/>
        <v>42269</v>
      </c>
      <c r="D30" s="82">
        <f t="shared" si="4"/>
        <v>42270</v>
      </c>
      <c r="E30" s="348">
        <f t="shared" si="4"/>
        <v>42271</v>
      </c>
      <c r="F30" s="82">
        <f t="shared" si="4"/>
        <v>42272</v>
      </c>
      <c r="G30" s="112">
        <f t="shared" si="4"/>
        <v>42273</v>
      </c>
      <c r="H30" s="23"/>
      <c r="I30" s="24"/>
      <c r="J30" s="96"/>
      <c r="K30" s="96"/>
      <c r="L30" s="87"/>
      <c r="M30" s="87"/>
      <c r="P30" s="99"/>
      <c r="Q30" s="82">
        <f t="shared" si="5"/>
        <v>42449</v>
      </c>
      <c r="R30" s="369">
        <f t="shared" si="5"/>
        <v>42450</v>
      </c>
      <c r="S30" s="459">
        <f t="shared" si="5"/>
        <v>42451</v>
      </c>
      <c r="T30" s="369">
        <f t="shared" si="5"/>
        <v>42452</v>
      </c>
      <c r="U30" s="367">
        <f t="shared" si="5"/>
        <v>42453</v>
      </c>
      <c r="V30" s="368">
        <f t="shared" si="5"/>
        <v>42454</v>
      </c>
      <c r="W30" s="82">
        <f t="shared" si="5"/>
        <v>42455</v>
      </c>
      <c r="X30" s="291"/>
      <c r="Y30" s="56"/>
      <c r="Z30" s="88"/>
      <c r="AA30" s="88"/>
      <c r="AB30" s="99" t="s">
        <v>152</v>
      </c>
      <c r="AD30" s="316" t="s">
        <v>153</v>
      </c>
    </row>
    <row r="31" spans="1:30">
      <c r="A31" s="82">
        <f t="shared" si="4"/>
        <v>42274</v>
      </c>
      <c r="B31" s="82">
        <f t="shared" si="4"/>
        <v>42275</v>
      </c>
      <c r="C31" s="82">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320">
        <f t="shared" si="5"/>
        <v>42457</v>
      </c>
      <c r="S31" s="459">
        <f t="shared" si="5"/>
        <v>42458</v>
      </c>
      <c r="T31" s="369">
        <f t="shared" si="5"/>
        <v>42459</v>
      </c>
      <c r="U31" s="459">
        <f t="shared" si="5"/>
        <v>42460</v>
      </c>
      <c r="V31" s="82" t="str">
        <f t="shared" si="5"/>
        <v/>
      </c>
      <c r="W31" s="82" t="str">
        <f t="shared" si="5"/>
        <v/>
      </c>
      <c r="X31" s="317"/>
      <c r="Y31" s="55"/>
      <c r="Z31" s="99"/>
      <c r="AA31" s="99"/>
      <c r="AB31" s="99" t="s">
        <v>15</v>
      </c>
      <c r="AD31" s="316" t="s">
        <v>146</v>
      </c>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8"/>
      <c r="Y32" s="55"/>
      <c r="Z32" s="99"/>
      <c r="AA32" s="99"/>
      <c r="AB32" s="99" t="s">
        <v>14</v>
      </c>
      <c r="AD32" s="316" t="s">
        <v>145</v>
      </c>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X34" s="319"/>
      <c r="Y34" s="54"/>
      <c r="Z34" s="99"/>
      <c r="AA34" s="99"/>
      <c r="AB34" s="99" t="s">
        <v>141</v>
      </c>
      <c r="AD34" s="316" t="s">
        <v>144</v>
      </c>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t="s">
        <v>149</v>
      </c>
      <c r="AD35" s="316" t="s">
        <v>150</v>
      </c>
    </row>
    <row r="36" spans="1:30" ht="15.75" thickBot="1">
      <c r="A36" s="111"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82">
        <f t="shared" si="6"/>
        <v>42278</v>
      </c>
      <c r="F36" s="82">
        <f t="shared" si="6"/>
        <v>42279</v>
      </c>
      <c r="G36" s="112">
        <f t="shared" si="6"/>
        <v>42280</v>
      </c>
      <c r="H36" s="46"/>
      <c r="I36" s="47"/>
      <c r="J36" s="85"/>
      <c r="K36" s="85"/>
      <c r="L36" s="96"/>
      <c r="M36" s="96"/>
      <c r="N36" s="99"/>
      <c r="O36" s="99"/>
      <c r="P36" s="99"/>
      <c r="Q36" s="82" t="str">
        <f t="shared" ref="Q36:W41" si="7">IF(MONTH($Q$34)&lt;&gt;MONTH($Q$34-(WEEKDAY($Q$34,1)-($I$4-1))-IF((WEEKDAY($Q$34,1)-($I$4-1))&lt;=0,7,0)+(ROW(Q36)-ROW($Q$36))*7+(COLUMN(Q36)-COLUMN($Q$36)+1)),"",$Q$34-(WEEKDAY($Q$34,1)-($I$4-1))-IF((WEEKDAY($Q$34,1)-($I$4-1))&lt;=0,7,0)+(ROW(Q36)-ROW($Q$36))*7+(COLUMN(Q36)-COLUMN($Q$36)+1))</f>
        <v/>
      </c>
      <c r="R36" s="82" t="str">
        <f t="shared" si="7"/>
        <v/>
      </c>
      <c r="S36" s="82" t="str">
        <f t="shared" si="7"/>
        <v/>
      </c>
      <c r="T36" s="82" t="str">
        <f t="shared" si="7"/>
        <v/>
      </c>
      <c r="U36" s="83" t="str">
        <f t="shared" si="7"/>
        <v/>
      </c>
      <c r="V36" s="82">
        <f t="shared" si="7"/>
        <v>42461</v>
      </c>
      <c r="W36" s="82">
        <f t="shared" si="7"/>
        <v>42462</v>
      </c>
      <c r="X36" s="57"/>
      <c r="Y36" s="55"/>
      <c r="Z36" s="99"/>
      <c r="AA36" s="99"/>
      <c r="AB36" s="99"/>
    </row>
    <row r="37" spans="1:30" ht="15.75" thickBot="1">
      <c r="A37" s="111">
        <f t="shared" si="6"/>
        <v>42281</v>
      </c>
      <c r="B37" s="82">
        <f t="shared" si="6"/>
        <v>42282</v>
      </c>
      <c r="C37" s="114">
        <f t="shared" si="6"/>
        <v>42283</v>
      </c>
      <c r="D37" s="82">
        <f t="shared" si="6"/>
        <v>42284</v>
      </c>
      <c r="E37" s="82">
        <f t="shared" si="6"/>
        <v>42285</v>
      </c>
      <c r="F37" s="348">
        <f t="shared" si="6"/>
        <v>42286</v>
      </c>
      <c r="G37" s="112">
        <f t="shared" si="6"/>
        <v>42287</v>
      </c>
      <c r="I37" s="17"/>
      <c r="J37" s="290"/>
      <c r="K37" s="107"/>
      <c r="L37" s="101"/>
      <c r="M37" s="101"/>
      <c r="N37" s="99"/>
      <c r="O37" s="99"/>
      <c r="P37" s="99"/>
      <c r="Q37" s="82">
        <f t="shared" si="7"/>
        <v>42463</v>
      </c>
      <c r="R37" s="369">
        <f t="shared" si="7"/>
        <v>42464</v>
      </c>
      <c r="S37" s="460">
        <f t="shared" si="7"/>
        <v>42465</v>
      </c>
      <c r="T37" s="369">
        <f t="shared" si="7"/>
        <v>42466</v>
      </c>
      <c r="U37" s="459">
        <f t="shared" si="7"/>
        <v>42467</v>
      </c>
      <c r="V37" s="348">
        <f t="shared" si="7"/>
        <v>42468</v>
      </c>
      <c r="W37" s="82">
        <f t="shared" si="7"/>
        <v>42469</v>
      </c>
      <c r="X37" s="291"/>
      <c r="Y37" s="56"/>
      <c r="Z37" s="88"/>
      <c r="AA37" s="88"/>
      <c r="AB37" s="99"/>
    </row>
    <row r="38" spans="1:30" ht="15.75" thickBot="1">
      <c r="A38" s="111">
        <f t="shared" si="6"/>
        <v>42288</v>
      </c>
      <c r="B38" s="111">
        <f t="shared" si="6"/>
        <v>42289</v>
      </c>
      <c r="C38" s="126">
        <f t="shared" si="6"/>
        <v>42290</v>
      </c>
      <c r="D38" s="112">
        <f t="shared" si="6"/>
        <v>42291</v>
      </c>
      <c r="E38" s="82">
        <f t="shared" si="6"/>
        <v>42292</v>
      </c>
      <c r="F38" s="82">
        <f t="shared" si="6"/>
        <v>42293</v>
      </c>
      <c r="G38" s="112">
        <f t="shared" si="6"/>
        <v>42294</v>
      </c>
      <c r="H38" s="27"/>
      <c r="I38" s="28"/>
      <c r="J38" s="85"/>
      <c r="K38" s="85"/>
      <c r="L38" s="96"/>
      <c r="M38" s="96"/>
      <c r="N38" s="87"/>
      <c r="O38" s="87"/>
      <c r="P38" s="99"/>
      <c r="Q38" s="82">
        <f t="shared" si="7"/>
        <v>42470</v>
      </c>
      <c r="R38" s="376">
        <f t="shared" si="7"/>
        <v>42471</v>
      </c>
      <c r="S38" s="461">
        <f t="shared" si="7"/>
        <v>42472</v>
      </c>
      <c r="T38" s="455">
        <f t="shared" si="7"/>
        <v>42473</v>
      </c>
      <c r="U38" s="459">
        <f t="shared" si="7"/>
        <v>42474</v>
      </c>
      <c r="V38" s="119">
        <f t="shared" si="7"/>
        <v>42475</v>
      </c>
      <c r="W38" s="82">
        <f t="shared" si="7"/>
        <v>42476</v>
      </c>
      <c r="X38" s="96"/>
      <c r="Y38" s="56"/>
      <c r="AA38" s="88"/>
      <c r="AB38" s="99"/>
    </row>
    <row r="39" spans="1:30">
      <c r="A39" s="111">
        <f t="shared" si="6"/>
        <v>42295</v>
      </c>
      <c r="B39" s="82">
        <f t="shared" si="6"/>
        <v>42296</v>
      </c>
      <c r="C39" s="115">
        <f t="shared" si="6"/>
        <v>42297</v>
      </c>
      <c r="D39" s="82">
        <f t="shared" si="6"/>
        <v>42298</v>
      </c>
      <c r="E39" s="82">
        <f t="shared" si="6"/>
        <v>42299</v>
      </c>
      <c r="F39" s="348">
        <f>IF(MONTH($A$34)&lt;&gt;MONTH($A$34-(WEEKDAY($A$34,1)-($I$4-1))-IF((WEEKDAY($A$34,1)-($I$4-1))&lt;=0,7,0)+(ROW(F39)-ROW($A$36))*7+(COLUMN(F39)-COLUMN($A$36)+1)),"",$A$34-(WEEKDAY($A$34,1)-($I$4-1))-IF((WEEKDAY($A$34,1)-($I$4-1))&lt;=0,7,0)+(ROW(F39)-ROW($A$36))*7+(COLUMN(F39)-COLUMN($A$36)+1))</f>
        <v>42300</v>
      </c>
      <c r="G39" s="112">
        <f t="shared" si="6"/>
        <v>42301</v>
      </c>
      <c r="H39" s="22"/>
      <c r="I39" s="17"/>
      <c r="J39" s="96"/>
      <c r="K39" s="85"/>
      <c r="M39" s="96"/>
      <c r="N39" s="87"/>
      <c r="O39" s="87"/>
      <c r="P39" s="99"/>
      <c r="Q39" s="82">
        <f t="shared" si="7"/>
        <v>42477</v>
      </c>
      <c r="R39" s="369">
        <f t="shared" si="7"/>
        <v>42478</v>
      </c>
      <c r="S39" s="462">
        <f t="shared" si="7"/>
        <v>42479</v>
      </c>
      <c r="T39" s="369">
        <f t="shared" si="7"/>
        <v>42480</v>
      </c>
      <c r="U39" s="459">
        <f t="shared" si="7"/>
        <v>42481</v>
      </c>
      <c r="V39" s="348">
        <f t="shared" si="7"/>
        <v>42482</v>
      </c>
      <c r="W39" s="82">
        <f t="shared" si="7"/>
        <v>42483</v>
      </c>
      <c r="X39" s="291"/>
      <c r="Y39" s="56"/>
      <c r="Z39" s="88"/>
      <c r="AA39" s="88"/>
      <c r="AB39" s="99"/>
      <c r="AC39" s="321"/>
    </row>
    <row r="40" spans="1:30">
      <c r="A40" s="111">
        <f t="shared" si="6"/>
        <v>42302</v>
      </c>
      <c r="B40" s="82">
        <f t="shared" si="6"/>
        <v>42303</v>
      </c>
      <c r="C40" s="82">
        <f t="shared" si="6"/>
        <v>42304</v>
      </c>
      <c r="D40" s="82">
        <f t="shared" si="6"/>
        <v>42305</v>
      </c>
      <c r="E40" s="82">
        <f t="shared" si="6"/>
        <v>42306</v>
      </c>
      <c r="F40" s="82">
        <f t="shared" si="6"/>
        <v>42307</v>
      </c>
      <c r="G40" s="112">
        <f t="shared" si="6"/>
        <v>42308</v>
      </c>
      <c r="H40" s="23"/>
      <c r="I40" s="24"/>
      <c r="J40" s="317"/>
      <c r="K40" s="55"/>
      <c r="L40" s="96"/>
      <c r="M40" s="96"/>
      <c r="N40" s="87"/>
      <c r="O40" s="87"/>
      <c r="P40" s="99"/>
      <c r="Q40" s="82">
        <f t="shared" si="7"/>
        <v>42484</v>
      </c>
      <c r="R40" s="369">
        <f t="shared" si="7"/>
        <v>42485</v>
      </c>
      <c r="S40" s="459">
        <f t="shared" si="7"/>
        <v>42486</v>
      </c>
      <c r="T40" s="369">
        <f t="shared" si="7"/>
        <v>42487</v>
      </c>
      <c r="U40" s="459">
        <f t="shared" si="7"/>
        <v>42488</v>
      </c>
      <c r="V40" s="82">
        <f t="shared" si="7"/>
        <v>42489</v>
      </c>
      <c r="W40" s="82">
        <f t="shared" si="7"/>
        <v>42490</v>
      </c>
      <c r="X40" s="108"/>
      <c r="Y40" s="54"/>
      <c r="Z40" s="97"/>
      <c r="AA40" s="97"/>
      <c r="AB40" s="99"/>
      <c r="AC40" s="97"/>
    </row>
    <row r="41" spans="1:30">
      <c r="A41" s="84" t="str">
        <f t="shared" si="6"/>
        <v/>
      </c>
      <c r="B41" s="82" t="str">
        <f t="shared" si="6"/>
        <v/>
      </c>
      <c r="C41" s="84" t="str">
        <f t="shared" si="6"/>
        <v/>
      </c>
      <c r="D41" s="84" t="str">
        <f t="shared" si="6"/>
        <v/>
      </c>
      <c r="E41" s="84" t="str">
        <f t="shared" si="6"/>
        <v/>
      </c>
      <c r="F41" s="84" t="str">
        <f t="shared" si="6"/>
        <v/>
      </c>
      <c r="G41" s="84"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82">
        <f t="shared" si="8"/>
        <v>42310</v>
      </c>
      <c r="C45" s="114">
        <f t="shared" si="8"/>
        <v>42311</v>
      </c>
      <c r="D45" s="82">
        <f t="shared" si="8"/>
        <v>42312</v>
      </c>
      <c r="E45" s="348">
        <f t="shared" si="8"/>
        <v>42313</v>
      </c>
      <c r="F45" s="82">
        <f t="shared" si="8"/>
        <v>42314</v>
      </c>
      <c r="G45" s="112">
        <f t="shared" si="8"/>
        <v>42315</v>
      </c>
      <c r="H45" s="32"/>
      <c r="I45" s="24"/>
      <c r="J45" s="290"/>
      <c r="K45" s="54"/>
      <c r="L45" s="96"/>
      <c r="M45" s="96"/>
      <c r="N45" s="99"/>
      <c r="O45" s="99"/>
      <c r="P45" s="99"/>
      <c r="Q45" s="82">
        <f t="shared" ref="Q45:W50" si="9">IF(MONTH($Q$43)&lt;&gt;MONTH($Q$43-(WEEKDAY($Q$43,1)-($I$4-1))-IF((WEEKDAY($Q$43,1)-($I$4-1))&lt;=0,7,0)+(ROW(Q45)-ROW($Q$45))*7+(COLUMN(Q45)-COLUMN($Q$45)+1)),"",$Q$43-(WEEKDAY($Q$43,1)-($I$4-1))-IF((WEEKDAY($Q$43,1)-($I$4-1))&lt;=0,7,0)+(ROW(Q45)-ROW($Q$45))*7+(COLUMN(Q45)-COLUMN($Q$45)+1))</f>
        <v>42491</v>
      </c>
      <c r="R45" s="369">
        <f t="shared" si="9"/>
        <v>42492</v>
      </c>
      <c r="S45" s="460">
        <f t="shared" si="9"/>
        <v>42493</v>
      </c>
      <c r="T45" s="369">
        <f t="shared" si="9"/>
        <v>42494</v>
      </c>
      <c r="U45" s="459">
        <f t="shared" si="9"/>
        <v>42495</v>
      </c>
      <c r="V45" s="82">
        <f t="shared" si="9"/>
        <v>42496</v>
      </c>
      <c r="W45" s="82">
        <f t="shared" si="9"/>
        <v>42497</v>
      </c>
      <c r="X45" s="54"/>
      <c r="Y45" s="54"/>
      <c r="Z45" s="99"/>
      <c r="AA45" s="99"/>
      <c r="AB45" s="99"/>
    </row>
    <row r="46" spans="1:30" ht="15.75" thickBot="1">
      <c r="A46" s="111">
        <f t="shared" si="8"/>
        <v>42316</v>
      </c>
      <c r="B46" s="111">
        <f t="shared" si="8"/>
        <v>42317</v>
      </c>
      <c r="C46" s="126">
        <f t="shared" si="8"/>
        <v>42318</v>
      </c>
      <c r="D46" s="112">
        <f t="shared" si="8"/>
        <v>42319</v>
      </c>
      <c r="E46" s="82">
        <f t="shared" si="8"/>
        <v>42320</v>
      </c>
      <c r="F46" s="82">
        <f t="shared" si="8"/>
        <v>42321</v>
      </c>
      <c r="G46" s="112">
        <f t="shared" si="8"/>
        <v>42322</v>
      </c>
      <c r="H46" s="32"/>
      <c r="I46" s="24"/>
      <c r="J46" s="85"/>
      <c r="K46" s="85"/>
      <c r="L46" s="96"/>
      <c r="M46" s="96"/>
      <c r="N46" s="99"/>
      <c r="O46" s="99"/>
      <c r="P46" s="99"/>
      <c r="Q46" s="82">
        <f t="shared" si="9"/>
        <v>42498</v>
      </c>
      <c r="R46" s="378">
        <f t="shared" si="9"/>
        <v>42499</v>
      </c>
      <c r="S46" s="461">
        <f t="shared" si="9"/>
        <v>42500</v>
      </c>
      <c r="T46" s="455">
        <f t="shared" si="9"/>
        <v>42501</v>
      </c>
      <c r="U46" s="459">
        <f t="shared" si="9"/>
        <v>42502</v>
      </c>
      <c r="V46" s="119">
        <f t="shared" si="9"/>
        <v>42503</v>
      </c>
      <c r="W46" s="82">
        <f t="shared" si="9"/>
        <v>42504</v>
      </c>
      <c r="X46" s="291"/>
      <c r="Y46" s="55"/>
      <c r="Z46" s="97"/>
      <c r="AA46" s="97"/>
      <c r="AB46" s="99"/>
    </row>
    <row r="47" spans="1:30">
      <c r="A47" s="111">
        <f t="shared" si="8"/>
        <v>42323</v>
      </c>
      <c r="B47" s="82">
        <f t="shared" si="8"/>
        <v>42324</v>
      </c>
      <c r="C47" s="115">
        <f t="shared" si="8"/>
        <v>42325</v>
      </c>
      <c r="D47" s="82">
        <f t="shared" si="8"/>
        <v>42326</v>
      </c>
      <c r="E47" s="348">
        <f t="shared" si="8"/>
        <v>42327</v>
      </c>
      <c r="F47" s="82">
        <f t="shared" si="8"/>
        <v>42328</v>
      </c>
      <c r="G47" s="112">
        <f t="shared" si="8"/>
        <v>42329</v>
      </c>
      <c r="H47" s="32"/>
      <c r="I47" s="24"/>
      <c r="J47" s="96"/>
      <c r="K47" s="85"/>
      <c r="M47" s="96"/>
      <c r="N47" s="99"/>
      <c r="O47" s="99"/>
      <c r="P47" s="99"/>
      <c r="Q47" s="82">
        <f t="shared" si="9"/>
        <v>42505</v>
      </c>
      <c r="R47" s="369">
        <f t="shared" si="9"/>
        <v>42506</v>
      </c>
      <c r="S47" s="462">
        <f t="shared" si="9"/>
        <v>42507</v>
      </c>
      <c r="T47" s="369">
        <f t="shared" si="9"/>
        <v>42508</v>
      </c>
      <c r="U47" s="459">
        <f t="shared" si="9"/>
        <v>42509</v>
      </c>
      <c r="V47" s="82">
        <f t="shared" si="9"/>
        <v>42510</v>
      </c>
      <c r="W47" s="82">
        <f t="shared" si="9"/>
        <v>42511</v>
      </c>
      <c r="X47" s="96"/>
      <c r="Y47" s="56"/>
      <c r="AA47" s="88"/>
      <c r="AB47" s="99"/>
    </row>
    <row r="48" spans="1:30">
      <c r="A48" s="111">
        <f t="shared" si="8"/>
        <v>42330</v>
      </c>
      <c r="B48" s="84">
        <f t="shared" si="8"/>
        <v>42331</v>
      </c>
      <c r="C48" s="84">
        <f t="shared" si="8"/>
        <v>42332</v>
      </c>
      <c r="D48" s="84">
        <f t="shared" si="8"/>
        <v>42333</v>
      </c>
      <c r="E48" s="84">
        <f t="shared" si="8"/>
        <v>42334</v>
      </c>
      <c r="F48" s="84">
        <f t="shared" si="8"/>
        <v>42335</v>
      </c>
      <c r="G48" s="112">
        <f t="shared" si="8"/>
        <v>42336</v>
      </c>
      <c r="H48" s="32"/>
      <c r="I48" s="24"/>
      <c r="J48" s="290"/>
      <c r="K48" s="85"/>
      <c r="L48" s="96"/>
      <c r="M48" s="96"/>
      <c r="N48" s="99"/>
      <c r="O48" s="99"/>
      <c r="P48" s="99"/>
      <c r="Q48" s="82">
        <f t="shared" si="9"/>
        <v>42512</v>
      </c>
      <c r="R48" s="369">
        <f t="shared" si="9"/>
        <v>42513</v>
      </c>
      <c r="S48" s="463">
        <f t="shared" si="9"/>
        <v>42514</v>
      </c>
      <c r="T48" s="369">
        <f t="shared" si="9"/>
        <v>42515</v>
      </c>
      <c r="U48" s="459">
        <f t="shared" si="9"/>
        <v>42516</v>
      </c>
      <c r="V48" s="82">
        <f t="shared" si="9"/>
        <v>42517</v>
      </c>
      <c r="W48" s="82">
        <f t="shared" si="9"/>
        <v>42518</v>
      </c>
      <c r="X48" s="375"/>
      <c r="Y48" s="54"/>
      <c r="Z48" s="97"/>
      <c r="AA48" s="97"/>
      <c r="AB48" s="99"/>
    </row>
    <row r="49" spans="1:29">
      <c r="A49" s="111">
        <f t="shared" si="8"/>
        <v>42337</v>
      </c>
      <c r="B49" s="82">
        <f>IF(MONTH($A$43)&lt;&gt;MONTH($A$43-(WEEKDAY($A$43,1)-($I$4-1))-IF((WEEKDAY($A$43,1)-($I$4-1))&lt;=0,7,0)+(ROW(B49)-ROW($A$45))*7+(COLUMN(B49)-COLUMN($A$45)+1)),"",$A$43-(WEEKDAY($A$43,1)-($I$4-1))-IF((WEEKDAY($A$43,1)-($I$4-1))&lt;=0,7,0)+(ROW(B49)-ROW($A$45))*7+(COLUMN(B49)-COLUMN($A$45)+1))</f>
        <v>42338</v>
      </c>
      <c r="C49" s="82" t="str">
        <f t="shared" si="8"/>
        <v/>
      </c>
      <c r="D49" s="90" t="str">
        <f t="shared" si="8"/>
        <v/>
      </c>
      <c r="E49" s="90" t="str">
        <f t="shared" si="8"/>
        <v/>
      </c>
      <c r="F49" s="90" t="str">
        <f t="shared" si="8"/>
        <v/>
      </c>
      <c r="G49" s="371" t="str">
        <f t="shared" si="8"/>
        <v/>
      </c>
      <c r="H49" s="32"/>
      <c r="I49" s="24"/>
      <c r="J49" s="317"/>
      <c r="K49" s="85"/>
      <c r="L49" s="96"/>
      <c r="M49" s="96"/>
      <c r="N49" s="99"/>
      <c r="O49" s="99"/>
      <c r="P49" s="99"/>
      <c r="Q49" s="82">
        <f t="shared" si="9"/>
        <v>42519</v>
      </c>
      <c r="R49" s="368">
        <f t="shared" si="9"/>
        <v>42520</v>
      </c>
      <c r="S49" s="459">
        <f t="shared" si="9"/>
        <v>42521</v>
      </c>
      <c r="T49" s="82" t="str">
        <f t="shared" si="9"/>
        <v/>
      </c>
      <c r="U49" s="82" t="str">
        <f t="shared" si="9"/>
        <v/>
      </c>
      <c r="V49" s="82" t="str">
        <f t="shared" si="9"/>
        <v/>
      </c>
      <c r="W49" s="82" t="str">
        <f t="shared" si="9"/>
        <v/>
      </c>
      <c r="X49" s="109"/>
      <c r="Y49" s="56"/>
      <c r="Z49" s="88"/>
      <c r="AA49" s="88"/>
      <c r="AB49" s="99"/>
    </row>
    <row r="50" spans="1:29">
      <c r="A50" s="82" t="str">
        <f t="shared" si="8"/>
        <v/>
      </c>
      <c r="B50" s="115" t="str">
        <f t="shared" si="8"/>
        <v/>
      </c>
      <c r="C50" s="115" t="str">
        <f t="shared" si="8"/>
        <v/>
      </c>
      <c r="D50" s="115" t="str">
        <f t="shared" si="8"/>
        <v/>
      </c>
      <c r="E50" s="115" t="str">
        <f t="shared" si="8"/>
        <v/>
      </c>
      <c r="F50" s="115" t="str">
        <f t="shared" si="8"/>
        <v/>
      </c>
      <c r="G50" s="82" t="str">
        <f t="shared" si="8"/>
        <v/>
      </c>
      <c r="I50" s="17"/>
      <c r="J50" s="3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c r="A54" s="82" t="str">
        <f t="shared" ref="A54:G59" si="10">IF(MONTH($A$52)&lt;&gt;MONTH($A$52-(WEEKDAY($A$52,1)-($I$4-1))-IF((WEEKDAY($A$52,1)-($I$4-1))&lt;=0,7,0)+(ROW(A54)-ROW($A$54))*7+(COLUMN(A54)-COLUMN($A$54)+1)),"",$A$52-(WEEKDAY($A$52,1)-($I$4-1))-IF((WEEKDAY($A$52,1)-($I$4-1))&lt;=0,7,0)+(ROW(A54)-ROW($A$54))*7+(COLUMN(A54)-COLUMN($A$54)+1))</f>
        <v/>
      </c>
      <c r="B54" s="82" t="str">
        <f t="shared" si="10"/>
        <v/>
      </c>
      <c r="C54" s="82">
        <f t="shared" si="10"/>
        <v>42339</v>
      </c>
      <c r="D54" s="348">
        <f t="shared" si="10"/>
        <v>42340</v>
      </c>
      <c r="E54" s="82">
        <f t="shared" si="10"/>
        <v>42341</v>
      </c>
      <c r="F54" s="82">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369">
        <f t="shared" si="11"/>
        <v>42522</v>
      </c>
      <c r="U54" s="459">
        <f t="shared" si="11"/>
        <v>42523</v>
      </c>
      <c r="V54" s="82">
        <f t="shared" si="11"/>
        <v>42524</v>
      </c>
      <c r="W54" s="82">
        <f t="shared" si="11"/>
        <v>42525</v>
      </c>
      <c r="X54" s="54"/>
      <c r="Y54" s="54"/>
      <c r="Z54" s="97"/>
      <c r="AA54" s="97"/>
      <c r="AB54" s="99"/>
    </row>
    <row r="55" spans="1:29">
      <c r="A55" s="82">
        <f t="shared" si="10"/>
        <v>42344</v>
      </c>
      <c r="B55" s="82">
        <f t="shared" si="10"/>
        <v>42345</v>
      </c>
      <c r="C55" s="82">
        <f t="shared" si="10"/>
        <v>42346</v>
      </c>
      <c r="D55" s="82">
        <f t="shared" si="10"/>
        <v>42347</v>
      </c>
      <c r="E55" s="82">
        <f t="shared" si="10"/>
        <v>42348</v>
      </c>
      <c r="F55" s="82">
        <f t="shared" si="10"/>
        <v>42349</v>
      </c>
      <c r="G55" s="112">
        <f t="shared" si="10"/>
        <v>42350</v>
      </c>
      <c r="I55" s="17"/>
      <c r="J55" s="85"/>
      <c r="K55" s="85"/>
      <c r="L55" s="96"/>
      <c r="M55" s="96"/>
      <c r="N55" s="99"/>
      <c r="O55" s="99"/>
      <c r="P55" s="99"/>
      <c r="Q55" s="82">
        <f t="shared" si="11"/>
        <v>42526</v>
      </c>
      <c r="R55" s="369">
        <f t="shared" si="11"/>
        <v>42527</v>
      </c>
      <c r="S55" s="459">
        <f t="shared" si="11"/>
        <v>42528</v>
      </c>
      <c r="T55" s="411">
        <f t="shared" si="11"/>
        <v>42529</v>
      </c>
      <c r="U55" s="459">
        <f t="shared" si="11"/>
        <v>42530</v>
      </c>
      <c r="V55" s="94">
        <f t="shared" si="11"/>
        <v>42531</v>
      </c>
      <c r="W55" s="82">
        <f t="shared" si="11"/>
        <v>42532</v>
      </c>
      <c r="X55" s="291"/>
      <c r="Y55" s="54"/>
      <c r="Z55" s="99"/>
      <c r="AA55" s="99"/>
      <c r="AB55" s="99"/>
    </row>
    <row r="56" spans="1:29">
      <c r="A56" s="82">
        <f t="shared" si="10"/>
        <v>42351</v>
      </c>
      <c r="B56" s="82">
        <f t="shared" si="10"/>
        <v>42352</v>
      </c>
      <c r="C56" s="82">
        <f t="shared" si="10"/>
        <v>42353</v>
      </c>
      <c r="D56" s="82">
        <f t="shared" si="10"/>
        <v>42354</v>
      </c>
      <c r="E56" s="82">
        <f t="shared" si="10"/>
        <v>42355</v>
      </c>
      <c r="F56" s="82">
        <f t="shared" si="10"/>
        <v>42356</v>
      </c>
      <c r="G56" s="372">
        <f t="shared" si="10"/>
        <v>42357</v>
      </c>
      <c r="H56" s="22"/>
      <c r="I56" s="17"/>
      <c r="J56" s="317"/>
      <c r="K56" s="54"/>
      <c r="L56" s="99"/>
      <c r="M56" s="96"/>
      <c r="N56" s="99"/>
      <c r="O56" s="99"/>
      <c r="P56" s="99"/>
      <c r="Q56" s="81">
        <f t="shared" si="11"/>
        <v>42533</v>
      </c>
      <c r="R56" s="81">
        <f t="shared" si="11"/>
        <v>42534</v>
      </c>
      <c r="S56" s="81">
        <f t="shared" si="11"/>
        <v>42535</v>
      </c>
      <c r="T56" s="81">
        <f t="shared" si="11"/>
        <v>42536</v>
      </c>
      <c r="U56" s="320">
        <f t="shared" si="11"/>
        <v>42537</v>
      </c>
      <c r="V56" s="320">
        <f t="shared" si="11"/>
        <v>42538</v>
      </c>
      <c r="W56" s="81">
        <f t="shared" si="11"/>
        <v>42539</v>
      </c>
      <c r="X56" s="317"/>
      <c r="Y56" s="54"/>
      <c r="Z56" s="99"/>
      <c r="AA56" s="99"/>
      <c r="AB56" s="99"/>
    </row>
    <row r="57" spans="1:29">
      <c r="A57" s="454">
        <f t="shared" si="10"/>
        <v>42358</v>
      </c>
      <c r="B57" s="454">
        <f t="shared" si="10"/>
        <v>42359</v>
      </c>
      <c r="C57" s="348">
        <f t="shared" si="10"/>
        <v>42360</v>
      </c>
      <c r="D57" s="454">
        <f t="shared" si="10"/>
        <v>42361</v>
      </c>
      <c r="E57" s="454">
        <f t="shared" si="10"/>
        <v>42362</v>
      </c>
      <c r="F57" s="454">
        <f t="shared" si="10"/>
        <v>42363</v>
      </c>
      <c r="G57" s="372">
        <f t="shared" si="10"/>
        <v>42364</v>
      </c>
      <c r="I57" s="17"/>
      <c r="J57" s="290"/>
      <c r="K57" s="54"/>
      <c r="L57" s="99"/>
      <c r="M57" s="99"/>
      <c r="N57" s="99"/>
      <c r="O57" s="99"/>
      <c r="P57" s="99"/>
      <c r="Q57" s="98">
        <f t="shared" si="11"/>
        <v>42540</v>
      </c>
      <c r="R57" s="98">
        <f t="shared" si="11"/>
        <v>42541</v>
      </c>
      <c r="S57" s="98">
        <f t="shared" si="11"/>
        <v>42542</v>
      </c>
      <c r="T57" s="357">
        <f t="shared" si="11"/>
        <v>42543</v>
      </c>
      <c r="U57" s="98">
        <f t="shared" si="11"/>
        <v>42544</v>
      </c>
      <c r="V57" s="98">
        <f t="shared" si="11"/>
        <v>42545</v>
      </c>
      <c r="W57" s="92">
        <f t="shared" si="11"/>
        <v>42546</v>
      </c>
      <c r="X57" s="291"/>
      <c r="Y57" s="54"/>
      <c r="Z57" s="99"/>
      <c r="AA57" s="99"/>
      <c r="AB57" s="99"/>
    </row>
    <row r="58" spans="1:29" ht="18.75" customHeight="1">
      <c r="A58" s="454">
        <f t="shared" si="10"/>
        <v>42365</v>
      </c>
      <c r="B58" s="454">
        <f t="shared" si="10"/>
        <v>42366</v>
      </c>
      <c r="C58" s="454">
        <f t="shared" si="10"/>
        <v>42367</v>
      </c>
      <c r="D58" s="454">
        <f t="shared" si="10"/>
        <v>42368</v>
      </c>
      <c r="E58" s="454">
        <f t="shared" si="10"/>
        <v>42369</v>
      </c>
      <c r="F58" s="454" t="str">
        <f t="shared" si="10"/>
        <v/>
      </c>
      <c r="G58" s="372" t="str">
        <f t="shared" si="10"/>
        <v/>
      </c>
      <c r="I58" s="17"/>
      <c r="J58" s="85"/>
      <c r="K58" s="54"/>
      <c r="L58" s="99"/>
      <c r="M58" s="99"/>
      <c r="N58" s="99"/>
      <c r="O58" s="99"/>
      <c r="P58" s="99"/>
      <c r="Q58" s="98">
        <f t="shared" si="11"/>
        <v>42547</v>
      </c>
      <c r="R58" s="98">
        <f t="shared" si="11"/>
        <v>42548</v>
      </c>
      <c r="S58" s="98">
        <f t="shared" si="11"/>
        <v>42549</v>
      </c>
      <c r="T58" s="98">
        <f t="shared" si="11"/>
        <v>42550</v>
      </c>
      <c r="U58" s="357">
        <f t="shared" si="11"/>
        <v>42551</v>
      </c>
      <c r="V58" s="81" t="str">
        <f t="shared" si="11"/>
        <v/>
      </c>
      <c r="W58" s="81" t="str">
        <f t="shared" si="11"/>
        <v/>
      </c>
      <c r="X58" s="291"/>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t="s">
        <v>160</v>
      </c>
      <c r="P61" s="70"/>
      <c r="Q61" s="70"/>
      <c r="R61" s="70"/>
      <c r="S61" s="25"/>
      <c r="T61" s="458"/>
      <c r="U61" s="70" t="s">
        <v>162</v>
      </c>
      <c r="V61" s="74"/>
      <c r="W61" s="25" t="s">
        <v>306</v>
      </c>
      <c r="X61" s="72"/>
      <c r="Y61" s="70"/>
      <c r="Z61" s="73"/>
    </row>
    <row r="62" spans="1:29" ht="15.75" thickBot="1">
      <c r="A62" s="452"/>
      <c r="B62" s="70" t="s">
        <v>308</v>
      </c>
      <c r="C62" s="70"/>
      <c r="D62" s="70"/>
      <c r="E62" s="70"/>
      <c r="F62" s="71"/>
      <c r="G62" s="71"/>
      <c r="H62" s="72"/>
      <c r="I62" s="70"/>
      <c r="J62" s="73"/>
      <c r="K62" s="6"/>
      <c r="L62" s="6"/>
      <c r="N62" s="3"/>
      <c r="T62" s="457"/>
      <c r="U62" t="s">
        <v>307</v>
      </c>
      <c r="V62" s="71"/>
      <c r="W62" s="87"/>
      <c r="X62" s="104"/>
      <c r="Y62" s="25"/>
      <c r="Z62" s="25"/>
      <c r="AC62" s="29"/>
    </row>
    <row r="63" spans="1:29">
      <c r="A63" s="292"/>
      <c r="B63" s="293" t="s">
        <v>126</v>
      </c>
      <c r="C63" s="293"/>
      <c r="D63" s="293"/>
      <c r="E63" s="293"/>
      <c r="F63" s="77"/>
      <c r="G63" s="77"/>
      <c r="H63" s="70"/>
      <c r="I63" s="70"/>
      <c r="J63" s="73"/>
      <c r="K63" s="6"/>
      <c r="L63" s="6"/>
      <c r="T63" s="70"/>
      <c r="U63" s="70"/>
      <c r="V63" s="70"/>
      <c r="W63" s="70"/>
      <c r="X63" s="70"/>
      <c r="Y63" s="70"/>
      <c r="Z63" s="70"/>
    </row>
    <row r="64" spans="1:29">
      <c r="B64" s="70"/>
      <c r="C64" s="70"/>
      <c r="D64" s="70"/>
      <c r="E64" s="70"/>
      <c r="F64" s="70"/>
      <c r="G64" s="70"/>
      <c r="H64" s="72"/>
      <c r="I64" s="70"/>
      <c r="J64" s="73"/>
      <c r="K64" s="6"/>
      <c r="L64" s="6"/>
    </row>
    <row r="74" spans="1:24">
      <c r="A74" s="30" t="s">
        <v>20</v>
      </c>
      <c r="H74"/>
      <c r="X74"/>
    </row>
  </sheetData>
  <mergeCells count="21">
    <mergeCell ref="A16:G16"/>
    <mergeCell ref="Q16:W16"/>
    <mergeCell ref="A1:P1"/>
    <mergeCell ref="A2:G2"/>
    <mergeCell ref="R2:X2"/>
    <mergeCell ref="A3:C3"/>
    <mergeCell ref="E3:G3"/>
    <mergeCell ref="I3:L3"/>
    <mergeCell ref="A4:C4"/>
    <mergeCell ref="E4:G4"/>
    <mergeCell ref="I4:L4"/>
    <mergeCell ref="A7:G7"/>
    <mergeCell ref="Q7:W7"/>
    <mergeCell ref="A52:G52"/>
    <mergeCell ref="Q52:W52"/>
    <mergeCell ref="A25:G25"/>
    <mergeCell ref="Q25:W25"/>
    <mergeCell ref="A34:G34"/>
    <mergeCell ref="Q34:W34"/>
    <mergeCell ref="A43:G43"/>
    <mergeCell ref="Q43:W43"/>
  </mergeCells>
  <conditionalFormatting sqref="Q36:W41 Q54:W59 Q45:W50 Q27:W32 Q18:W23 Q9:W14 A54:G59 A45:G50 A36:G41 A27:G32 A9:G14 A18:G23 B61">
    <cfRule type="cellIs" dxfId="2" priority="1" stopIfTrue="1" operator="equal">
      <formula>""</formula>
    </cfRule>
  </conditionalFormatting>
  <hyperlinks>
    <hyperlink ref="A2" r:id="rId1"/>
    <hyperlink ref="A74" r:id="rId2"/>
  </hyperlinks>
  <pageMargins left="0.25" right="0.25" top="0.61093750000000002" bottom="0.5" header="0.3" footer="0.3"/>
  <pageSetup scale="68" orientation="portrait" r:id="rId3"/>
  <headerFooter>
    <oddHeader>&amp;C&amp;20 2015-2016 AIU3 Adult Education Duquesne/Northside</oddHeader>
  </headerFooter>
  <drawing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view="pageLayout" topLeftCell="G19" zoomScaleNormal="100" workbookViewId="0">
      <selection activeCell="U40" sqref="U40"/>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8.140625" customWidth="1"/>
    <col min="28" max="28" width="19.42578125" bestFit="1" customWidth="1"/>
    <col min="30" max="30" width="10.42578125" bestFit="1" customWidth="1"/>
  </cols>
  <sheetData>
    <row r="1" spans="1:30"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30">
      <c r="A2" s="599" t="s">
        <v>20</v>
      </c>
      <c r="B2" s="599"/>
      <c r="C2" s="599"/>
      <c r="D2" s="599"/>
      <c r="E2" s="599"/>
      <c r="F2" s="599"/>
      <c r="G2" s="599"/>
      <c r="R2" s="600" t="s">
        <v>21</v>
      </c>
      <c r="S2" s="600"/>
      <c r="T2" s="600"/>
      <c r="U2" s="600"/>
      <c r="V2" s="600"/>
      <c r="W2" s="600"/>
      <c r="X2" s="600"/>
    </row>
    <row r="3" spans="1:30">
      <c r="A3" s="601" t="s">
        <v>22</v>
      </c>
      <c r="B3" s="601"/>
      <c r="C3" s="601"/>
      <c r="D3" s="11"/>
      <c r="E3" s="601" t="s">
        <v>23</v>
      </c>
      <c r="F3" s="601"/>
      <c r="G3" s="601"/>
      <c r="H3" s="12"/>
      <c r="I3" s="602" t="s">
        <v>24</v>
      </c>
      <c r="J3" s="602"/>
      <c r="K3" s="602"/>
      <c r="L3" s="602"/>
      <c r="M3" s="13"/>
      <c r="N3" s="13"/>
      <c r="O3" s="13"/>
      <c r="P3" s="13"/>
      <c r="Q3" s="13"/>
    </row>
    <row r="4" spans="1:30">
      <c r="A4" s="603">
        <v>2015</v>
      </c>
      <c r="B4" s="603"/>
      <c r="C4" s="603"/>
      <c r="D4" s="11"/>
      <c r="E4" s="603">
        <v>7</v>
      </c>
      <c r="F4" s="603"/>
      <c r="G4" s="603"/>
      <c r="H4" s="12"/>
      <c r="I4" s="603">
        <v>1</v>
      </c>
      <c r="J4" s="603"/>
      <c r="K4" s="603"/>
      <c r="L4" s="603"/>
      <c r="M4" s="14" t="s">
        <v>25</v>
      </c>
      <c r="N4" s="13"/>
      <c r="O4" s="13"/>
      <c r="P4" s="13"/>
      <c r="Q4" s="13"/>
    </row>
    <row r="5" spans="1:30" ht="23.25">
      <c r="A5" s="37" t="s">
        <v>26</v>
      </c>
      <c r="B5" s="38"/>
      <c r="C5" s="39"/>
      <c r="D5" s="40"/>
      <c r="E5" s="41"/>
      <c r="F5" s="41"/>
      <c r="G5" s="42"/>
      <c r="H5" s="35"/>
      <c r="I5" s="35"/>
      <c r="J5" s="43"/>
      <c r="K5" s="35"/>
      <c r="L5" s="15"/>
      <c r="M5" s="15"/>
      <c r="N5" s="15"/>
      <c r="O5" s="15"/>
      <c r="P5" s="15"/>
      <c r="Q5" s="15"/>
      <c r="R5" s="15"/>
      <c r="S5" s="15"/>
      <c r="T5" s="15"/>
      <c r="U5" s="34" t="s">
        <v>205</v>
      </c>
      <c r="V5" s="35"/>
      <c r="W5" s="35"/>
      <c r="X5" s="35"/>
      <c r="Y5" s="36"/>
      <c r="Z5" s="36"/>
      <c r="AA5" s="36"/>
    </row>
    <row r="6" spans="1:30" ht="6" customHeight="1">
      <c r="A6" s="58"/>
      <c r="B6" s="58"/>
      <c r="C6" s="58"/>
      <c r="D6" s="58"/>
      <c r="E6" s="58"/>
      <c r="F6" s="58"/>
      <c r="G6" s="58"/>
      <c r="P6" s="58"/>
    </row>
    <row r="7" spans="1:30">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c r="AB7" t="s">
        <v>119</v>
      </c>
    </row>
    <row r="8" spans="1:30">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c r="AB8" t="s">
        <v>123</v>
      </c>
      <c r="AC8" t="s">
        <v>117</v>
      </c>
      <c r="AD8" t="s">
        <v>130</v>
      </c>
    </row>
    <row r="9" spans="1:30">
      <c r="A9" s="82" t="str">
        <f t="shared" ref="A9:G14" si="0">IF(MONTH($A$7)&lt;&gt;MONTH($A$7-(WEEKDAY($A$7,1)-($I$4-1))-IF((WEEKDAY($A$7,1)-($I$4-1))&lt;=0,7,0)+(ROW(A9)-ROW($A$9))*7+(COLUMN(A9)-COLUMN($A$9)+1)),"",$A$7-(WEEKDAY($A$7,1)-($I$4-1))-IF((WEEKDAY($A$7,1)-($I$4-1))&lt;=0,7,0)+(ROW(A9)-ROW($A$9))*7+(COLUMN(A9)-COLUMN($A$9)+1))</f>
        <v/>
      </c>
      <c r="B9" s="82" t="str">
        <f t="shared" si="0"/>
        <v/>
      </c>
      <c r="C9" s="90" t="str">
        <f t="shared" si="0"/>
        <v/>
      </c>
      <c r="D9" s="90">
        <f t="shared" si="0"/>
        <v>42186</v>
      </c>
      <c r="E9" s="90">
        <f t="shared" si="0"/>
        <v>42187</v>
      </c>
      <c r="F9" s="90">
        <f t="shared" si="0"/>
        <v>42188</v>
      </c>
      <c r="G9" s="90">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82" t="str">
        <f t="shared" si="1"/>
        <v/>
      </c>
      <c r="S9" s="82" t="str">
        <f t="shared" si="1"/>
        <v/>
      </c>
      <c r="T9" s="374" t="str">
        <f t="shared" si="1"/>
        <v/>
      </c>
      <c r="U9" s="93" t="str">
        <f t="shared" si="1"/>
        <v/>
      </c>
      <c r="V9" s="93">
        <f t="shared" si="1"/>
        <v>42370</v>
      </c>
      <c r="W9" s="93">
        <f t="shared" si="1"/>
        <v>42371</v>
      </c>
      <c r="X9" s="57"/>
      <c r="Y9" s="54"/>
      <c r="Z9" s="99"/>
      <c r="AA9" s="99"/>
      <c r="AB9" t="s">
        <v>129</v>
      </c>
      <c r="AC9">
        <f>COUNT(C10:E10,C11:E11,C13,E13,C19:E19,C22:E22,D27:E27,C28:E28,C29:E29,C30:E30,C31:D31,C37:E37,C38:E38,C39:E40,C45:E47,C48:D48,C54:E55,C56:D56,S10:U13,S18:U21,S27:U29,S30:T31,U31,S37:U39,S40:T40,S45:U48,S49,T54:U54,S55:T55, U30, E56)</f>
        <v>126</v>
      </c>
      <c r="AD9">
        <v>126</v>
      </c>
    </row>
    <row r="10" spans="1:30">
      <c r="A10" s="82">
        <f t="shared" si="0"/>
        <v>42190</v>
      </c>
      <c r="B10" s="82">
        <f t="shared" si="0"/>
        <v>42191</v>
      </c>
      <c r="C10" s="369">
        <f>IF(MONTH($A$7)&lt;&gt;MONTH($A$7-(WEEKDAY($A$7,1)-($I$4-1))-IF((WEEKDAY($A$7,1)-($I$4-1))&lt;=0,7,0)+(ROW(C10)-ROW($A$9))*7+(COLUMN(C10)-COLUMN($A$9)+1)),"",$A$7-(WEEKDAY($A$7,1)-($I$4-1))-IF((WEEKDAY($A$7,1)-($I$4-1))&lt;=0,7,0)+(ROW(C10)-ROW($A$9))*7+(COLUMN(C10)-COLUMN($A$9)+1))</f>
        <v>42192</v>
      </c>
      <c r="D10" s="82">
        <f t="shared" si="0"/>
        <v>42193</v>
      </c>
      <c r="E10" s="369">
        <f t="shared" si="0"/>
        <v>42194</v>
      </c>
      <c r="F10" s="348">
        <f t="shared" si="0"/>
        <v>42195</v>
      </c>
      <c r="G10" s="82">
        <f t="shared" si="0"/>
        <v>42196</v>
      </c>
      <c r="I10" s="17"/>
      <c r="J10" s="290"/>
      <c r="K10" s="54"/>
      <c r="L10" s="99"/>
      <c r="M10" s="99"/>
      <c r="N10" s="99"/>
      <c r="O10" s="99"/>
      <c r="P10" s="99"/>
      <c r="Q10" s="82">
        <f t="shared" si="1"/>
        <v>42372</v>
      </c>
      <c r="R10" s="82">
        <f t="shared" si="1"/>
        <v>42373</v>
      </c>
      <c r="S10" s="369">
        <f t="shared" si="1"/>
        <v>42374</v>
      </c>
      <c r="T10" s="82">
        <f t="shared" si="1"/>
        <v>42375</v>
      </c>
      <c r="U10" s="411">
        <f t="shared" si="1"/>
        <v>42376</v>
      </c>
      <c r="V10" s="82">
        <f t="shared" si="1"/>
        <v>42377</v>
      </c>
      <c r="W10" s="82">
        <f t="shared" si="1"/>
        <v>42378</v>
      </c>
      <c r="X10" s="291"/>
      <c r="Y10" s="54"/>
      <c r="Z10" s="88"/>
      <c r="AA10" s="88"/>
      <c r="AB10" t="s">
        <v>121</v>
      </c>
      <c r="AC10">
        <f>COUNT(E10,C11,E11,C12,E12,C13,E13,C19,E19,C20,E20,C20,E20,C22,E22,E27,C28,E28,C29,E29,C30,E30,C31,E36,C37,E37,C38,E38,C39,E39,C40,E40,C45,E45,C46,E46,C47,E47,C54,E54,C55,E55,S10,U10,S11,U11,S12,U12,S13,U13,S18,U18,S19,U19,S20,U20,S21,U21,S27,U27,S28,U28,S29,U29,S31,U31,S37,U37,S38,U38,S39,U39,S40,S45,U45,S46,U46,S47,U47,S48,U48,S49,U54,S55)</f>
        <v>84</v>
      </c>
      <c r="AD10">
        <v>84</v>
      </c>
    </row>
    <row r="11" spans="1:30">
      <c r="A11" s="82">
        <f t="shared" si="0"/>
        <v>42197</v>
      </c>
      <c r="B11" s="82">
        <f t="shared" si="0"/>
        <v>42198</v>
      </c>
      <c r="C11" s="369">
        <f t="shared" si="0"/>
        <v>42199</v>
      </c>
      <c r="D11" s="82">
        <f t="shared" si="0"/>
        <v>42200</v>
      </c>
      <c r="E11" s="369">
        <f t="shared" si="0"/>
        <v>42201</v>
      </c>
      <c r="F11" s="82">
        <f t="shared" si="0"/>
        <v>42202</v>
      </c>
      <c r="G11" s="82">
        <f t="shared" si="0"/>
        <v>42203</v>
      </c>
      <c r="I11" s="17"/>
      <c r="J11" s="85"/>
      <c r="K11" s="54"/>
      <c r="L11" s="100"/>
      <c r="M11" s="88"/>
      <c r="N11" s="87"/>
      <c r="O11" s="87"/>
      <c r="P11" s="99"/>
      <c r="Q11" s="82">
        <f t="shared" si="1"/>
        <v>42379</v>
      </c>
      <c r="R11" s="82">
        <f t="shared" si="1"/>
        <v>42380</v>
      </c>
      <c r="S11" s="369">
        <f t="shared" si="1"/>
        <v>42381</v>
      </c>
      <c r="T11" s="82">
        <f t="shared" si="1"/>
        <v>42382</v>
      </c>
      <c r="U11" s="369">
        <f t="shared" si="1"/>
        <v>42383</v>
      </c>
      <c r="V11" s="82">
        <f t="shared" si="1"/>
        <v>42384</v>
      </c>
      <c r="W11" s="82">
        <f t="shared" si="1"/>
        <v>42385</v>
      </c>
      <c r="X11" s="56"/>
      <c r="Y11" s="56"/>
      <c r="Z11" s="88"/>
      <c r="AA11" s="88"/>
      <c r="AB11" t="s">
        <v>122</v>
      </c>
      <c r="AC11">
        <f>COUNT(B10,B10:B13,D10:D13,F10:F13,B19,D19,F19,B22:B23,D22,F22,B29:B31,D27:D31,F27:F30,B37:B40,D37:D40,F36:F40,B45:B49,D45:D47,F45:F47,B55:B56,D54:D56,F54:F55,R10:R11,T10:T13,V10:V13,R13,R18:R22,T18:T21,V18:V21,R28:R30,T27:T31,V27:V28,V29,R37:R40,T37:T40,V36:V40,R45:R48,T45:T48,V45:V47,R55:R55,T54:T55,V54)</f>
        <v>126</v>
      </c>
      <c r="AD11">
        <v>126</v>
      </c>
    </row>
    <row r="12" spans="1:30">
      <c r="A12" s="82">
        <f t="shared" si="0"/>
        <v>42204</v>
      </c>
      <c r="B12" s="82">
        <f t="shared" si="0"/>
        <v>42205</v>
      </c>
      <c r="C12" s="369">
        <f t="shared" si="0"/>
        <v>42206</v>
      </c>
      <c r="D12" s="82">
        <f t="shared" si="0"/>
        <v>42207</v>
      </c>
      <c r="E12" s="369">
        <f t="shared" si="0"/>
        <v>42208</v>
      </c>
      <c r="F12" s="348">
        <f t="shared" si="0"/>
        <v>42209</v>
      </c>
      <c r="G12" s="82">
        <f t="shared" si="0"/>
        <v>42210</v>
      </c>
      <c r="I12" s="17"/>
      <c r="J12" s="290"/>
      <c r="K12" s="287"/>
      <c r="L12" s="67"/>
      <c r="M12" s="96"/>
      <c r="N12" s="87"/>
      <c r="O12" s="87"/>
      <c r="P12" s="99"/>
      <c r="Q12" s="82">
        <f t="shared" si="1"/>
        <v>42386</v>
      </c>
      <c r="R12" s="368">
        <f t="shared" si="1"/>
        <v>42387</v>
      </c>
      <c r="S12" s="369">
        <f t="shared" si="1"/>
        <v>42388</v>
      </c>
      <c r="T12" s="82">
        <f t="shared" si="1"/>
        <v>42389</v>
      </c>
      <c r="U12" s="369">
        <f t="shared" si="1"/>
        <v>42390</v>
      </c>
      <c r="V12" s="348">
        <f t="shared" si="1"/>
        <v>42391</v>
      </c>
      <c r="W12" s="82">
        <f t="shared" si="1"/>
        <v>42392</v>
      </c>
      <c r="X12" s="291"/>
      <c r="Y12" s="56"/>
      <c r="Z12" s="88"/>
      <c r="AA12" s="88"/>
      <c r="AB12" t="s">
        <v>156</v>
      </c>
      <c r="AC12">
        <f>COUNT(D10,E10,C11:E11,C12,E12,C13:E13,C19:E19,C22:E22,D27:E27,C28:E30,C31:D31,E36,C37:E39,C40:E40,C45:E47,C48,C54:E56,S10:U13,S18:U21,S27:U29,S37:U39,S40,S45:U48,S49,T54:U54,S55:T55, S30:T31,U31)</f>
        <v>126</v>
      </c>
      <c r="AD12">
        <v>126</v>
      </c>
    </row>
    <row r="13" spans="1:30">
      <c r="A13" s="82">
        <f t="shared" si="0"/>
        <v>42211</v>
      </c>
      <c r="B13" s="82">
        <f t="shared" si="0"/>
        <v>42212</v>
      </c>
      <c r="C13" s="369">
        <f t="shared" si="0"/>
        <v>42213</v>
      </c>
      <c r="D13" s="82">
        <f t="shared" si="0"/>
        <v>42214</v>
      </c>
      <c r="E13" s="369">
        <f t="shared" si="0"/>
        <v>42215</v>
      </c>
      <c r="F13" s="82">
        <f t="shared" si="0"/>
        <v>42216</v>
      </c>
      <c r="G13" s="82" t="str">
        <f t="shared" si="0"/>
        <v/>
      </c>
      <c r="I13" s="17"/>
      <c r="J13" s="85"/>
      <c r="K13" s="54"/>
      <c r="L13" s="96"/>
      <c r="M13" s="96"/>
      <c r="N13" s="87"/>
      <c r="O13" s="87"/>
      <c r="P13" s="99"/>
      <c r="Q13" s="82">
        <f t="shared" si="1"/>
        <v>42393</v>
      </c>
      <c r="R13" s="82">
        <f t="shared" si="1"/>
        <v>42394</v>
      </c>
      <c r="S13" s="369">
        <f t="shared" si="1"/>
        <v>42395</v>
      </c>
      <c r="T13" s="82">
        <f t="shared" si="1"/>
        <v>42396</v>
      </c>
      <c r="U13" s="369">
        <f t="shared" si="1"/>
        <v>42397</v>
      </c>
      <c r="V13" s="82">
        <f t="shared" si="1"/>
        <v>42398</v>
      </c>
      <c r="W13" s="82">
        <f t="shared" si="1"/>
        <v>42399</v>
      </c>
      <c r="X13" s="96"/>
      <c r="Y13" s="56"/>
      <c r="AA13" s="97"/>
      <c r="AB13" t="s">
        <v>157</v>
      </c>
      <c r="AC13">
        <f>COUNT(B10,D10,B11,C11,B12:D12,B13:D13,B19:D19,B22,C22,D22,B23,D27,C28:D28,B29:D29,B30:D30,B31:D31,B37:D40,B45:D47,B48:C48,B49,C54:D54,B55:D56,R10:T11,S12:T12,R13:T13,R18:T21,R22,S27:T27,R28:S30,S31:T31,R37:T40,R45:T48,S49,T54,R55:T55, T28:T29)</f>
        <v>126</v>
      </c>
      <c r="AD13">
        <v>126</v>
      </c>
    </row>
    <row r="14" spans="1:30">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82" t="str">
        <f t="shared" si="1"/>
        <v/>
      </c>
      <c r="S14" s="82" t="str">
        <f t="shared" si="1"/>
        <v/>
      </c>
      <c r="T14" s="82" t="str">
        <f t="shared" si="1"/>
        <v/>
      </c>
      <c r="U14" s="82" t="str">
        <f t="shared" si="1"/>
        <v/>
      </c>
      <c r="V14" s="82" t="str">
        <f t="shared" si="1"/>
        <v/>
      </c>
      <c r="W14" s="82" t="str">
        <f t="shared" si="1"/>
        <v/>
      </c>
      <c r="X14" s="53"/>
      <c r="Y14" s="53"/>
      <c r="Z14" s="104"/>
      <c r="AA14" s="104"/>
      <c r="AB14" t="s">
        <v>118</v>
      </c>
      <c r="AC14">
        <f>COUNT(B29:B31,B38:B40,B45:B47,B55,R10:R11,R13,R19:R21,R28:R30,R38:R40,R45:R47)</f>
        <v>25</v>
      </c>
      <c r="AD14">
        <v>25</v>
      </c>
    </row>
    <row r="15" spans="1:30" ht="4.5" customHeight="1">
      <c r="A15" s="404"/>
      <c r="B15" s="404"/>
      <c r="C15" s="404"/>
      <c r="D15" s="404"/>
      <c r="E15" s="404"/>
      <c r="F15" s="404"/>
      <c r="G15" s="404"/>
      <c r="I15" s="17"/>
      <c r="J15" s="85"/>
      <c r="K15" s="54"/>
      <c r="L15" s="96"/>
      <c r="M15" s="96"/>
      <c r="N15" s="99"/>
      <c r="O15" s="99"/>
      <c r="P15" s="99"/>
      <c r="X15" s="57"/>
      <c r="Y15" s="57"/>
      <c r="Z15" s="104"/>
      <c r="AA15" s="104"/>
    </row>
    <row r="16" spans="1:30">
      <c r="A16" s="604">
        <f>DATE(YEAR(A7+35),MONTH(A7+35),1)</f>
        <v>42217</v>
      </c>
      <c r="B16" s="605"/>
      <c r="C16" s="605"/>
      <c r="D16" s="605"/>
      <c r="E16" s="605"/>
      <c r="F16" s="605"/>
      <c r="G16" s="606"/>
      <c r="H16" s="22"/>
      <c r="I16" s="17"/>
      <c r="J16" s="85"/>
      <c r="K16" s="54"/>
      <c r="L16" s="96"/>
      <c r="M16" s="96"/>
      <c r="N16" s="99"/>
      <c r="O16" s="99"/>
      <c r="P16" s="99"/>
      <c r="Q16" s="593">
        <f>DATE(YEAR(Q7+35),MONTH(Q7+35),1)</f>
        <v>42401</v>
      </c>
      <c r="R16" s="593"/>
      <c r="S16" s="593"/>
      <c r="T16" s="593"/>
      <c r="U16" s="593"/>
      <c r="V16" s="593"/>
      <c r="W16" s="593"/>
      <c r="X16" s="57"/>
      <c r="Y16" s="57"/>
      <c r="Z16" s="89"/>
      <c r="AA16" s="89"/>
      <c r="AB16" t="s">
        <v>60</v>
      </c>
      <c r="AC16">
        <f>COUNT(B11,D11,F11,B12,D12,F12,B13,D13,F13,B19,D19,F19,B22,D22,F22,B23,D27,F27,D28,F28,B29,D29,F29,B30,D30,F30,B31,D31,F36,B37,D37,F37,B38,D38,F38,B39,D39,F39,B40,D40,F40,B45:B49,D45,F45,D46,F46,D47,F47,D54,F54,B55,D55,F55,B56,D56,F56,D48,R10,T10,V10,R11,T11,V11,T12,V12,R13,T13,V13,R18,T18,V18,R19,T19,V19,R20,T20,V20,R21,T21,V21,R22,T27,V27,R28,T28,V28,R29,T29,V29,R30,T30,R31,T31,V31,R37,T37,V37,R38,T38,V38,R39,T39,V39,R40,T40,V40,R45,T45,V45,R46,T46,V46,R47,T47,V47,R48,T48,V48,T54,V54,R55,T55,V55)</f>
        <v>126</v>
      </c>
      <c r="AD16">
        <v>126</v>
      </c>
    </row>
    <row r="17" spans="1:30">
      <c r="A17" s="405" t="str">
        <f>$A$8</f>
        <v>Su</v>
      </c>
      <c r="B17" s="406" t="str">
        <f>$B$8</f>
        <v>M</v>
      </c>
      <c r="C17" s="406" t="str">
        <f>$C$8</f>
        <v>Tu</v>
      </c>
      <c r="D17" s="406" t="str">
        <f>$D$8</f>
        <v>W</v>
      </c>
      <c r="E17" s="406" t="str">
        <f>$E$8</f>
        <v>Th</v>
      </c>
      <c r="F17" s="406" t="str">
        <f>$F$8</f>
        <v>F</v>
      </c>
      <c r="G17" s="407"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c r="AB17" t="s">
        <v>62</v>
      </c>
      <c r="AC17">
        <f>COUNT(E27,C28,E28,C29,E29,C30,E30,C31,C22,E22,E36,C37,E37,C38,E38,C39,E39,C40,E40)</f>
        <v>19</v>
      </c>
      <c r="AD17">
        <v>19</v>
      </c>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82" t="str">
        <f t="shared" ref="Q18:W23" si="3">IF(MONTH($Q$16)&lt;&gt;MONTH($Q$16-(WEEKDAY($Q$16,1)-($I$4-1))-IF((WEEKDAY($Q$16,1)-($I$4-1))&lt;=0,7,0)+(ROW(Q18)-ROW($Q$18))*7+(COLUMN(Q18)-COLUMN($Q$18)+1)),"",$Q$16-(WEEKDAY($Q$16,1)-($I$4-1))-IF((WEEKDAY($Q$16,1)-($I$4-1))&lt;=0,7,0)+(ROW(Q18)-ROW($Q$18))*7+(COLUMN(Q18)-COLUMN($Q$18)+1))</f>
        <v/>
      </c>
      <c r="R18" s="82">
        <f t="shared" si="3"/>
        <v>42401</v>
      </c>
      <c r="S18" s="408">
        <f t="shared" si="3"/>
        <v>42402</v>
      </c>
      <c r="T18" s="82">
        <f t="shared" si="3"/>
        <v>42403</v>
      </c>
      <c r="U18" s="369">
        <f t="shared" si="3"/>
        <v>42404</v>
      </c>
      <c r="V18" s="348">
        <f t="shared" si="3"/>
        <v>42405</v>
      </c>
      <c r="W18" s="82">
        <f t="shared" si="3"/>
        <v>42406</v>
      </c>
      <c r="X18" s="291"/>
      <c r="Y18" s="56"/>
      <c r="Z18" s="88"/>
      <c r="AA18" s="88"/>
      <c r="AB18" t="s">
        <v>62</v>
      </c>
      <c r="AC18">
        <f>COUNT(S29:S31,U29:U31,S37:S40,U37:U39,S45:S48,U45:U48)</f>
        <v>21</v>
      </c>
      <c r="AD18">
        <v>21</v>
      </c>
    </row>
    <row r="19" spans="1:30" ht="15.75" thickBot="1">
      <c r="A19" s="82">
        <f t="shared" si="2"/>
        <v>42218</v>
      </c>
      <c r="B19" s="82">
        <f t="shared" si="2"/>
        <v>42219</v>
      </c>
      <c r="C19" s="369">
        <f t="shared" si="2"/>
        <v>42220</v>
      </c>
      <c r="D19" s="82">
        <f t="shared" si="2"/>
        <v>42221</v>
      </c>
      <c r="E19" s="369">
        <f t="shared" si="2"/>
        <v>42222</v>
      </c>
      <c r="F19" s="348">
        <f t="shared" si="2"/>
        <v>42223</v>
      </c>
      <c r="G19" s="82">
        <f t="shared" si="2"/>
        <v>42224</v>
      </c>
      <c r="H19" s="22"/>
      <c r="I19" s="17"/>
      <c r="M19" s="96"/>
      <c r="N19" s="99"/>
      <c r="O19" s="99"/>
      <c r="P19" s="99"/>
      <c r="Q19" s="82">
        <f t="shared" si="3"/>
        <v>42407</v>
      </c>
      <c r="R19" s="111">
        <f t="shared" si="3"/>
        <v>42408</v>
      </c>
      <c r="S19" s="409">
        <f t="shared" si="3"/>
        <v>42409</v>
      </c>
      <c r="T19" s="112">
        <f t="shared" si="3"/>
        <v>42410</v>
      </c>
      <c r="U19" s="369">
        <f t="shared" si="3"/>
        <v>42411</v>
      </c>
      <c r="V19" s="82">
        <f t="shared" si="3"/>
        <v>42412</v>
      </c>
      <c r="W19" s="82">
        <f t="shared" si="3"/>
        <v>42413</v>
      </c>
      <c r="X19" s="54"/>
      <c r="Y19" s="54"/>
      <c r="AA19" s="88"/>
      <c r="AB19" t="s">
        <v>159</v>
      </c>
      <c r="AC19">
        <f>COUNT(C22,E22,E27,C28,E28,C29,E29,C30,E30,C31,E36,C37,E37,C38,E38,C39,E39,C40,E40,C45,E45,C46,E46,C47,E47,C48,C54,E54,C55,E55,C56,E56,S10,U10, S11,U11,S12,U12,S13,U13,S18,U18,S19,U19,S20,U20,S21,U21,S27,U27,S28,U28,S29,U29,S30,S31,U31,S37,U37,S38,U38,S39,U39,S40,U40, S45,U45,S46,U46,S47,U47,S48,U48,S49,U54,S55)</f>
        <v>76</v>
      </c>
      <c r="AD19">
        <v>76</v>
      </c>
    </row>
    <row r="20" spans="1:30">
      <c r="A20" s="320">
        <f t="shared" si="2"/>
        <v>42225</v>
      </c>
      <c r="B20" s="367">
        <f t="shared" si="2"/>
        <v>42226</v>
      </c>
      <c r="C20" s="368">
        <f t="shared" si="2"/>
        <v>42227</v>
      </c>
      <c r="D20" s="368">
        <f t="shared" si="2"/>
        <v>42228</v>
      </c>
      <c r="E20" s="368">
        <f t="shared" si="2"/>
        <v>42229</v>
      </c>
      <c r="F20" s="368">
        <f t="shared" si="2"/>
        <v>42230</v>
      </c>
      <c r="G20" s="320">
        <f t="shared" si="2"/>
        <v>42231</v>
      </c>
      <c r="I20" s="17"/>
      <c r="J20" s="290"/>
      <c r="K20" s="54"/>
      <c r="L20" s="96"/>
      <c r="M20" s="96"/>
      <c r="N20" s="99"/>
      <c r="O20" s="99"/>
      <c r="P20" s="99"/>
      <c r="Q20" s="82">
        <f t="shared" si="3"/>
        <v>42414</v>
      </c>
      <c r="R20" s="82">
        <f t="shared" si="3"/>
        <v>42415</v>
      </c>
      <c r="S20" s="410">
        <f t="shared" si="3"/>
        <v>42416</v>
      </c>
      <c r="T20" s="82">
        <f t="shared" si="3"/>
        <v>42417</v>
      </c>
      <c r="U20" s="369">
        <f t="shared" si="3"/>
        <v>42418</v>
      </c>
      <c r="V20" s="82">
        <f t="shared" si="3"/>
        <v>42419</v>
      </c>
      <c r="W20" s="82">
        <f t="shared" si="3"/>
        <v>42420</v>
      </c>
      <c r="X20" s="56"/>
      <c r="Y20" s="56"/>
      <c r="Z20" s="87"/>
      <c r="AA20" s="87"/>
      <c r="AB20" t="s">
        <v>61</v>
      </c>
      <c r="AC20">
        <f>COUNT(B10:B13,D10:D13,B19,D19,B22,D22,B23,D27,D28:D31,B29:B31,B37:B40,D37:D40,B45:B47,D45:D47,B49,D54,B55,D55,T12,R13,T13,R18,T18,R19,T19,R20,T20,R21,T21,R22,T27,R28:R29,T28:T29,R31,T31,R37,T37,R38,T38,R39,T39,R40,T40,R45:R48,T45:T48,T54,R55,T55, R56,T56,R57)</f>
        <v>80</v>
      </c>
      <c r="AD20">
        <v>80</v>
      </c>
    </row>
    <row r="21" spans="1:30">
      <c r="A21" s="320">
        <f t="shared" si="2"/>
        <v>42232</v>
      </c>
      <c r="B21" s="368">
        <f t="shared" si="2"/>
        <v>42233</v>
      </c>
      <c r="C21" s="368">
        <f t="shared" si="2"/>
        <v>42234</v>
      </c>
      <c r="D21" s="368">
        <f t="shared" si="2"/>
        <v>42235</v>
      </c>
      <c r="E21" s="368">
        <f t="shared" si="2"/>
        <v>42236</v>
      </c>
      <c r="F21" s="357">
        <f t="shared" si="2"/>
        <v>42237</v>
      </c>
      <c r="G21" s="320">
        <f t="shared" si="2"/>
        <v>42238</v>
      </c>
      <c r="I21" s="17"/>
      <c r="J21" s="290"/>
      <c r="K21" s="54"/>
      <c r="L21" s="96"/>
      <c r="M21" s="96"/>
      <c r="N21" s="99"/>
      <c r="O21" s="99"/>
      <c r="P21" s="99"/>
      <c r="Q21" s="82">
        <f t="shared" si="3"/>
        <v>42421</v>
      </c>
      <c r="R21" s="82">
        <f t="shared" si="3"/>
        <v>42422</v>
      </c>
      <c r="S21" s="411">
        <f t="shared" si="3"/>
        <v>42423</v>
      </c>
      <c r="T21" s="82">
        <f t="shared" si="3"/>
        <v>42424</v>
      </c>
      <c r="U21" s="369">
        <f t="shared" si="3"/>
        <v>42425</v>
      </c>
      <c r="V21" s="82">
        <f t="shared" si="3"/>
        <v>42426</v>
      </c>
      <c r="W21" s="82">
        <f t="shared" si="3"/>
        <v>42427</v>
      </c>
      <c r="X21" s="375"/>
      <c r="Y21" s="54"/>
      <c r="Z21" s="99"/>
      <c r="AA21" s="99"/>
      <c r="AB21" t="s">
        <v>158</v>
      </c>
      <c r="AC21">
        <f>COUNT(B22,D22,B23,D27,D28,B29,D29,B30,D30,B31,D31,B37,D37,B38,D38,B39,D39,B40,D40,B45,D45,B10B46,D46,B47,D47,B48,B49,D54,B55,D55,B56,D56,R10,T10,R11,T11,T12,R13,T13,R18,T18,R19,T19,R20,T20,R21,T21,R22,T27,R28,T28,R29,T29,R30,T30,R31,T31,R37,T37,R38,T38,R39,T39,R40,T40,R45,T45,R46,T46,R47,T47,R48,T48,T54,R55,T55)</f>
        <v>75</v>
      </c>
      <c r="AD21">
        <v>76</v>
      </c>
    </row>
    <row r="22" spans="1:30">
      <c r="A22" s="320">
        <f t="shared" si="2"/>
        <v>42239</v>
      </c>
      <c r="B22" s="320">
        <f t="shared" si="2"/>
        <v>42240</v>
      </c>
      <c r="C22" s="320">
        <f t="shared" si="2"/>
        <v>42241</v>
      </c>
      <c r="D22" s="320">
        <f t="shared" si="2"/>
        <v>42242</v>
      </c>
      <c r="E22" s="320">
        <f t="shared" si="2"/>
        <v>42243</v>
      </c>
      <c r="F22" s="320">
        <f t="shared" si="2"/>
        <v>42244</v>
      </c>
      <c r="G22" s="320">
        <f t="shared" si="2"/>
        <v>42245</v>
      </c>
      <c r="I22" s="17"/>
      <c r="J22" s="317"/>
      <c r="K22" s="54"/>
      <c r="L22" s="96"/>
      <c r="M22" s="96"/>
      <c r="N22" s="99"/>
      <c r="O22" s="99"/>
      <c r="P22" s="99"/>
      <c r="Q22" s="82">
        <f t="shared" si="3"/>
        <v>42428</v>
      </c>
      <c r="R22" s="82">
        <f t="shared" si="3"/>
        <v>42429</v>
      </c>
      <c r="S22" s="82" t="str">
        <f t="shared" si="3"/>
        <v/>
      </c>
      <c r="T22" s="82" t="str">
        <f t="shared" si="3"/>
        <v/>
      </c>
      <c r="U22" s="82" t="str">
        <f t="shared" si="3"/>
        <v/>
      </c>
      <c r="V22" s="82" t="str">
        <f t="shared" si="3"/>
        <v/>
      </c>
      <c r="W22" s="82" t="str">
        <f t="shared" si="3"/>
        <v/>
      </c>
      <c r="X22" s="53"/>
      <c r="Y22" s="54"/>
      <c r="Z22" s="87"/>
      <c r="AA22" s="87"/>
      <c r="AB22" t="s">
        <v>120</v>
      </c>
      <c r="AD22" s="316" t="s">
        <v>155</v>
      </c>
    </row>
    <row r="23" spans="1:30">
      <c r="A23" s="320">
        <f t="shared" si="2"/>
        <v>42246</v>
      </c>
      <c r="B23" s="320">
        <f t="shared" si="2"/>
        <v>42247</v>
      </c>
      <c r="C23" s="320" t="str">
        <f t="shared" si="2"/>
        <v/>
      </c>
      <c r="D23" s="320" t="str">
        <f t="shared" si="2"/>
        <v/>
      </c>
      <c r="E23" s="320" t="str">
        <f t="shared" si="2"/>
        <v/>
      </c>
      <c r="F23" s="320" t="str">
        <f t="shared" si="2"/>
        <v/>
      </c>
      <c r="G23" s="320" t="str">
        <f t="shared" si="2"/>
        <v/>
      </c>
      <c r="I23" s="17"/>
      <c r="J23" s="85"/>
      <c r="K23" s="54"/>
      <c r="L23" s="96"/>
      <c r="M23" s="96"/>
      <c r="N23" s="99"/>
      <c r="O23" s="99"/>
      <c r="P23" s="99"/>
      <c r="Q23" s="115" t="str">
        <f t="shared" si="3"/>
        <v/>
      </c>
      <c r="R23" s="115" t="str">
        <f t="shared" si="3"/>
        <v/>
      </c>
      <c r="S23" s="115" t="str">
        <f t="shared" si="3"/>
        <v/>
      </c>
      <c r="T23" s="115" t="str">
        <f t="shared" si="3"/>
        <v/>
      </c>
      <c r="U23" s="115" t="str">
        <f t="shared" si="3"/>
        <v/>
      </c>
      <c r="V23" s="115" t="str">
        <f t="shared" si="3"/>
        <v/>
      </c>
      <c r="W23" s="115" t="str">
        <f t="shared" si="3"/>
        <v/>
      </c>
      <c r="X23" s="53"/>
      <c r="Y23" s="54"/>
      <c r="Z23" s="99"/>
      <c r="AA23" s="99"/>
      <c r="AB23" t="s">
        <v>151</v>
      </c>
      <c r="AC23">
        <f>COUNT(C19,E19,C28,E28,E27,E37,C37,C38,C45,E45,C46,C54,E54,C55,S10,S11,U10,S18,U18,S19,S27,S28,U27,S37,U37,S38,S45,U45,S48,U48,S49)+COUNT(C22,E22,C29,E29,C39,E39,C47,E47,E55,C56,S46,U46,S55,U54,U39,S39,S29,U29,S20,U20,U12,S12)</f>
        <v>53</v>
      </c>
      <c r="AD23" s="316" t="s">
        <v>154</v>
      </c>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B25" t="s">
        <v>2</v>
      </c>
      <c r="AC25">
        <f>COUNT(C10,C10:C13,E10:E13,C19,E19,C28:C31,E28:E30,C37:C39,E36:E39,C46:C47,E45:E47, S12:S13,U12:U13,S18:S20,U18:U20,S27:S29,U27:U29, S31,U31,S37:S40,U37:U39,S46:S48,U46:U47)</f>
        <v>60</v>
      </c>
      <c r="AD25" s="316">
        <v>60</v>
      </c>
    </row>
    <row r="26" spans="1:30">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B26" t="s">
        <v>127</v>
      </c>
      <c r="AC26">
        <f>COUNT(C10,C10:C13,E10:E13,C19,E19,C22,E22,C28:C31,E27:E30,C37:C40,E36:E40,C45:C47,E45:E47, S12:S13,U12:U13,S18:S21,U18:U20,S27:S29,U27:U29, S31,U31,S37:S40,U37:U39,S46:S48,U46:U48)</f>
        <v>68</v>
      </c>
      <c r="AD26" s="316">
        <v>68</v>
      </c>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403">
        <f t="shared" si="4"/>
        <v>42248</v>
      </c>
      <c r="D27" s="81">
        <f t="shared" si="4"/>
        <v>42249</v>
      </c>
      <c r="E27" s="81">
        <f t="shared" si="4"/>
        <v>42250</v>
      </c>
      <c r="F27" s="81">
        <f t="shared" si="4"/>
        <v>42251</v>
      </c>
      <c r="G27" s="81">
        <f t="shared" si="4"/>
        <v>42252</v>
      </c>
      <c r="I27" s="17"/>
      <c r="J27" s="317"/>
      <c r="K27" s="54"/>
      <c r="L27" s="96"/>
      <c r="M27" s="96"/>
      <c r="N27" s="99"/>
      <c r="O27" s="99"/>
      <c r="P27" s="99"/>
      <c r="Q27" s="82" t="str">
        <f t="shared" ref="Q27:W32" si="5">IF(MONTH($Q$25)&lt;&gt;MONTH($Q$25-(WEEKDAY($Q$25,1)-($I$4-1))-IF((WEEKDAY($Q$25,1)-($I$4-1))&lt;=0,7,0)+(ROW(Q27)-ROW($Q$27))*7+(COLUMN(Q27)-COLUMN($Q$27)+1)),"",$Q$25-(WEEKDAY($Q$25,1)-($I$4-1))-IF((WEEKDAY($Q$25,1)-($I$4-1))&lt;=0,7,0)+(ROW(Q27)-ROW($Q$27))*7+(COLUMN(Q27)-COLUMN($Q$27)+1))</f>
        <v/>
      </c>
      <c r="R27" s="82" t="str">
        <f t="shared" si="5"/>
        <v/>
      </c>
      <c r="S27" s="408">
        <f t="shared" si="5"/>
        <v>42430</v>
      </c>
      <c r="T27" s="82">
        <f t="shared" si="5"/>
        <v>42431</v>
      </c>
      <c r="U27" s="369">
        <f t="shared" si="5"/>
        <v>42432</v>
      </c>
      <c r="V27" s="82">
        <f t="shared" si="5"/>
        <v>42433</v>
      </c>
      <c r="W27" s="82">
        <f t="shared" si="5"/>
        <v>42434</v>
      </c>
      <c r="X27" s="54"/>
      <c r="Y27" s="54"/>
      <c r="Z27" s="97"/>
      <c r="AA27" s="97"/>
      <c r="AB27" t="s">
        <v>128</v>
      </c>
      <c r="AC27">
        <f>COUNT(C10,C10:C13,E10:E13,C19,E19,C28:C31,E28:E30,C37:C39,E36:E39,C46:C47,E45:E47, S12:S13,U12:U13,S18:S20,U18:U20,S27:S29,U27:U29, S31,U31,S37:S40,U37:U39,S46:S48,U46:U47)</f>
        <v>60</v>
      </c>
      <c r="AD27" s="316">
        <v>60</v>
      </c>
    </row>
    <row r="28" spans="1:30" ht="15.75" thickBot="1">
      <c r="A28" s="111">
        <f t="shared" si="4"/>
        <v>42253</v>
      </c>
      <c r="B28" s="377">
        <f t="shared" si="4"/>
        <v>42254</v>
      </c>
      <c r="C28" s="408">
        <f t="shared" si="4"/>
        <v>42255</v>
      </c>
      <c r="D28" s="379">
        <f t="shared" si="4"/>
        <v>42256</v>
      </c>
      <c r="E28" s="369">
        <f t="shared" si="4"/>
        <v>42257</v>
      </c>
      <c r="F28" s="82">
        <f t="shared" si="4"/>
        <v>42258</v>
      </c>
      <c r="G28" s="112">
        <f t="shared" si="4"/>
        <v>42259</v>
      </c>
      <c r="I28" s="17"/>
      <c r="J28" s="290"/>
      <c r="K28" s="54"/>
      <c r="L28" s="96"/>
      <c r="M28" s="96"/>
      <c r="N28" s="87"/>
      <c r="O28" s="87"/>
      <c r="P28" s="99"/>
      <c r="Q28" s="82">
        <f t="shared" si="5"/>
        <v>42435</v>
      </c>
      <c r="R28" s="111">
        <f t="shared" si="5"/>
        <v>42436</v>
      </c>
      <c r="S28" s="409">
        <f t="shared" si="5"/>
        <v>42437</v>
      </c>
      <c r="T28" s="379">
        <f t="shared" si="5"/>
        <v>42438</v>
      </c>
      <c r="U28" s="369">
        <f t="shared" si="5"/>
        <v>42439</v>
      </c>
      <c r="V28" s="82">
        <f t="shared" si="5"/>
        <v>42440</v>
      </c>
      <c r="W28" s="82">
        <f t="shared" si="5"/>
        <v>42441</v>
      </c>
      <c r="X28" s="291"/>
      <c r="Y28" s="56"/>
      <c r="Z28" s="96"/>
      <c r="AA28" s="88"/>
      <c r="AB28" s="99" t="s">
        <v>142</v>
      </c>
      <c r="AD28" s="316" t="s">
        <v>143</v>
      </c>
    </row>
    <row r="29" spans="1:30" ht="15.75" thickBot="1">
      <c r="A29" s="111">
        <f t="shared" si="4"/>
        <v>42260</v>
      </c>
      <c r="B29" s="111">
        <f t="shared" si="4"/>
        <v>42261</v>
      </c>
      <c r="C29" s="409">
        <f t="shared" si="4"/>
        <v>42262</v>
      </c>
      <c r="D29" s="112">
        <f t="shared" si="4"/>
        <v>42263</v>
      </c>
      <c r="E29" s="369">
        <f t="shared" si="4"/>
        <v>42264</v>
      </c>
      <c r="F29" s="82">
        <f t="shared" si="4"/>
        <v>42265</v>
      </c>
      <c r="G29" s="112">
        <f t="shared" si="4"/>
        <v>42266</v>
      </c>
      <c r="I29" s="17"/>
      <c r="J29" s="85"/>
      <c r="K29" s="54"/>
      <c r="L29" s="96"/>
      <c r="M29" s="96"/>
      <c r="N29" s="87"/>
      <c r="O29" s="87"/>
      <c r="P29" s="99"/>
      <c r="Q29" s="82">
        <f t="shared" si="5"/>
        <v>42442</v>
      </c>
      <c r="R29" s="82">
        <f t="shared" si="5"/>
        <v>42443</v>
      </c>
      <c r="S29" s="410">
        <f t="shared" si="5"/>
        <v>42444</v>
      </c>
      <c r="T29" s="82">
        <f t="shared" si="5"/>
        <v>42445</v>
      </c>
      <c r="U29" s="369">
        <f t="shared" si="5"/>
        <v>42446</v>
      </c>
      <c r="V29" s="82">
        <f t="shared" si="5"/>
        <v>42447</v>
      </c>
      <c r="W29" s="82">
        <f t="shared" si="5"/>
        <v>42448</v>
      </c>
      <c r="X29" s="96"/>
      <c r="Y29" s="56"/>
      <c r="AA29" s="88"/>
      <c r="AB29" s="99" t="s">
        <v>147</v>
      </c>
      <c r="AC29">
        <f>COUNT(F30,F39,F47,V19,V28,V37,V46)</f>
        <v>7</v>
      </c>
      <c r="AD29" s="316" t="s">
        <v>148</v>
      </c>
    </row>
    <row r="30" spans="1:30">
      <c r="A30" s="111">
        <f t="shared" si="4"/>
        <v>42267</v>
      </c>
      <c r="B30" s="82">
        <f t="shared" si="4"/>
        <v>42268</v>
      </c>
      <c r="C30" s="410">
        <f t="shared" si="4"/>
        <v>42269</v>
      </c>
      <c r="D30" s="82">
        <f t="shared" si="4"/>
        <v>42270</v>
      </c>
      <c r="E30" s="411">
        <f t="shared" si="4"/>
        <v>42271</v>
      </c>
      <c r="F30" s="82">
        <f t="shared" si="4"/>
        <v>42272</v>
      </c>
      <c r="G30" s="112">
        <f t="shared" si="4"/>
        <v>42273</v>
      </c>
      <c r="H30" s="23"/>
      <c r="I30" s="24"/>
      <c r="J30" s="96"/>
      <c r="K30" s="96"/>
      <c r="L30" s="87"/>
      <c r="M30" s="87"/>
      <c r="P30" s="99"/>
      <c r="Q30" s="82">
        <f t="shared" si="5"/>
        <v>42449</v>
      </c>
      <c r="R30" s="82">
        <f t="shared" si="5"/>
        <v>42450</v>
      </c>
      <c r="S30" s="369">
        <f t="shared" si="5"/>
        <v>42451</v>
      </c>
      <c r="T30" s="82">
        <f t="shared" si="5"/>
        <v>42452</v>
      </c>
      <c r="U30" s="367">
        <f t="shared" si="5"/>
        <v>42453</v>
      </c>
      <c r="V30" s="84">
        <f t="shared" si="5"/>
        <v>42454</v>
      </c>
      <c r="W30" s="82">
        <f t="shared" si="5"/>
        <v>42455</v>
      </c>
      <c r="X30" s="291"/>
      <c r="Y30" s="56"/>
      <c r="Z30" s="88"/>
      <c r="AA30" s="88"/>
      <c r="AB30" s="99" t="s">
        <v>152</v>
      </c>
      <c r="AD30" s="316" t="s">
        <v>153</v>
      </c>
    </row>
    <row r="31" spans="1:30">
      <c r="A31" s="82">
        <f t="shared" si="4"/>
        <v>42274</v>
      </c>
      <c r="B31" s="82">
        <f t="shared" si="4"/>
        <v>42275</v>
      </c>
      <c r="C31" s="369">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82">
        <f t="shared" si="5"/>
        <v>42457</v>
      </c>
      <c r="S31" s="369">
        <f t="shared" si="5"/>
        <v>42458</v>
      </c>
      <c r="T31" s="82">
        <f t="shared" si="5"/>
        <v>42459</v>
      </c>
      <c r="U31" s="369">
        <f t="shared" si="5"/>
        <v>42460</v>
      </c>
      <c r="V31" s="82" t="str">
        <f t="shared" si="5"/>
        <v/>
      </c>
      <c r="W31" s="82" t="str">
        <f t="shared" si="5"/>
        <v/>
      </c>
      <c r="X31" s="317"/>
      <c r="Y31" s="55"/>
      <c r="Z31" s="99"/>
      <c r="AA31" s="99"/>
      <c r="AB31" s="99" t="s">
        <v>15</v>
      </c>
      <c r="AD31" s="316" t="s">
        <v>146</v>
      </c>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8"/>
      <c r="Y32" s="55"/>
      <c r="Z32" s="99"/>
      <c r="AA32" s="99"/>
      <c r="AB32" s="99" t="s">
        <v>14</v>
      </c>
      <c r="AD32" s="316" t="s">
        <v>145</v>
      </c>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X34" s="319"/>
      <c r="Y34" s="54"/>
      <c r="Z34" s="99"/>
      <c r="AA34" s="99"/>
      <c r="AB34" s="99" t="s">
        <v>141</v>
      </c>
      <c r="AD34" s="316" t="s">
        <v>144</v>
      </c>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t="s">
        <v>149</v>
      </c>
      <c r="AD35" s="316" t="s">
        <v>150</v>
      </c>
    </row>
    <row r="36" spans="1:30" ht="15.75" thickBot="1">
      <c r="A36" s="111"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369">
        <f t="shared" si="6"/>
        <v>42278</v>
      </c>
      <c r="F36" s="82">
        <f t="shared" si="6"/>
        <v>42279</v>
      </c>
      <c r="G36" s="112">
        <f t="shared" si="6"/>
        <v>42280</v>
      </c>
      <c r="H36" s="46"/>
      <c r="I36" s="47"/>
      <c r="J36" s="85"/>
      <c r="K36" s="85"/>
      <c r="L36" s="96"/>
      <c r="M36" s="96"/>
      <c r="N36" s="99"/>
      <c r="O36" s="99"/>
      <c r="P36" s="99"/>
      <c r="Q36" s="82" t="str">
        <f t="shared" ref="Q36:W41" si="7">IF(MONTH($Q$34)&lt;&gt;MONTH($Q$34-(WEEKDAY($Q$34,1)-($I$4-1))-IF((WEEKDAY($Q$34,1)-($I$4-1))&lt;=0,7,0)+(ROW(Q36)-ROW($Q$36))*7+(COLUMN(Q36)-COLUMN($Q$36)+1)),"",$Q$34-(WEEKDAY($Q$34,1)-($I$4-1))-IF((WEEKDAY($Q$34,1)-($I$4-1))&lt;=0,7,0)+(ROW(Q36)-ROW($Q$36))*7+(COLUMN(Q36)-COLUMN($Q$36)+1))</f>
        <v/>
      </c>
      <c r="R36" s="82" t="str">
        <f t="shared" si="7"/>
        <v/>
      </c>
      <c r="S36" s="82" t="str">
        <f t="shared" si="7"/>
        <v/>
      </c>
      <c r="T36" s="82" t="str">
        <f t="shared" si="7"/>
        <v/>
      </c>
      <c r="U36" s="83" t="str">
        <f t="shared" si="7"/>
        <v/>
      </c>
      <c r="V36" s="82">
        <f t="shared" si="7"/>
        <v>42461</v>
      </c>
      <c r="W36" s="82">
        <f t="shared" si="7"/>
        <v>42462</v>
      </c>
      <c r="X36" s="57"/>
      <c r="Y36" s="55"/>
      <c r="Z36" s="99"/>
      <c r="AA36" s="99"/>
      <c r="AB36" s="99"/>
    </row>
    <row r="37" spans="1:30" ht="15.75" thickBot="1">
      <c r="A37" s="111">
        <f t="shared" si="6"/>
        <v>42281</v>
      </c>
      <c r="B37" s="81">
        <f t="shared" si="6"/>
        <v>42282</v>
      </c>
      <c r="C37" s="408">
        <f t="shared" si="6"/>
        <v>42283</v>
      </c>
      <c r="D37" s="82">
        <f t="shared" si="6"/>
        <v>42284</v>
      </c>
      <c r="E37" s="369">
        <f t="shared" si="6"/>
        <v>42285</v>
      </c>
      <c r="F37" s="348">
        <f t="shared" si="6"/>
        <v>42286</v>
      </c>
      <c r="G37" s="112">
        <f t="shared" si="6"/>
        <v>42287</v>
      </c>
      <c r="I37" s="17"/>
      <c r="J37" s="290"/>
      <c r="K37" s="107"/>
      <c r="L37" s="101"/>
      <c r="M37" s="101"/>
      <c r="N37" s="99"/>
      <c r="O37" s="99"/>
      <c r="P37" s="99"/>
      <c r="Q37" s="82">
        <f t="shared" si="7"/>
        <v>42463</v>
      </c>
      <c r="R37" s="82">
        <f t="shared" si="7"/>
        <v>42464</v>
      </c>
      <c r="S37" s="408">
        <f t="shared" si="7"/>
        <v>42465</v>
      </c>
      <c r="T37" s="82">
        <f t="shared" si="7"/>
        <v>42466</v>
      </c>
      <c r="U37" s="369">
        <f t="shared" si="7"/>
        <v>42467</v>
      </c>
      <c r="V37" s="348">
        <f t="shared" si="7"/>
        <v>42468</v>
      </c>
      <c r="W37" s="82">
        <f t="shared" si="7"/>
        <v>42469</v>
      </c>
      <c r="X37" s="291"/>
      <c r="Y37" s="56"/>
      <c r="Z37" s="88"/>
      <c r="AA37" s="88"/>
      <c r="AB37" s="99"/>
    </row>
    <row r="38" spans="1:30" ht="15.75" thickBot="1">
      <c r="A38" s="111">
        <f t="shared" si="6"/>
        <v>42288</v>
      </c>
      <c r="B38" s="111">
        <f t="shared" si="6"/>
        <v>42289</v>
      </c>
      <c r="C38" s="409">
        <f t="shared" si="6"/>
        <v>42290</v>
      </c>
      <c r="D38" s="112">
        <f t="shared" si="6"/>
        <v>42291</v>
      </c>
      <c r="E38" s="369">
        <f t="shared" si="6"/>
        <v>42292</v>
      </c>
      <c r="F38" s="82">
        <f t="shared" si="6"/>
        <v>42293</v>
      </c>
      <c r="G38" s="112">
        <f t="shared" si="6"/>
        <v>42294</v>
      </c>
      <c r="H38" s="27"/>
      <c r="I38" s="28"/>
      <c r="J38" s="85"/>
      <c r="K38" s="85"/>
      <c r="L38" s="96"/>
      <c r="M38" s="96"/>
      <c r="N38" s="87"/>
      <c r="O38" s="87"/>
      <c r="P38" s="99"/>
      <c r="Q38" s="82">
        <f t="shared" si="7"/>
        <v>42470</v>
      </c>
      <c r="R38" s="111">
        <f t="shared" si="7"/>
        <v>42471</v>
      </c>
      <c r="S38" s="409">
        <f t="shared" si="7"/>
        <v>42472</v>
      </c>
      <c r="T38" s="112">
        <f t="shared" si="7"/>
        <v>42473</v>
      </c>
      <c r="U38" s="369">
        <f t="shared" si="7"/>
        <v>42474</v>
      </c>
      <c r="V38" s="82">
        <f t="shared" si="7"/>
        <v>42475</v>
      </c>
      <c r="W38" s="82">
        <f t="shared" si="7"/>
        <v>42476</v>
      </c>
      <c r="X38" s="96"/>
      <c r="Y38" s="56"/>
      <c r="AA38" s="88"/>
      <c r="AB38" s="99"/>
    </row>
    <row r="39" spans="1:30">
      <c r="A39" s="111">
        <f t="shared" si="6"/>
        <v>42295</v>
      </c>
      <c r="B39" s="82">
        <f t="shared" si="6"/>
        <v>42296</v>
      </c>
      <c r="C39" s="410">
        <f t="shared" si="6"/>
        <v>42297</v>
      </c>
      <c r="D39" s="82">
        <f t="shared" si="6"/>
        <v>42298</v>
      </c>
      <c r="E39" s="369">
        <f t="shared" si="6"/>
        <v>42299</v>
      </c>
      <c r="F39" s="348">
        <f>IF(MONTH($A$34)&lt;&gt;MONTH($A$34-(WEEKDAY($A$34,1)-($I$4-1))-IF((WEEKDAY($A$34,1)-($I$4-1))&lt;=0,7,0)+(ROW(F39)-ROW($A$36))*7+(COLUMN(F39)-COLUMN($A$36)+1)),"",$A$34-(WEEKDAY($A$34,1)-($I$4-1))-IF((WEEKDAY($A$34,1)-($I$4-1))&lt;=0,7,0)+(ROW(F39)-ROW($A$36))*7+(COLUMN(F39)-COLUMN($A$36)+1))</f>
        <v>42300</v>
      </c>
      <c r="G39" s="112">
        <f t="shared" si="6"/>
        <v>42301</v>
      </c>
      <c r="H39" s="22"/>
      <c r="I39" s="17"/>
      <c r="J39" s="96"/>
      <c r="K39" s="85"/>
      <c r="M39" s="96"/>
      <c r="N39" s="87"/>
      <c r="O39" s="87"/>
      <c r="P39" s="99"/>
      <c r="Q39" s="82">
        <f t="shared" si="7"/>
        <v>42477</v>
      </c>
      <c r="R39" s="82">
        <f t="shared" si="7"/>
        <v>42478</v>
      </c>
      <c r="S39" s="410">
        <f t="shared" si="7"/>
        <v>42479</v>
      </c>
      <c r="T39" s="82">
        <f t="shared" si="7"/>
        <v>42480</v>
      </c>
      <c r="U39" s="369">
        <f t="shared" si="7"/>
        <v>42481</v>
      </c>
      <c r="V39" s="348">
        <f t="shared" si="7"/>
        <v>42482</v>
      </c>
      <c r="W39" s="82">
        <f t="shared" si="7"/>
        <v>42483</v>
      </c>
      <c r="X39" s="291"/>
      <c r="Y39" s="56"/>
      <c r="Z39" s="88"/>
      <c r="AA39" s="88"/>
      <c r="AB39" s="99"/>
      <c r="AC39" s="321"/>
    </row>
    <row r="40" spans="1:30">
      <c r="A40" s="111">
        <f t="shared" si="6"/>
        <v>42302</v>
      </c>
      <c r="B40" s="82">
        <f t="shared" si="6"/>
        <v>42303</v>
      </c>
      <c r="C40" s="82">
        <f t="shared" si="6"/>
        <v>42304</v>
      </c>
      <c r="D40" s="82">
        <f t="shared" si="6"/>
        <v>42305</v>
      </c>
      <c r="E40" s="82">
        <f t="shared" si="6"/>
        <v>42306</v>
      </c>
      <c r="F40" s="82">
        <f t="shared" si="6"/>
        <v>42307</v>
      </c>
      <c r="G40" s="112">
        <f t="shared" si="6"/>
        <v>42308</v>
      </c>
      <c r="H40" s="23"/>
      <c r="I40" s="24"/>
      <c r="J40" s="317"/>
      <c r="K40" s="55"/>
      <c r="L40" s="96"/>
      <c r="M40" s="96"/>
      <c r="N40" s="87"/>
      <c r="O40" s="87"/>
      <c r="P40" s="99"/>
      <c r="Q40" s="82">
        <f t="shared" si="7"/>
        <v>42484</v>
      </c>
      <c r="R40" s="82">
        <f t="shared" si="7"/>
        <v>42485</v>
      </c>
      <c r="S40" s="369">
        <f t="shared" si="7"/>
        <v>42486</v>
      </c>
      <c r="T40" s="82">
        <f t="shared" si="7"/>
        <v>42487</v>
      </c>
      <c r="U40" s="369">
        <f t="shared" si="7"/>
        <v>42488</v>
      </c>
      <c r="V40" s="82">
        <f t="shared" si="7"/>
        <v>42489</v>
      </c>
      <c r="W40" s="82">
        <f t="shared" si="7"/>
        <v>42490</v>
      </c>
      <c r="X40" s="108"/>
      <c r="Y40" s="54"/>
      <c r="Z40" s="97"/>
      <c r="AA40" s="97"/>
      <c r="AB40" s="99"/>
      <c r="AC40" s="97"/>
    </row>
    <row r="41" spans="1:30">
      <c r="A41" s="84" t="str">
        <f t="shared" si="6"/>
        <v/>
      </c>
      <c r="B41" s="82" t="str">
        <f t="shared" si="6"/>
        <v/>
      </c>
      <c r="C41" s="84" t="str">
        <f t="shared" si="6"/>
        <v/>
      </c>
      <c r="D41" s="84" t="str">
        <f t="shared" si="6"/>
        <v/>
      </c>
      <c r="E41" s="84" t="str">
        <f t="shared" si="6"/>
        <v/>
      </c>
      <c r="F41" s="84" t="str">
        <f t="shared" si="6"/>
        <v/>
      </c>
      <c r="G41" s="84"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82">
        <f t="shared" si="8"/>
        <v>42310</v>
      </c>
      <c r="C45" s="114">
        <f t="shared" si="8"/>
        <v>42311</v>
      </c>
      <c r="D45" s="82">
        <f t="shared" si="8"/>
        <v>42312</v>
      </c>
      <c r="E45" s="411">
        <f t="shared" si="8"/>
        <v>42313</v>
      </c>
      <c r="F45" s="82">
        <f t="shared" si="8"/>
        <v>42314</v>
      </c>
      <c r="G45" s="112">
        <f t="shared" si="8"/>
        <v>42315</v>
      </c>
      <c r="I45" s="17"/>
      <c r="J45" s="290"/>
      <c r="K45" s="54"/>
      <c r="L45" s="96"/>
      <c r="M45" s="96"/>
      <c r="N45" s="99"/>
      <c r="O45" s="99"/>
      <c r="P45" s="99"/>
      <c r="Q45" s="82">
        <f t="shared" ref="Q45:W50" si="9">IF(MONTH($Q$43)&lt;&gt;MONTH($Q$43-(WEEKDAY($Q$43,1)-($I$4-1))-IF((WEEKDAY($Q$43,1)-($I$4-1))&lt;=0,7,0)+(ROW(Q45)-ROW($Q$45))*7+(COLUMN(Q45)-COLUMN($Q$45)+1)),"",$Q$43-(WEEKDAY($Q$43,1)-($I$4-1))-IF((WEEKDAY($Q$43,1)-($I$4-1))&lt;=0,7,0)+(ROW(Q45)-ROW($Q$45))*7+(COLUMN(Q45)-COLUMN($Q$45)+1))</f>
        <v>42491</v>
      </c>
      <c r="R45" s="82">
        <f t="shared" si="9"/>
        <v>42492</v>
      </c>
      <c r="S45" s="408">
        <f t="shared" si="9"/>
        <v>42493</v>
      </c>
      <c r="T45" s="82">
        <f t="shared" si="9"/>
        <v>42494</v>
      </c>
      <c r="U45" s="369">
        <f t="shared" si="9"/>
        <v>42495</v>
      </c>
      <c r="V45" s="82">
        <f t="shared" si="9"/>
        <v>42496</v>
      </c>
      <c r="W45" s="82">
        <f t="shared" si="9"/>
        <v>42497</v>
      </c>
      <c r="X45" s="451" t="s">
        <v>304</v>
      </c>
      <c r="Y45" s="54"/>
      <c r="Z45" s="99"/>
      <c r="AA45" s="99"/>
      <c r="AB45" s="99"/>
    </row>
    <row r="46" spans="1:30" ht="15.75" thickBot="1">
      <c r="A46" s="111">
        <f t="shared" si="8"/>
        <v>42316</v>
      </c>
      <c r="B46" s="111">
        <f t="shared" si="8"/>
        <v>42317</v>
      </c>
      <c r="C46" s="409">
        <f t="shared" si="8"/>
        <v>42318</v>
      </c>
      <c r="D46" s="112">
        <f t="shared" si="8"/>
        <v>42319</v>
      </c>
      <c r="E46" s="369">
        <f t="shared" si="8"/>
        <v>42320</v>
      </c>
      <c r="F46" s="82">
        <f t="shared" si="8"/>
        <v>42321</v>
      </c>
      <c r="G46" s="112">
        <f t="shared" si="8"/>
        <v>42322</v>
      </c>
      <c r="I46" s="17"/>
      <c r="J46" s="85"/>
      <c r="K46" s="85"/>
      <c r="L46" s="96"/>
      <c r="M46" s="96"/>
      <c r="N46" s="99"/>
      <c r="O46" s="99"/>
      <c r="P46" s="99"/>
      <c r="Q46" s="82">
        <f t="shared" si="9"/>
        <v>42498</v>
      </c>
      <c r="R46" s="412">
        <f t="shared" si="9"/>
        <v>42499</v>
      </c>
      <c r="S46" s="409">
        <f t="shared" si="9"/>
        <v>42500</v>
      </c>
      <c r="T46" s="112">
        <f t="shared" si="9"/>
        <v>42501</v>
      </c>
      <c r="U46" s="369">
        <f t="shared" si="9"/>
        <v>42502</v>
      </c>
      <c r="V46" s="82">
        <f t="shared" si="9"/>
        <v>42503</v>
      </c>
      <c r="W46" s="82">
        <f t="shared" si="9"/>
        <v>42504</v>
      </c>
      <c r="X46" s="291"/>
      <c r="Y46" s="55"/>
      <c r="Z46" s="97"/>
      <c r="AA46" s="97"/>
      <c r="AB46" s="99"/>
    </row>
    <row r="47" spans="1:30">
      <c r="A47" s="111">
        <f t="shared" si="8"/>
        <v>42323</v>
      </c>
      <c r="B47" s="82">
        <f t="shared" si="8"/>
        <v>42324</v>
      </c>
      <c r="C47" s="410">
        <f t="shared" si="8"/>
        <v>42325</v>
      </c>
      <c r="D47" s="82">
        <f t="shared" si="8"/>
        <v>42326</v>
      </c>
      <c r="E47" s="411">
        <f t="shared" si="8"/>
        <v>42327</v>
      </c>
      <c r="F47" s="82">
        <f t="shared" si="8"/>
        <v>42328</v>
      </c>
      <c r="G47" s="112">
        <f t="shared" si="8"/>
        <v>42329</v>
      </c>
      <c r="I47" s="17"/>
      <c r="J47" s="96"/>
      <c r="K47" s="85"/>
      <c r="M47" s="96"/>
      <c r="N47" s="99"/>
      <c r="O47" s="99"/>
      <c r="P47" s="99"/>
      <c r="Q47" s="82">
        <f t="shared" si="9"/>
        <v>42505</v>
      </c>
      <c r="R47" s="82">
        <f t="shared" si="9"/>
        <v>42506</v>
      </c>
      <c r="S47" s="410">
        <f t="shared" si="9"/>
        <v>42507</v>
      </c>
      <c r="T47" s="82">
        <f t="shared" si="9"/>
        <v>42508</v>
      </c>
      <c r="U47" s="369">
        <f t="shared" si="9"/>
        <v>42509</v>
      </c>
      <c r="V47" s="82">
        <f t="shared" si="9"/>
        <v>42510</v>
      </c>
      <c r="W47" s="82">
        <f t="shared" si="9"/>
        <v>42511</v>
      </c>
      <c r="X47" s="96"/>
      <c r="Y47" s="56"/>
      <c r="AA47" s="88"/>
      <c r="AB47" s="99"/>
    </row>
    <row r="48" spans="1:30">
      <c r="A48" s="111">
        <f t="shared" si="8"/>
        <v>42330</v>
      </c>
      <c r="B48" s="368">
        <f t="shared" si="8"/>
        <v>42331</v>
      </c>
      <c r="C48" s="413">
        <f t="shared" si="8"/>
        <v>42332</v>
      </c>
      <c r="D48" s="413">
        <f t="shared" si="8"/>
        <v>42333</v>
      </c>
      <c r="E48" s="368">
        <f t="shared" si="8"/>
        <v>42334</v>
      </c>
      <c r="F48" s="368">
        <f t="shared" si="8"/>
        <v>42335</v>
      </c>
      <c r="G48" s="112">
        <f t="shared" si="8"/>
        <v>42336</v>
      </c>
      <c r="I48" s="17"/>
      <c r="J48" s="414" t="s">
        <v>201</v>
      </c>
      <c r="K48" s="414"/>
      <c r="L48" s="96"/>
      <c r="M48" s="96"/>
      <c r="N48" s="99"/>
      <c r="O48" s="99"/>
      <c r="P48" s="99"/>
      <c r="Q48" s="82">
        <f t="shared" si="9"/>
        <v>42512</v>
      </c>
      <c r="R48" s="82">
        <f t="shared" si="9"/>
        <v>42513</v>
      </c>
      <c r="S48" s="411">
        <f t="shared" si="9"/>
        <v>42514</v>
      </c>
      <c r="T48" s="94">
        <f t="shared" si="9"/>
        <v>42515</v>
      </c>
      <c r="U48" s="94">
        <f t="shared" si="9"/>
        <v>42516</v>
      </c>
      <c r="V48" s="320">
        <f t="shared" si="9"/>
        <v>42517</v>
      </c>
      <c r="W48" s="320">
        <f t="shared" si="9"/>
        <v>42518</v>
      </c>
      <c r="X48" s="414" t="s">
        <v>201</v>
      </c>
      <c r="Y48" s="414"/>
      <c r="Z48" s="97"/>
      <c r="AA48" s="97"/>
      <c r="AB48" s="99"/>
    </row>
    <row r="49" spans="1:29">
      <c r="A49" s="111">
        <f t="shared" si="8"/>
        <v>42337</v>
      </c>
      <c r="B49" s="81">
        <f>IF(MONTH($A$43)&lt;&gt;MONTH($A$43-(WEEKDAY($A$43,1)-($I$4-1))-IF((WEEKDAY($A$43,1)-($I$4-1))&lt;=0,7,0)+(ROW(B49)-ROW($A$45))*7+(COLUMN(B49)-COLUMN($A$45)+1)),"",$A$43-(WEEKDAY($A$43,1)-($I$4-1))-IF((WEEKDAY($A$43,1)-($I$4-1))&lt;=0,7,0)+(ROW(B49)-ROW($A$45))*7+(COLUMN(B49)-COLUMN($A$45)+1))</f>
        <v>42338</v>
      </c>
      <c r="C49" s="82" t="str">
        <f t="shared" si="8"/>
        <v/>
      </c>
      <c r="D49" s="90" t="str">
        <f t="shared" si="8"/>
        <v/>
      </c>
      <c r="E49" s="90" t="str">
        <f t="shared" si="8"/>
        <v/>
      </c>
      <c r="F49" s="90" t="str">
        <f t="shared" si="8"/>
        <v/>
      </c>
      <c r="G49" s="371" t="str">
        <f t="shared" si="8"/>
        <v/>
      </c>
      <c r="I49" s="17"/>
      <c r="J49" s="414" t="s">
        <v>202</v>
      </c>
      <c r="K49" s="414"/>
      <c r="L49" s="96"/>
      <c r="M49" s="96"/>
      <c r="N49" s="99"/>
      <c r="O49" s="99"/>
      <c r="P49" s="99"/>
      <c r="Q49" s="320">
        <f t="shared" si="9"/>
        <v>42519</v>
      </c>
      <c r="R49" s="368">
        <f t="shared" si="9"/>
        <v>42520</v>
      </c>
      <c r="S49" s="320">
        <f t="shared" si="9"/>
        <v>42521</v>
      </c>
      <c r="T49" s="82" t="str">
        <f t="shared" si="9"/>
        <v/>
      </c>
      <c r="U49" s="82" t="str">
        <f t="shared" si="9"/>
        <v/>
      </c>
      <c r="V49" s="82" t="str">
        <f t="shared" si="9"/>
        <v/>
      </c>
      <c r="W49" s="82" t="str">
        <f t="shared" si="9"/>
        <v/>
      </c>
      <c r="X49" s="414" t="s">
        <v>202</v>
      </c>
      <c r="Y49" s="414"/>
      <c r="Z49" s="88"/>
      <c r="AA49" s="88"/>
      <c r="AB49" s="99"/>
    </row>
    <row r="50" spans="1:29">
      <c r="A50" s="82" t="str">
        <f t="shared" si="8"/>
        <v/>
      </c>
      <c r="B50" s="115" t="str">
        <f t="shared" si="8"/>
        <v/>
      </c>
      <c r="C50" s="115" t="str">
        <f t="shared" si="8"/>
        <v/>
      </c>
      <c r="D50" s="115" t="str">
        <f t="shared" si="8"/>
        <v/>
      </c>
      <c r="E50" s="115" t="str">
        <f t="shared" si="8"/>
        <v/>
      </c>
      <c r="F50" s="115" t="str">
        <f t="shared" si="8"/>
        <v/>
      </c>
      <c r="G50" s="82" t="str">
        <f t="shared" si="8"/>
        <v/>
      </c>
      <c r="I50" s="17"/>
      <c r="J50" s="3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c r="A54" s="82" t="str">
        <f t="shared" ref="A54:G59" si="10">IF(MONTH($A$52)&lt;&gt;MONTH($A$52-(WEEKDAY($A$52,1)-($I$4-1))-IF((WEEKDAY($A$52,1)-($I$4-1))&lt;=0,7,0)+(ROW(A54)-ROW($A$54))*7+(COLUMN(A54)-COLUMN($A$54)+1)),"",$A$52-(WEEKDAY($A$52,1)-($I$4-1))-IF((WEEKDAY($A$52,1)-($I$4-1))&lt;=0,7,0)+(ROW(A54)-ROW($A$54))*7+(COLUMN(A54)-COLUMN($A$54)+1))</f>
        <v/>
      </c>
      <c r="B54" s="82" t="str">
        <f t="shared" si="10"/>
        <v/>
      </c>
      <c r="C54" s="369">
        <f t="shared" si="10"/>
        <v>42339</v>
      </c>
      <c r="D54" s="348">
        <f t="shared" si="10"/>
        <v>42340</v>
      </c>
      <c r="E54" s="369">
        <f t="shared" si="10"/>
        <v>42341</v>
      </c>
      <c r="F54" s="82">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320">
        <f t="shared" si="11"/>
        <v>42522</v>
      </c>
      <c r="U54" s="320">
        <f t="shared" si="11"/>
        <v>42523</v>
      </c>
      <c r="V54" s="320">
        <f t="shared" si="11"/>
        <v>42524</v>
      </c>
      <c r="W54" s="320">
        <f t="shared" si="11"/>
        <v>42525</v>
      </c>
      <c r="X54" s="54"/>
      <c r="Y54" s="54"/>
      <c r="Z54" s="97"/>
      <c r="AA54" s="97"/>
      <c r="AB54" s="99"/>
    </row>
    <row r="55" spans="1:29">
      <c r="A55" s="82">
        <f t="shared" si="10"/>
        <v>42344</v>
      </c>
      <c r="B55" s="82">
        <f t="shared" si="10"/>
        <v>42345</v>
      </c>
      <c r="C55" s="369">
        <f t="shared" si="10"/>
        <v>42346</v>
      </c>
      <c r="D55" s="82">
        <f t="shared" si="10"/>
        <v>42347</v>
      </c>
      <c r="E55" s="369">
        <f t="shared" si="10"/>
        <v>42348</v>
      </c>
      <c r="F55" s="82">
        <f t="shared" si="10"/>
        <v>42349</v>
      </c>
      <c r="G55" s="112">
        <f t="shared" si="10"/>
        <v>42350</v>
      </c>
      <c r="I55" s="17"/>
      <c r="J55" s="85"/>
      <c r="K55" s="85"/>
      <c r="L55" s="96"/>
      <c r="M55" s="96"/>
      <c r="N55" s="99"/>
      <c r="O55" s="99"/>
      <c r="P55" s="99"/>
      <c r="Q55" s="320">
        <f t="shared" si="11"/>
        <v>42526</v>
      </c>
      <c r="R55" s="320">
        <f t="shared" si="11"/>
        <v>42527</v>
      </c>
      <c r="S55" s="320">
        <f t="shared" si="11"/>
        <v>42528</v>
      </c>
      <c r="T55" s="367">
        <f t="shared" si="11"/>
        <v>42529</v>
      </c>
      <c r="U55" s="320">
        <f t="shared" si="11"/>
        <v>42530</v>
      </c>
      <c r="V55" s="94">
        <f t="shared" si="11"/>
        <v>42531</v>
      </c>
      <c r="W55" s="320">
        <f t="shared" si="11"/>
        <v>42532</v>
      </c>
      <c r="X55" s="291"/>
      <c r="Y55" s="54"/>
      <c r="Z55" s="99"/>
      <c r="AA55" s="99"/>
      <c r="AB55" s="99"/>
    </row>
    <row r="56" spans="1:29">
      <c r="A56" s="82">
        <f t="shared" si="10"/>
        <v>42351</v>
      </c>
      <c r="B56" s="82">
        <f t="shared" si="10"/>
        <v>42352</v>
      </c>
      <c r="C56" s="369">
        <f t="shared" si="10"/>
        <v>42353</v>
      </c>
      <c r="D56" s="82">
        <f t="shared" si="10"/>
        <v>42354</v>
      </c>
      <c r="E56" s="369">
        <f t="shared" si="10"/>
        <v>42355</v>
      </c>
      <c r="F56" s="94">
        <f t="shared" si="10"/>
        <v>42356</v>
      </c>
      <c r="G56" s="372">
        <f t="shared" si="10"/>
        <v>42357</v>
      </c>
      <c r="H56" s="22"/>
      <c r="I56" s="17"/>
      <c r="J56" s="317"/>
      <c r="K56" s="54"/>
      <c r="L56" s="99"/>
      <c r="M56" s="96"/>
      <c r="N56" s="99"/>
      <c r="O56" s="99"/>
      <c r="P56" s="99"/>
      <c r="Q56" s="81">
        <f t="shared" si="11"/>
        <v>42533</v>
      </c>
      <c r="R56" s="81">
        <f t="shared" si="11"/>
        <v>42534</v>
      </c>
      <c r="S56" s="81">
        <f t="shared" si="11"/>
        <v>42535</v>
      </c>
      <c r="T56" s="81">
        <f t="shared" si="11"/>
        <v>42536</v>
      </c>
      <c r="U56" s="320">
        <f t="shared" si="11"/>
        <v>42537</v>
      </c>
      <c r="V56" s="320">
        <f t="shared" si="11"/>
        <v>42538</v>
      </c>
      <c r="W56" s="81">
        <f t="shared" si="11"/>
        <v>42539</v>
      </c>
      <c r="X56" s="317"/>
      <c r="Y56" s="54"/>
      <c r="Z56" s="99"/>
      <c r="AA56" s="99"/>
      <c r="AB56" s="99"/>
    </row>
    <row r="57" spans="1:29">
      <c r="A57" s="92">
        <f t="shared" si="10"/>
        <v>42358</v>
      </c>
      <c r="B57" s="92">
        <f t="shared" si="10"/>
        <v>42359</v>
      </c>
      <c r="C57" s="357">
        <f t="shared" si="10"/>
        <v>42360</v>
      </c>
      <c r="D57" s="92">
        <f t="shared" si="10"/>
        <v>42361</v>
      </c>
      <c r="E57" s="92">
        <f t="shared" si="10"/>
        <v>42362</v>
      </c>
      <c r="F57" s="92">
        <f t="shared" si="10"/>
        <v>42363</v>
      </c>
      <c r="G57" s="373">
        <f t="shared" si="10"/>
        <v>42364</v>
      </c>
      <c r="I57" s="17"/>
      <c r="J57" s="290"/>
      <c r="K57" s="54"/>
      <c r="L57" s="99"/>
      <c r="M57" s="99"/>
      <c r="N57" s="99"/>
      <c r="O57" s="99"/>
      <c r="P57" s="99"/>
      <c r="Q57" s="98">
        <f t="shared" si="11"/>
        <v>42540</v>
      </c>
      <c r="R57" s="98">
        <f t="shared" si="11"/>
        <v>42541</v>
      </c>
      <c r="S57" s="98">
        <f t="shared" si="11"/>
        <v>42542</v>
      </c>
      <c r="T57" s="357">
        <f t="shared" si="11"/>
        <v>42543</v>
      </c>
      <c r="U57" s="98">
        <f t="shared" si="11"/>
        <v>42544</v>
      </c>
      <c r="V57" s="98">
        <f t="shared" si="11"/>
        <v>42545</v>
      </c>
      <c r="W57" s="92">
        <f t="shared" si="11"/>
        <v>42546</v>
      </c>
      <c r="X57" s="291"/>
      <c r="Y57" s="54"/>
      <c r="Z57" s="99"/>
      <c r="AA57" s="99"/>
      <c r="AB57" s="99"/>
    </row>
    <row r="58" spans="1:29" ht="18.75" customHeight="1">
      <c r="A58" s="92">
        <f t="shared" si="10"/>
        <v>42365</v>
      </c>
      <c r="B58" s="92">
        <f t="shared" si="10"/>
        <v>42366</v>
      </c>
      <c r="C58" s="92">
        <f t="shared" si="10"/>
        <v>42367</v>
      </c>
      <c r="D58" s="92">
        <f t="shared" si="10"/>
        <v>42368</v>
      </c>
      <c r="E58" s="92">
        <f t="shared" si="10"/>
        <v>42369</v>
      </c>
      <c r="F58" s="92" t="str">
        <f t="shared" si="10"/>
        <v/>
      </c>
      <c r="G58" s="373" t="str">
        <f t="shared" si="10"/>
        <v/>
      </c>
      <c r="I58" s="17"/>
      <c r="J58" s="85"/>
      <c r="K58" s="54"/>
      <c r="L58" s="99"/>
      <c r="M58" s="99"/>
      <c r="N58" s="99"/>
      <c r="O58" s="99"/>
      <c r="P58" s="99"/>
      <c r="Q58" s="98">
        <f t="shared" si="11"/>
        <v>42547</v>
      </c>
      <c r="R58" s="98">
        <f t="shared" si="11"/>
        <v>42548</v>
      </c>
      <c r="S58" s="98">
        <f t="shared" si="11"/>
        <v>42549</v>
      </c>
      <c r="T58" s="98">
        <f t="shared" si="11"/>
        <v>42550</v>
      </c>
      <c r="U58" s="357">
        <f t="shared" si="11"/>
        <v>42551</v>
      </c>
      <c r="V58" s="81" t="str">
        <f t="shared" si="11"/>
        <v/>
      </c>
      <c r="W58" s="81" t="str">
        <f t="shared" si="11"/>
        <v/>
      </c>
      <c r="X58" s="291"/>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t="s">
        <v>160</v>
      </c>
      <c r="P61" s="70"/>
      <c r="Q61" s="70"/>
      <c r="R61" s="70"/>
      <c r="S61" s="25"/>
      <c r="T61" s="370"/>
      <c r="U61" s="70" t="s">
        <v>203</v>
      </c>
      <c r="V61" s="74"/>
      <c r="W61" s="25"/>
      <c r="X61" s="72"/>
      <c r="Y61" s="70"/>
      <c r="Z61" s="73"/>
    </row>
    <row r="62" spans="1:29" ht="15.75" thickBot="1">
      <c r="A62" s="45"/>
      <c r="B62" s="70" t="s">
        <v>161</v>
      </c>
      <c r="C62" s="70"/>
      <c r="D62" s="70"/>
      <c r="E62" s="70"/>
      <c r="F62" s="71"/>
      <c r="G62" s="71"/>
      <c r="H62" s="72"/>
      <c r="I62" s="70"/>
      <c r="J62" s="73"/>
      <c r="K62" s="6"/>
      <c r="L62" s="6"/>
      <c r="N62" s="3"/>
      <c r="O62" t="s">
        <v>204</v>
      </c>
      <c r="V62" s="71"/>
      <c r="W62" s="87"/>
      <c r="X62" s="104"/>
      <c r="Y62" s="25"/>
      <c r="Z62" s="25"/>
      <c r="AC62" s="29"/>
    </row>
    <row r="63" spans="1:29">
      <c r="A63" s="292"/>
      <c r="B63" s="293" t="s">
        <v>126</v>
      </c>
      <c r="C63" s="293"/>
      <c r="D63" s="293"/>
      <c r="E63" s="293"/>
      <c r="F63" s="77"/>
      <c r="G63" s="77"/>
      <c r="H63" s="70"/>
      <c r="I63" s="70"/>
      <c r="J63" s="73"/>
      <c r="K63" s="6"/>
      <c r="L63" s="6"/>
      <c r="T63" s="70"/>
      <c r="U63" s="70"/>
      <c r="V63" s="70"/>
      <c r="W63" s="70"/>
      <c r="X63" s="70"/>
      <c r="Y63" s="70"/>
      <c r="Z63" s="70"/>
    </row>
    <row r="64" spans="1:29">
      <c r="B64" s="70"/>
      <c r="C64" s="70"/>
      <c r="D64" s="70"/>
      <c r="E64" s="70"/>
      <c r="F64" s="70"/>
      <c r="G64" s="70"/>
      <c r="H64" s="72"/>
      <c r="I64" s="70"/>
      <c r="J64" s="73"/>
      <c r="K64" s="6"/>
      <c r="L64" s="6"/>
    </row>
    <row r="74" spans="1:24">
      <c r="A74" s="30" t="s">
        <v>20</v>
      </c>
      <c r="H74"/>
      <c r="X74"/>
    </row>
  </sheetData>
  <mergeCells count="21">
    <mergeCell ref="A52:G52"/>
    <mergeCell ref="Q52:W52"/>
    <mergeCell ref="A25:G25"/>
    <mergeCell ref="Q25:W25"/>
    <mergeCell ref="A34:G34"/>
    <mergeCell ref="Q34:W34"/>
    <mergeCell ref="A43:G43"/>
    <mergeCell ref="Q43:W43"/>
    <mergeCell ref="A16:G16"/>
    <mergeCell ref="Q16:W16"/>
    <mergeCell ref="A1:P1"/>
    <mergeCell ref="A2:G2"/>
    <mergeCell ref="R2:X2"/>
    <mergeCell ref="A3:C3"/>
    <mergeCell ref="E3:G3"/>
    <mergeCell ref="I3:L3"/>
    <mergeCell ref="A4:C4"/>
    <mergeCell ref="E4:G4"/>
    <mergeCell ref="I4:L4"/>
    <mergeCell ref="A7:G7"/>
    <mergeCell ref="Q7:W7"/>
  </mergeCells>
  <conditionalFormatting sqref="Q36:W41 Q54:W59 Q45:W50 Q27:W32 Q18:W23 Q9:W14 A54:G59 A45:G50 A36:G41 A27:G32 A9:G14 A18:G23 B61">
    <cfRule type="cellIs" dxfId="1" priority="1" stopIfTrue="1" operator="equal">
      <formula>""</formula>
    </cfRule>
  </conditionalFormatting>
  <hyperlinks>
    <hyperlink ref="A2" r:id="rId1"/>
    <hyperlink ref="A74" r:id="rId2"/>
  </hyperlinks>
  <pageMargins left="0.25" right="0.25" top="0.61093750000000002" bottom="0.5" header="0.3" footer="0.3"/>
  <pageSetup scale="68" orientation="portrait" r:id="rId3"/>
  <headerFooter>
    <oddHeader>&amp;C&amp;20 2015-2016 AIU3 Adult Education Civics Calendar</oddHeader>
  </headerFooter>
  <drawing r:id="rId4"/>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74"/>
  <sheetViews>
    <sheetView topLeftCell="A23" workbookViewId="0">
      <selection activeCell="R59" sqref="R59"/>
    </sheetView>
  </sheetViews>
  <sheetFormatPr defaultRowHeight="15"/>
  <cols>
    <col min="1" max="7" width="3.42578125" customWidth="1"/>
    <col min="8" max="8" width="1.28515625" style="10" hidden="1" customWidth="1"/>
    <col min="9" max="9" width="2.7109375" hidden="1" customWidth="1"/>
    <col min="10" max="10" width="4.5703125" style="31" customWidth="1"/>
    <col min="11" max="11" width="4.42578125" customWidth="1"/>
    <col min="12" max="12" width="6.42578125" bestFit="1" customWidth="1"/>
    <col min="13" max="13" width="5.140625" customWidth="1"/>
    <col min="14" max="14" width="2.140625" customWidth="1"/>
    <col min="15" max="15" width="2.28515625" customWidth="1"/>
    <col min="16" max="16" width="3.5703125" customWidth="1"/>
    <col min="17" max="17" width="3.140625" customWidth="1"/>
    <col min="18" max="23" width="3.42578125" customWidth="1"/>
    <col min="24" max="24" width="4.42578125" style="10" customWidth="1"/>
    <col min="25" max="25" width="4.28515625" customWidth="1"/>
    <col min="26" max="26" width="10" customWidth="1"/>
    <col min="27" max="27" width="5" customWidth="1"/>
    <col min="28" max="28" width="19.42578125" bestFit="1" customWidth="1"/>
    <col min="30" max="30" width="10.42578125" bestFit="1" customWidth="1"/>
  </cols>
  <sheetData>
    <row r="1" spans="1:27" ht="20.25">
      <c r="A1" s="598" t="s">
        <v>19</v>
      </c>
      <c r="B1" s="598"/>
      <c r="C1" s="598"/>
      <c r="D1" s="598"/>
      <c r="E1" s="598"/>
      <c r="F1" s="598"/>
      <c r="G1" s="598"/>
      <c r="H1" s="598"/>
      <c r="I1" s="598"/>
      <c r="J1" s="598"/>
      <c r="K1" s="598"/>
      <c r="L1" s="598"/>
      <c r="M1" s="598"/>
      <c r="N1" s="598"/>
      <c r="O1" s="598"/>
      <c r="P1" s="598"/>
      <c r="Q1" s="8"/>
      <c r="R1" s="8"/>
      <c r="S1" s="8"/>
      <c r="T1" s="8"/>
      <c r="U1" s="8"/>
      <c r="V1" s="8"/>
      <c r="W1" s="8"/>
      <c r="X1" s="9"/>
    </row>
    <row r="2" spans="1:27">
      <c r="A2" s="599" t="s">
        <v>20</v>
      </c>
      <c r="B2" s="599"/>
      <c r="C2" s="599"/>
      <c r="D2" s="599"/>
      <c r="E2" s="599"/>
      <c r="F2" s="599"/>
      <c r="G2" s="599"/>
      <c r="R2" s="600" t="s">
        <v>21</v>
      </c>
      <c r="S2" s="600"/>
      <c r="T2" s="600"/>
      <c r="U2" s="600"/>
      <c r="V2" s="600"/>
      <c r="W2" s="600"/>
      <c r="X2" s="600"/>
    </row>
    <row r="3" spans="1:27">
      <c r="A3" s="601" t="s">
        <v>22</v>
      </c>
      <c r="B3" s="601"/>
      <c r="C3" s="601"/>
      <c r="D3" s="11"/>
      <c r="E3" s="601" t="s">
        <v>23</v>
      </c>
      <c r="F3" s="601"/>
      <c r="G3" s="601"/>
      <c r="H3" s="12"/>
      <c r="I3" s="602" t="s">
        <v>24</v>
      </c>
      <c r="J3" s="602"/>
      <c r="K3" s="602"/>
      <c r="L3" s="602"/>
      <c r="M3" s="13"/>
      <c r="N3" s="13"/>
      <c r="O3" s="13"/>
      <c r="P3" s="13"/>
      <c r="Q3" s="13"/>
    </row>
    <row r="4" spans="1:27">
      <c r="A4" s="603">
        <v>2015</v>
      </c>
      <c r="B4" s="603"/>
      <c r="C4" s="603"/>
      <c r="D4" s="11"/>
      <c r="E4" s="603">
        <v>7</v>
      </c>
      <c r="F4" s="603"/>
      <c r="G4" s="603"/>
      <c r="H4" s="12"/>
      <c r="I4" s="603">
        <v>1</v>
      </c>
      <c r="J4" s="603"/>
      <c r="K4" s="603"/>
      <c r="L4" s="603"/>
      <c r="M4" s="14" t="s">
        <v>25</v>
      </c>
      <c r="N4" s="13"/>
      <c r="O4" s="13"/>
      <c r="P4" s="13"/>
      <c r="Q4" s="13"/>
    </row>
    <row r="5" spans="1:27" ht="23.25">
      <c r="A5" s="37" t="s">
        <v>26</v>
      </c>
      <c r="B5" s="38"/>
      <c r="C5" s="39"/>
      <c r="D5" s="40"/>
      <c r="E5" s="41"/>
      <c r="F5" s="41"/>
      <c r="G5" s="42"/>
      <c r="H5" s="35"/>
      <c r="I5" s="35"/>
      <c r="J5" s="43"/>
      <c r="K5" s="35"/>
      <c r="L5" s="15"/>
      <c r="M5" s="15"/>
      <c r="N5" s="15"/>
      <c r="O5" s="15"/>
      <c r="P5" s="15"/>
      <c r="Q5" s="15"/>
      <c r="R5" s="15"/>
      <c r="S5" s="15"/>
      <c r="T5" s="15"/>
      <c r="U5" s="34" t="s">
        <v>58</v>
      </c>
      <c r="V5" s="35"/>
      <c r="W5" s="35"/>
      <c r="X5" s="35"/>
      <c r="Y5" s="36"/>
      <c r="Z5" s="36"/>
      <c r="AA5" s="36"/>
    </row>
    <row r="6" spans="1:27" ht="6" customHeight="1">
      <c r="A6" s="58"/>
      <c r="B6" s="58"/>
      <c r="C6" s="58"/>
      <c r="D6" s="58"/>
      <c r="E6" s="58"/>
      <c r="F6" s="58"/>
      <c r="G6" s="58"/>
      <c r="P6" s="58"/>
    </row>
    <row r="7" spans="1:27">
      <c r="A7" s="592">
        <f>DATE($A$4,$E$4,1)</f>
        <v>42186</v>
      </c>
      <c r="B7" s="593"/>
      <c r="C7" s="593"/>
      <c r="D7" s="593"/>
      <c r="E7" s="593"/>
      <c r="F7" s="593"/>
      <c r="G7" s="594"/>
      <c r="H7" s="16"/>
      <c r="I7" s="17"/>
      <c r="J7" s="85"/>
      <c r="K7" s="54"/>
      <c r="L7" s="86"/>
      <c r="M7" s="86"/>
      <c r="N7" s="86"/>
      <c r="O7" s="59"/>
      <c r="P7" s="59"/>
      <c r="Q7" s="593">
        <f>DATE(YEAR(A52+35),MONTH(A52+35),1)</f>
        <v>42370</v>
      </c>
      <c r="R7" s="593"/>
      <c r="S7" s="593"/>
      <c r="T7" s="593"/>
      <c r="U7" s="593"/>
      <c r="V7" s="593"/>
      <c r="W7" s="593"/>
      <c r="X7" s="103"/>
      <c r="Y7" s="97"/>
      <c r="Z7" s="59"/>
      <c r="AA7" s="59"/>
    </row>
    <row r="8" spans="1:27">
      <c r="A8" s="18" t="str">
        <f>INDEX({"Su","M","Tu","W","Th","F","Sa"},1+MOD($I$4+1-2,7))</f>
        <v>Su</v>
      </c>
      <c r="B8" s="18" t="str">
        <f>INDEX({"Su","M","Tu","W","Th","F","Sa"},1+MOD($I$4+2-2,7))</f>
        <v>M</v>
      </c>
      <c r="C8" s="18" t="str">
        <f>INDEX({"Su","M","Tu","W","Th","F","Sa"},1+MOD($I$4+3-2,7))</f>
        <v>Tu</v>
      </c>
      <c r="D8" s="18" t="str">
        <f>INDEX({"Su","M","Tu","W","Th","F","Sa"},1+MOD($I$4+4-2,7))</f>
        <v>W</v>
      </c>
      <c r="E8" s="18" t="str">
        <f>INDEX({"Su","M","Tu","W","Th","F","Sa"},1+MOD($I$4+5-2,7))</f>
        <v>Th</v>
      </c>
      <c r="F8" s="18" t="str">
        <f>INDEX({"Su","M","Tu","W","Th","F","Sa"},1+MOD($I$4+6-2,7))</f>
        <v>F</v>
      </c>
      <c r="G8" s="18" t="str">
        <f>INDEX({"Su","M","Tu","W","Th","F","Sa"},1+MOD($I$4+7-2,7))</f>
        <v>Sa</v>
      </c>
      <c r="H8" s="19"/>
      <c r="I8" s="17"/>
      <c r="J8" s="85"/>
      <c r="K8" s="54"/>
      <c r="L8" s="55"/>
      <c r="M8" s="55"/>
      <c r="N8" s="55"/>
      <c r="O8" s="2"/>
      <c r="P8" s="2"/>
      <c r="Q8" s="20" t="str">
        <f>$A$8</f>
        <v>Su</v>
      </c>
      <c r="R8" s="20" t="str">
        <f>$B$8</f>
        <v>M</v>
      </c>
      <c r="S8" s="20" t="str">
        <f>$C$8</f>
        <v>Tu</v>
      </c>
      <c r="T8" s="20" t="str">
        <f>$D$8</f>
        <v>W</v>
      </c>
      <c r="U8" s="20" t="str">
        <f>$E$8</f>
        <v>Th</v>
      </c>
      <c r="V8" s="20" t="str">
        <f>$F$8</f>
        <v>F</v>
      </c>
      <c r="W8" s="20" t="str">
        <f>$G$8</f>
        <v>Sa</v>
      </c>
      <c r="X8" s="104"/>
      <c r="Y8" s="97"/>
      <c r="Z8" s="99"/>
      <c r="AA8" s="99"/>
    </row>
    <row r="9" spans="1:27" ht="15.75" thickBot="1">
      <c r="A9" s="82" t="str">
        <f t="shared" ref="A9:G14" si="0">IF(MONTH($A$7)&lt;&gt;MONTH($A$7-(WEEKDAY($A$7,1)-($I$4-1))-IF((WEEKDAY($A$7,1)-($I$4-1))&lt;=0,7,0)+(ROW(A9)-ROW($A$9))*7+(COLUMN(A9)-COLUMN($A$9)+1)),"",$A$7-(WEEKDAY($A$7,1)-($I$4-1))-IF((WEEKDAY($A$7,1)-($I$4-1))&lt;=0,7,0)+(ROW(A9)-ROW($A$9))*7+(COLUMN(A9)-COLUMN($A$9)+1))</f>
        <v/>
      </c>
      <c r="B9" s="82" t="str">
        <f t="shared" si="0"/>
        <v/>
      </c>
      <c r="C9" s="83" t="str">
        <f t="shared" si="0"/>
        <v/>
      </c>
      <c r="D9" s="83">
        <f t="shared" si="0"/>
        <v>42186</v>
      </c>
      <c r="E9" s="83">
        <f t="shared" si="0"/>
        <v>42187</v>
      </c>
      <c r="F9" s="83">
        <f t="shared" si="0"/>
        <v>42188</v>
      </c>
      <c r="G9" s="83">
        <f t="shared" si="0"/>
        <v>42189</v>
      </c>
      <c r="I9" s="17"/>
      <c r="J9" s="96"/>
      <c r="K9" s="97"/>
      <c r="L9" s="99"/>
      <c r="M9" s="99"/>
      <c r="N9" s="99"/>
      <c r="O9" s="99"/>
      <c r="P9" s="99"/>
      <c r="Q9" s="82" t="str">
        <f t="shared" ref="Q9:W14" si="1">IF(MONTH($Q$7)&lt;&gt;MONTH($Q$7-(WEEKDAY($Q$7,1)-($I$4-1))-IF((WEEKDAY($Q$7,1)-($I$4-1))&lt;=0,7,0)+(ROW(Q9)-ROW($Q$9))*7+(COLUMN(Q9)-COLUMN($Q$9)+1)),"",$Q$7-(WEEKDAY($Q$7,1)-($I$4-1))-IF((WEEKDAY($Q$7,1)-($I$4-1))&lt;=0,7,0)+(ROW(Q9)-ROW($Q$9))*7+(COLUMN(Q9)-COLUMN($Q$9)+1))</f>
        <v/>
      </c>
      <c r="R9" s="114" t="str">
        <f t="shared" si="1"/>
        <v/>
      </c>
      <c r="S9" s="114" t="str">
        <f t="shared" si="1"/>
        <v/>
      </c>
      <c r="T9" s="127" t="str">
        <f t="shared" si="1"/>
        <v/>
      </c>
      <c r="U9" s="128" t="str">
        <f t="shared" si="1"/>
        <v/>
      </c>
      <c r="V9" s="128">
        <f t="shared" si="1"/>
        <v>42370</v>
      </c>
      <c r="W9" s="93">
        <f t="shared" si="1"/>
        <v>42371</v>
      </c>
      <c r="X9" s="57"/>
      <c r="Y9" s="54"/>
      <c r="Z9" s="99"/>
      <c r="AA9" s="99"/>
    </row>
    <row r="10" spans="1:27" ht="15.75" thickBot="1">
      <c r="A10" s="82">
        <f t="shared" si="0"/>
        <v>42190</v>
      </c>
      <c r="B10" s="82">
        <f t="shared" si="0"/>
        <v>42191</v>
      </c>
      <c r="C10" s="82">
        <f t="shared" si="0"/>
        <v>42192</v>
      </c>
      <c r="D10" s="82">
        <f t="shared" si="0"/>
        <v>42193</v>
      </c>
      <c r="E10" s="82">
        <f t="shared" si="0"/>
        <v>42194</v>
      </c>
      <c r="F10" s="348">
        <f t="shared" si="0"/>
        <v>42195</v>
      </c>
      <c r="G10" s="82">
        <f t="shared" si="0"/>
        <v>42196</v>
      </c>
      <c r="I10" s="17"/>
      <c r="J10" s="290"/>
      <c r="K10" s="54"/>
      <c r="L10" s="99"/>
      <c r="M10" s="99"/>
      <c r="N10" s="99"/>
      <c r="O10" s="99"/>
      <c r="P10" s="99"/>
      <c r="Q10" s="111">
        <f t="shared" si="1"/>
        <v>42372</v>
      </c>
      <c r="R10" s="116">
        <f t="shared" si="1"/>
        <v>42373</v>
      </c>
      <c r="S10" s="133">
        <f t="shared" si="1"/>
        <v>42374</v>
      </c>
      <c r="T10" s="124">
        <f t="shared" si="1"/>
        <v>42375</v>
      </c>
      <c r="U10" s="354">
        <f t="shared" si="1"/>
        <v>42376</v>
      </c>
      <c r="V10" s="117">
        <f t="shared" si="1"/>
        <v>42377</v>
      </c>
      <c r="W10" s="112">
        <f t="shared" si="1"/>
        <v>42378</v>
      </c>
      <c r="X10" s="291"/>
      <c r="Y10" s="54"/>
      <c r="Z10" s="88"/>
      <c r="AA10" s="88"/>
    </row>
    <row r="11" spans="1:27" ht="15.75" thickBot="1">
      <c r="A11" s="82">
        <f t="shared" si="0"/>
        <v>42197</v>
      </c>
      <c r="B11" s="82">
        <f t="shared" si="0"/>
        <v>42198</v>
      </c>
      <c r="C11" s="82">
        <f t="shared" si="0"/>
        <v>42199</v>
      </c>
      <c r="D11" s="82">
        <f t="shared" si="0"/>
        <v>42200</v>
      </c>
      <c r="E11" s="82">
        <f t="shared" si="0"/>
        <v>42201</v>
      </c>
      <c r="F11" s="82">
        <f t="shared" si="0"/>
        <v>42202</v>
      </c>
      <c r="G11" s="82">
        <f t="shared" si="0"/>
        <v>42203</v>
      </c>
      <c r="I11" s="17"/>
      <c r="J11" s="85"/>
      <c r="K11" s="54"/>
      <c r="L11" s="100"/>
      <c r="M11" s="88"/>
      <c r="N11" s="87"/>
      <c r="O11" s="87"/>
      <c r="P11" s="99"/>
      <c r="Q11" s="82">
        <f t="shared" si="1"/>
        <v>42379</v>
      </c>
      <c r="R11" s="118">
        <f t="shared" si="1"/>
        <v>42380</v>
      </c>
      <c r="S11" s="134">
        <f t="shared" si="1"/>
        <v>42381</v>
      </c>
      <c r="T11" s="118">
        <f t="shared" si="1"/>
        <v>42382</v>
      </c>
      <c r="U11" s="118">
        <f t="shared" si="1"/>
        <v>42383</v>
      </c>
      <c r="V11" s="118">
        <f t="shared" si="1"/>
        <v>42384</v>
      </c>
      <c r="W11" s="82">
        <f t="shared" si="1"/>
        <v>42385</v>
      </c>
      <c r="X11" s="56"/>
      <c r="Y11" s="56"/>
      <c r="Z11" s="88"/>
      <c r="AA11" s="88"/>
    </row>
    <row r="12" spans="1:27" ht="15.75" thickBot="1">
      <c r="A12" s="82">
        <f t="shared" si="0"/>
        <v>42204</v>
      </c>
      <c r="B12" s="82">
        <f t="shared" si="0"/>
        <v>42205</v>
      </c>
      <c r="C12" s="82">
        <f t="shared" si="0"/>
        <v>42206</v>
      </c>
      <c r="D12" s="82">
        <f t="shared" si="0"/>
        <v>42207</v>
      </c>
      <c r="E12" s="82">
        <f t="shared" si="0"/>
        <v>42208</v>
      </c>
      <c r="F12" s="348">
        <f t="shared" si="0"/>
        <v>42209</v>
      </c>
      <c r="G12" s="82">
        <f t="shared" si="0"/>
        <v>42210</v>
      </c>
      <c r="I12" s="17"/>
      <c r="J12" s="290"/>
      <c r="K12" s="287"/>
      <c r="L12" s="67"/>
      <c r="M12" s="96"/>
      <c r="N12" s="87"/>
      <c r="O12" s="87"/>
      <c r="P12" s="99"/>
      <c r="Q12" s="111">
        <f t="shared" si="1"/>
        <v>42386</v>
      </c>
      <c r="R12" s="129">
        <f t="shared" si="1"/>
        <v>42387</v>
      </c>
      <c r="S12" s="123">
        <f t="shared" si="1"/>
        <v>42388</v>
      </c>
      <c r="T12" s="124">
        <f t="shared" si="1"/>
        <v>42389</v>
      </c>
      <c r="U12" s="123">
        <f t="shared" si="1"/>
        <v>42390</v>
      </c>
      <c r="V12" s="358">
        <f t="shared" si="1"/>
        <v>42391</v>
      </c>
      <c r="W12" s="112">
        <f t="shared" si="1"/>
        <v>42392</v>
      </c>
      <c r="X12" s="450" t="s">
        <v>303</v>
      </c>
      <c r="Y12" s="56"/>
      <c r="Z12" s="88"/>
      <c r="AA12" s="88"/>
    </row>
    <row r="13" spans="1:27">
      <c r="A13" s="82">
        <f t="shared" si="0"/>
        <v>42211</v>
      </c>
      <c r="B13" s="82">
        <f t="shared" si="0"/>
        <v>42212</v>
      </c>
      <c r="C13" s="82">
        <f t="shared" si="0"/>
        <v>42213</v>
      </c>
      <c r="D13" s="82">
        <f t="shared" si="0"/>
        <v>42214</v>
      </c>
      <c r="E13" s="82">
        <f t="shared" si="0"/>
        <v>42215</v>
      </c>
      <c r="F13" s="82">
        <f t="shared" si="0"/>
        <v>42216</v>
      </c>
      <c r="G13" s="82" t="str">
        <f t="shared" si="0"/>
        <v/>
      </c>
      <c r="I13" s="17"/>
      <c r="J13" s="85"/>
      <c r="K13" s="54"/>
      <c r="L13" s="96"/>
      <c r="M13" s="96"/>
      <c r="N13" s="87"/>
      <c r="O13" s="87"/>
      <c r="P13" s="99"/>
      <c r="Q13" s="82">
        <f t="shared" si="1"/>
        <v>42393</v>
      </c>
      <c r="R13" s="115">
        <f t="shared" si="1"/>
        <v>42394</v>
      </c>
      <c r="S13" s="115">
        <f t="shared" si="1"/>
        <v>42395</v>
      </c>
      <c r="T13" s="115">
        <f t="shared" si="1"/>
        <v>42396</v>
      </c>
      <c r="U13" s="115">
        <f t="shared" si="1"/>
        <v>42397</v>
      </c>
      <c r="V13" s="140">
        <f t="shared" si="1"/>
        <v>42398</v>
      </c>
      <c r="W13" s="82">
        <f t="shared" si="1"/>
        <v>42399</v>
      </c>
      <c r="X13" s="341" t="s">
        <v>65</v>
      </c>
      <c r="Y13" s="342"/>
      <c r="Z13" s="343"/>
      <c r="AA13" s="341"/>
    </row>
    <row r="14" spans="1:27">
      <c r="A14" s="84" t="str">
        <f t="shared" si="0"/>
        <v/>
      </c>
      <c r="B14" s="84" t="str">
        <f t="shared" si="0"/>
        <v/>
      </c>
      <c r="C14" s="84" t="str">
        <f t="shared" si="0"/>
        <v/>
      </c>
      <c r="D14" s="84" t="str">
        <f t="shared" si="0"/>
        <v/>
      </c>
      <c r="E14" s="84" t="str">
        <f t="shared" si="0"/>
        <v/>
      </c>
      <c r="F14" s="84" t="str">
        <f t="shared" si="0"/>
        <v/>
      </c>
      <c r="G14" s="84" t="str">
        <f t="shared" si="0"/>
        <v/>
      </c>
      <c r="I14" s="17"/>
      <c r="J14" s="85"/>
      <c r="K14" s="54"/>
      <c r="L14" s="96"/>
      <c r="M14" s="96"/>
      <c r="N14" s="99"/>
      <c r="O14" s="99"/>
      <c r="P14" s="99"/>
      <c r="Q14" s="82">
        <f t="shared" si="1"/>
        <v>42400</v>
      </c>
      <c r="R14" s="115" t="str">
        <f t="shared" si="1"/>
        <v/>
      </c>
      <c r="S14" s="115" t="str">
        <f t="shared" si="1"/>
        <v/>
      </c>
      <c r="T14" s="115" t="str">
        <f t="shared" si="1"/>
        <v/>
      </c>
      <c r="U14" s="115" t="str">
        <f t="shared" si="1"/>
        <v/>
      </c>
      <c r="V14" s="115" t="str">
        <f t="shared" si="1"/>
        <v/>
      </c>
      <c r="W14" s="115" t="str">
        <f t="shared" si="1"/>
        <v/>
      </c>
      <c r="X14" s="53"/>
      <c r="Y14" s="53"/>
      <c r="Z14" s="104"/>
      <c r="AA14" s="104"/>
    </row>
    <row r="15" spans="1:27" ht="4.5" customHeight="1">
      <c r="A15" s="26"/>
      <c r="B15" s="26"/>
      <c r="C15" s="26"/>
      <c r="D15" s="26"/>
      <c r="E15" s="26"/>
      <c r="F15" s="26"/>
      <c r="G15" s="26"/>
      <c r="I15" s="17"/>
      <c r="J15" s="85"/>
      <c r="K15" s="54"/>
      <c r="L15" s="96"/>
      <c r="M15" s="96"/>
      <c r="N15" s="99"/>
      <c r="O15" s="99"/>
      <c r="P15" s="99"/>
      <c r="X15" s="57"/>
      <c r="Y15" s="57"/>
      <c r="Z15" s="104"/>
      <c r="AA15" s="104"/>
    </row>
    <row r="16" spans="1:27">
      <c r="A16" s="592">
        <f>DATE(YEAR(A7+35),MONTH(A7+35),1)</f>
        <v>42217</v>
      </c>
      <c r="B16" s="593"/>
      <c r="C16" s="593"/>
      <c r="D16" s="593"/>
      <c r="E16" s="593"/>
      <c r="F16" s="593"/>
      <c r="G16" s="594"/>
      <c r="H16" s="22"/>
      <c r="I16" s="17"/>
      <c r="J16" s="85"/>
      <c r="K16" s="54"/>
      <c r="L16" s="96"/>
      <c r="M16" s="96"/>
      <c r="N16" s="99"/>
      <c r="O16" s="99"/>
      <c r="P16" s="99"/>
      <c r="Q16" s="593">
        <f>DATE(YEAR(Q7+35),MONTH(Q7+35),1)</f>
        <v>42401</v>
      </c>
      <c r="R16" s="593"/>
      <c r="S16" s="593"/>
      <c r="T16" s="593"/>
      <c r="U16" s="593"/>
      <c r="V16" s="593"/>
      <c r="W16" s="593"/>
      <c r="X16" s="57"/>
      <c r="Y16" s="57"/>
      <c r="Z16" s="89"/>
      <c r="AA16" s="89"/>
    </row>
    <row r="17" spans="1:30" ht="15.75" thickBot="1">
      <c r="A17" s="18" t="str">
        <f>$A$8</f>
        <v>Su</v>
      </c>
      <c r="B17" s="20" t="str">
        <f>$B$8</f>
        <v>M</v>
      </c>
      <c r="C17" s="20" t="str">
        <f>$C$8</f>
        <v>Tu</v>
      </c>
      <c r="D17" s="20" t="str">
        <f>$D$8</f>
        <v>W</v>
      </c>
      <c r="E17" s="20" t="str">
        <f>$E$8</f>
        <v>Th</v>
      </c>
      <c r="F17" s="20" t="str">
        <f>$F$8</f>
        <v>F</v>
      </c>
      <c r="G17" s="21" t="str">
        <f>$G$8</f>
        <v>Sa</v>
      </c>
      <c r="H17" s="22"/>
      <c r="I17" s="17"/>
      <c r="J17" s="85"/>
      <c r="K17" s="54"/>
      <c r="L17" s="96"/>
      <c r="M17" s="96"/>
      <c r="N17" s="99"/>
      <c r="O17" s="99"/>
      <c r="P17" s="99"/>
      <c r="Q17" s="20" t="str">
        <f>$A$8</f>
        <v>Su</v>
      </c>
      <c r="R17" s="20" t="str">
        <f>$B$8</f>
        <v>M</v>
      </c>
      <c r="S17" s="20" t="str">
        <f>$C$8</f>
        <v>Tu</v>
      </c>
      <c r="T17" s="20" t="str">
        <f>$D$8</f>
        <v>W</v>
      </c>
      <c r="U17" s="20" t="str">
        <f>$E$8</f>
        <v>Th</v>
      </c>
      <c r="V17" s="20" t="str">
        <f>$F$8</f>
        <v>F</v>
      </c>
      <c r="W17" s="20" t="str">
        <f>$G$8</f>
        <v>Sa</v>
      </c>
      <c r="X17" s="53"/>
      <c r="Y17" s="53"/>
      <c r="Z17" s="89"/>
      <c r="AA17" s="89"/>
    </row>
    <row r="18" spans="1:30" ht="15.75" thickBot="1">
      <c r="A18" s="82" t="str">
        <f t="shared" ref="A18:G23" si="2">IF(MONTH($A$16)&lt;&gt;MONTH($A$16-(WEEKDAY($A$16,1)-($I$4-1))-IF((WEEKDAY($A$16,1)-($I$4-1))&lt;=0,7,0)+(ROW(A18)-ROW($A$18))*7+(COLUMN(A18)-COLUMN($A$18)+1)),"",$A$16-(WEEKDAY($A$16,1)-($I$4-1))-IF((WEEKDAY($A$16,1)-($I$4-1))&lt;=0,7,0)+(ROW(A18)-ROW($A$18))*7+(COLUMN(A18)-COLUMN($A$18)+1))</f>
        <v/>
      </c>
      <c r="B18" s="82" t="str">
        <f t="shared" si="2"/>
        <v/>
      </c>
      <c r="C18" s="82" t="str">
        <f t="shared" si="2"/>
        <v/>
      </c>
      <c r="D18" s="82" t="str">
        <f t="shared" si="2"/>
        <v/>
      </c>
      <c r="E18" s="82" t="str">
        <f t="shared" si="2"/>
        <v/>
      </c>
      <c r="F18" s="82" t="str">
        <f t="shared" si="2"/>
        <v/>
      </c>
      <c r="G18" s="82">
        <f t="shared" si="2"/>
        <v>42217</v>
      </c>
      <c r="H18" s="22"/>
      <c r="I18" s="17"/>
      <c r="J18" s="85"/>
      <c r="K18" s="54"/>
      <c r="L18" s="96"/>
      <c r="M18" s="96"/>
      <c r="N18" s="99"/>
      <c r="O18" s="99"/>
      <c r="P18" s="99"/>
      <c r="Q18" s="111" t="str">
        <f t="shared" ref="Q18:W23" si="3">IF(MONTH($Q$16)&lt;&gt;MONTH($Q$16-(WEEKDAY($Q$16,1)-($I$4-1))-IF((WEEKDAY($Q$16,1)-($I$4-1))&lt;=0,7,0)+(ROW(Q18)-ROW($Q$18))*7+(COLUMN(Q18)-COLUMN($Q$18)+1)),"",$Q$16-(WEEKDAY($Q$16,1)-($I$4-1))-IF((WEEKDAY($Q$16,1)-($I$4-1))&lt;=0,7,0)+(ROW(Q18)-ROW($Q$18))*7+(COLUMN(Q18)-COLUMN($Q$18)+1))</f>
        <v/>
      </c>
      <c r="R18" s="116">
        <f t="shared" si="3"/>
        <v>42401</v>
      </c>
      <c r="S18" s="133">
        <f t="shared" si="3"/>
        <v>42402</v>
      </c>
      <c r="T18" s="124">
        <f t="shared" si="3"/>
        <v>42403</v>
      </c>
      <c r="U18" s="133">
        <f t="shared" si="3"/>
        <v>42404</v>
      </c>
      <c r="V18" s="358">
        <f t="shared" si="3"/>
        <v>42405</v>
      </c>
      <c r="W18" s="112">
        <f t="shared" si="3"/>
        <v>42406</v>
      </c>
      <c r="X18" s="291"/>
      <c r="Y18" s="56"/>
      <c r="Z18" s="88"/>
      <c r="AA18" s="88"/>
    </row>
    <row r="19" spans="1:30" ht="15.75" thickBot="1">
      <c r="A19" s="82">
        <f t="shared" si="2"/>
        <v>42218</v>
      </c>
      <c r="B19" s="82">
        <f t="shared" si="2"/>
        <v>42219</v>
      </c>
      <c r="C19" s="119">
        <f t="shared" si="2"/>
        <v>42220</v>
      </c>
      <c r="D19" s="82">
        <f t="shared" si="2"/>
        <v>42221</v>
      </c>
      <c r="E19" s="119">
        <f t="shared" si="2"/>
        <v>42222</v>
      </c>
      <c r="F19" s="348">
        <f t="shared" si="2"/>
        <v>42223</v>
      </c>
      <c r="G19" s="82">
        <f t="shared" si="2"/>
        <v>42224</v>
      </c>
      <c r="H19" s="22"/>
      <c r="I19" s="17"/>
      <c r="M19" s="96"/>
      <c r="N19" s="99"/>
      <c r="O19" s="99"/>
      <c r="P19" s="99"/>
      <c r="Q19" s="82">
        <f t="shared" si="3"/>
        <v>42407</v>
      </c>
      <c r="R19" s="118">
        <f t="shared" si="3"/>
        <v>42408</v>
      </c>
      <c r="S19" s="134">
        <f t="shared" si="3"/>
        <v>42409</v>
      </c>
      <c r="T19" s="118">
        <f t="shared" si="3"/>
        <v>42410</v>
      </c>
      <c r="U19" s="118">
        <f t="shared" si="3"/>
        <v>42411</v>
      </c>
      <c r="V19" s="118">
        <f t="shared" si="3"/>
        <v>42412</v>
      </c>
      <c r="W19" s="82">
        <f t="shared" si="3"/>
        <v>42413</v>
      </c>
      <c r="X19" s="54"/>
      <c r="Y19" s="54"/>
      <c r="AA19" s="88"/>
    </row>
    <row r="20" spans="1:30" ht="15.75" thickBot="1">
      <c r="A20" s="82">
        <f t="shared" si="2"/>
        <v>42225</v>
      </c>
      <c r="B20" s="294">
        <f t="shared" si="2"/>
        <v>42226</v>
      </c>
      <c r="C20" s="98">
        <f t="shared" si="2"/>
        <v>42227</v>
      </c>
      <c r="D20" s="98">
        <f t="shared" si="2"/>
        <v>42228</v>
      </c>
      <c r="E20" s="98">
        <f t="shared" si="2"/>
        <v>42229</v>
      </c>
      <c r="F20" s="98">
        <f t="shared" si="2"/>
        <v>42230</v>
      </c>
      <c r="G20" s="82">
        <f t="shared" si="2"/>
        <v>42231</v>
      </c>
      <c r="I20" s="17"/>
      <c r="J20" s="290"/>
      <c r="K20" s="54"/>
      <c r="L20" s="96"/>
      <c r="M20" s="96"/>
      <c r="N20" s="99"/>
      <c r="O20" s="99"/>
      <c r="P20" s="99"/>
      <c r="Q20" s="111">
        <f t="shared" si="3"/>
        <v>42414</v>
      </c>
      <c r="R20" s="116">
        <f t="shared" si="3"/>
        <v>42415</v>
      </c>
      <c r="S20" s="123">
        <f t="shared" si="3"/>
        <v>42416</v>
      </c>
      <c r="T20" s="124">
        <f t="shared" si="3"/>
        <v>42417</v>
      </c>
      <c r="U20" s="123">
        <f t="shared" si="3"/>
        <v>42418</v>
      </c>
      <c r="V20" s="117">
        <f t="shared" si="3"/>
        <v>42419</v>
      </c>
      <c r="W20" s="112">
        <f t="shared" si="3"/>
        <v>42420</v>
      </c>
      <c r="X20" s="56"/>
      <c r="Y20" s="56"/>
      <c r="Z20" s="87"/>
      <c r="AA20" s="87"/>
    </row>
    <row r="21" spans="1:30" ht="15.75" thickBot="1">
      <c r="A21" s="82">
        <f t="shared" si="2"/>
        <v>42232</v>
      </c>
      <c r="B21" s="98">
        <f t="shared" si="2"/>
        <v>42233</v>
      </c>
      <c r="C21" s="98">
        <f t="shared" si="2"/>
        <v>42234</v>
      </c>
      <c r="D21" s="98">
        <f t="shared" si="2"/>
        <v>42235</v>
      </c>
      <c r="E21" s="98">
        <f t="shared" si="2"/>
        <v>42236</v>
      </c>
      <c r="F21" s="349">
        <f t="shared" si="2"/>
        <v>42237</v>
      </c>
      <c r="G21" s="82">
        <f t="shared" si="2"/>
        <v>42238</v>
      </c>
      <c r="H21" s="322"/>
      <c r="I21" s="323"/>
      <c r="J21" s="324"/>
      <c r="K21" s="325"/>
      <c r="L21" s="326"/>
      <c r="M21" s="326"/>
      <c r="N21" s="327"/>
      <c r="O21" s="327"/>
      <c r="P21" s="328"/>
      <c r="Q21" s="82">
        <f t="shared" si="3"/>
        <v>42421</v>
      </c>
      <c r="R21" s="118">
        <f t="shared" si="3"/>
        <v>42422</v>
      </c>
      <c r="S21" s="351">
        <f t="shared" si="3"/>
        <v>42423</v>
      </c>
      <c r="T21" s="115">
        <f t="shared" si="3"/>
        <v>42424</v>
      </c>
      <c r="U21" s="115">
        <f t="shared" si="3"/>
        <v>42425</v>
      </c>
      <c r="V21" s="115">
        <f t="shared" si="3"/>
        <v>42426</v>
      </c>
      <c r="W21" s="82">
        <f t="shared" si="3"/>
        <v>42427</v>
      </c>
      <c r="X21" s="291"/>
      <c r="Y21" s="54"/>
      <c r="Z21" s="99"/>
      <c r="AA21" s="99"/>
    </row>
    <row r="22" spans="1:30" ht="15.75" thickBot="1">
      <c r="A22" s="115">
        <f t="shared" si="2"/>
        <v>42239</v>
      </c>
      <c r="B22" s="115">
        <f t="shared" si="2"/>
        <v>42240</v>
      </c>
      <c r="C22" s="122">
        <f t="shared" si="2"/>
        <v>42241</v>
      </c>
      <c r="D22" s="115">
        <f t="shared" si="2"/>
        <v>42242</v>
      </c>
      <c r="E22" s="122">
        <f t="shared" si="2"/>
        <v>42243</v>
      </c>
      <c r="F22" s="115">
        <f t="shared" si="2"/>
        <v>42244</v>
      </c>
      <c r="G22" s="115">
        <f t="shared" si="2"/>
        <v>42245</v>
      </c>
      <c r="I22" s="17"/>
      <c r="J22" s="85"/>
      <c r="K22" s="54"/>
      <c r="L22" s="96"/>
      <c r="M22" s="96"/>
      <c r="N22" s="99"/>
      <c r="O22" s="99"/>
      <c r="P22" s="99"/>
      <c r="Q22" s="111">
        <f t="shared" si="3"/>
        <v>42428</v>
      </c>
      <c r="R22" s="126">
        <f t="shared" si="3"/>
        <v>42429</v>
      </c>
      <c r="S22" s="112" t="str">
        <f t="shared" si="3"/>
        <v/>
      </c>
      <c r="T22" s="82" t="str">
        <f t="shared" si="3"/>
        <v/>
      </c>
      <c r="U22" s="82" t="str">
        <f t="shared" si="3"/>
        <v/>
      </c>
      <c r="V22" s="82" t="str">
        <f t="shared" si="3"/>
        <v/>
      </c>
      <c r="W22" s="82" t="str">
        <f t="shared" si="3"/>
        <v/>
      </c>
      <c r="X22" s="53"/>
      <c r="Y22" s="54"/>
      <c r="Z22" s="87"/>
      <c r="AA22" s="87"/>
      <c r="AD22" s="316"/>
    </row>
    <row r="23" spans="1:30">
      <c r="A23" s="82">
        <f t="shared" si="2"/>
        <v>42246</v>
      </c>
      <c r="B23" s="82">
        <f t="shared" si="2"/>
        <v>42247</v>
      </c>
      <c r="C23" s="82" t="str">
        <f t="shared" si="2"/>
        <v/>
      </c>
      <c r="D23" s="82" t="str">
        <f t="shared" si="2"/>
        <v/>
      </c>
      <c r="E23" s="82" t="str">
        <f t="shared" si="2"/>
        <v/>
      </c>
      <c r="F23" s="82" t="str">
        <f t="shared" si="2"/>
        <v/>
      </c>
      <c r="G23" s="82" t="str">
        <f t="shared" si="2"/>
        <v/>
      </c>
      <c r="I23" s="17"/>
      <c r="J23" s="85"/>
      <c r="K23" s="54"/>
      <c r="L23" s="96"/>
      <c r="M23" s="96"/>
      <c r="N23" s="99"/>
      <c r="O23" s="99"/>
      <c r="P23" s="99"/>
      <c r="Q23" s="82" t="str">
        <f t="shared" si="3"/>
        <v/>
      </c>
      <c r="R23" s="115" t="str">
        <f t="shared" si="3"/>
        <v/>
      </c>
      <c r="S23" s="82" t="str">
        <f t="shared" si="3"/>
        <v/>
      </c>
      <c r="T23" s="82" t="str">
        <f t="shared" si="3"/>
        <v/>
      </c>
      <c r="U23" s="82" t="str">
        <f t="shared" si="3"/>
        <v/>
      </c>
      <c r="V23" s="82" t="str">
        <f t="shared" si="3"/>
        <v/>
      </c>
      <c r="W23" s="82" t="str">
        <f t="shared" si="3"/>
        <v/>
      </c>
      <c r="X23" s="53"/>
      <c r="Y23" s="54"/>
      <c r="Z23" s="99"/>
      <c r="AA23" s="99"/>
      <c r="AD23" s="316"/>
    </row>
    <row r="24" spans="1:30" ht="5.25" customHeight="1" thickBot="1">
      <c r="A24" s="49"/>
      <c r="B24" s="49"/>
      <c r="C24" s="49"/>
      <c r="D24" s="49"/>
      <c r="E24" s="49"/>
      <c r="F24" s="49"/>
      <c r="G24" s="49"/>
      <c r="H24" s="50"/>
      <c r="I24" s="51"/>
      <c r="J24" s="85"/>
      <c r="K24" s="54"/>
      <c r="L24" s="96"/>
      <c r="M24" s="96"/>
      <c r="N24" s="99"/>
      <c r="O24" s="99"/>
      <c r="P24" s="99"/>
      <c r="X24" s="53"/>
      <c r="Y24" s="54"/>
      <c r="Z24" s="99"/>
      <c r="AA24" s="99"/>
      <c r="AD24" s="316"/>
    </row>
    <row r="25" spans="1:30">
      <c r="A25" s="595">
        <f>DATE(YEAR(A16+35),MONTH(A16+35),1)</f>
        <v>42248</v>
      </c>
      <c r="B25" s="596"/>
      <c r="C25" s="596"/>
      <c r="D25" s="596"/>
      <c r="E25" s="596"/>
      <c r="F25" s="596"/>
      <c r="G25" s="597"/>
      <c r="H25" s="22"/>
      <c r="I25" s="17"/>
      <c r="J25" s="85"/>
      <c r="K25" s="54"/>
      <c r="L25" s="96"/>
      <c r="M25" s="96"/>
      <c r="N25" s="99"/>
      <c r="O25" s="99"/>
      <c r="P25" s="99"/>
      <c r="Q25" s="593">
        <f>DATE(YEAR(Q16+35),MONTH(Q16+35),1)</f>
        <v>42430</v>
      </c>
      <c r="R25" s="593"/>
      <c r="S25" s="593"/>
      <c r="T25" s="593"/>
      <c r="U25" s="593"/>
      <c r="V25" s="593"/>
      <c r="W25" s="593"/>
      <c r="X25" s="53"/>
      <c r="Y25" s="54"/>
      <c r="Z25" s="99"/>
      <c r="AA25" s="99"/>
      <c r="AD25" s="316"/>
    </row>
    <row r="26" spans="1:30" ht="15.75" thickBot="1">
      <c r="A26" s="18" t="str">
        <f>$A$8</f>
        <v>Su</v>
      </c>
      <c r="B26" s="20" t="str">
        <f>$B$8</f>
        <v>M</v>
      </c>
      <c r="C26" s="20" t="str">
        <f>$C$8</f>
        <v>Tu</v>
      </c>
      <c r="D26" s="20" t="str">
        <f>$D$8</f>
        <v>W</v>
      </c>
      <c r="E26" s="20" t="str">
        <f>$E$8</f>
        <v>Th</v>
      </c>
      <c r="F26" s="20" t="str">
        <f>$F$8</f>
        <v>F</v>
      </c>
      <c r="G26" s="21" t="str">
        <f>$G$8</f>
        <v>Sa</v>
      </c>
      <c r="H26" s="22"/>
      <c r="I26" s="17"/>
      <c r="J26" s="85"/>
      <c r="K26" s="54"/>
      <c r="L26" s="96"/>
      <c r="M26" s="96"/>
      <c r="N26" s="99"/>
      <c r="O26" s="99"/>
      <c r="P26" s="99"/>
      <c r="Q26" s="20" t="str">
        <f>$A$8</f>
        <v>Su</v>
      </c>
      <c r="R26" s="20" t="str">
        <f>$B$8</f>
        <v>M</v>
      </c>
      <c r="S26" s="20" t="str">
        <f>$C$8</f>
        <v>Tu</v>
      </c>
      <c r="T26" s="20" t="str">
        <f>$D$8</f>
        <v>W</v>
      </c>
      <c r="U26" s="20" t="str">
        <f>$E$8</f>
        <v>Th</v>
      </c>
      <c r="V26" s="20" t="str">
        <f>$F$8</f>
        <v>F</v>
      </c>
      <c r="W26" s="20" t="str">
        <f>$G$8</f>
        <v>Sa</v>
      </c>
      <c r="X26" s="53"/>
      <c r="Y26" s="54"/>
      <c r="Z26" s="99"/>
      <c r="AA26" s="99"/>
      <c r="AD26" s="316"/>
    </row>
    <row r="27" spans="1:30" ht="15.75" thickBot="1">
      <c r="A27" s="84" t="str">
        <f t="shared" ref="A27:G32" si="4">IF(MONTH($A$25)&lt;&gt;MONTH($A$25-(WEEKDAY($A$25,1)-($I$4-1))-IF((WEEKDAY($A$25,1)-($I$4-1))&lt;=0,7,0)+(ROW(A27)-ROW($A$27))*7+(COLUMN(A27)-COLUMN($A$27)+1)),"",$A$25-(WEEKDAY($A$25,1)-($I$4-1))-IF((WEEKDAY($A$25,1)-($I$4-1))&lt;=0,7,0)+(ROW(A27)-ROW($A$27))*7+(COLUMN(A27)-COLUMN($A$27)+1))</f>
        <v/>
      </c>
      <c r="B27" s="90" t="str">
        <f t="shared" si="4"/>
        <v/>
      </c>
      <c r="C27" s="94">
        <f t="shared" si="4"/>
        <v>42248</v>
      </c>
      <c r="D27" s="82">
        <f t="shared" si="4"/>
        <v>42249</v>
      </c>
      <c r="E27" s="119">
        <f t="shared" si="4"/>
        <v>42250</v>
      </c>
      <c r="F27" s="82">
        <f t="shared" si="4"/>
        <v>42251</v>
      </c>
      <c r="G27" s="82">
        <f t="shared" si="4"/>
        <v>42252</v>
      </c>
      <c r="I27" s="17"/>
      <c r="J27" s="85"/>
      <c r="K27" s="54"/>
      <c r="L27" s="96"/>
      <c r="M27" s="96"/>
      <c r="N27" s="99"/>
      <c r="O27" s="99"/>
      <c r="P27" s="99"/>
      <c r="Q27" s="82" t="str">
        <f t="shared" ref="Q27:W32" si="5">IF(MONTH($Q$25)&lt;&gt;MONTH($Q$25-(WEEKDAY($Q$25,1)-($I$4-1))-IF((WEEKDAY($Q$25,1)-($I$4-1))&lt;=0,7,0)+(ROW(Q27)-ROW($Q$27))*7+(COLUMN(Q27)-COLUMN($Q$27)+1)),"",$Q$25-(WEEKDAY($Q$25,1)-($I$4-1))-IF((WEEKDAY($Q$25,1)-($I$4-1))&lt;=0,7,0)+(ROW(Q27)-ROW($Q$27))*7+(COLUMN(Q27)-COLUMN($Q$27)+1))</f>
        <v/>
      </c>
      <c r="R27" s="111" t="str">
        <f t="shared" si="5"/>
        <v/>
      </c>
      <c r="S27" s="136">
        <f t="shared" si="5"/>
        <v>42430</v>
      </c>
      <c r="T27" s="124">
        <f t="shared" si="5"/>
        <v>42431</v>
      </c>
      <c r="U27" s="133">
        <f t="shared" si="5"/>
        <v>42432</v>
      </c>
      <c r="V27" s="117">
        <f t="shared" si="5"/>
        <v>42433</v>
      </c>
      <c r="W27" s="112">
        <f t="shared" si="5"/>
        <v>42434</v>
      </c>
      <c r="X27" s="54"/>
      <c r="Y27" s="54"/>
      <c r="Z27" s="97"/>
      <c r="AA27" s="97"/>
      <c r="AD27" s="316"/>
    </row>
    <row r="28" spans="1:30" ht="15.75" thickBot="1">
      <c r="A28" s="82">
        <f t="shared" si="4"/>
        <v>42253</v>
      </c>
      <c r="B28" s="113">
        <f t="shared" si="4"/>
        <v>42254</v>
      </c>
      <c r="C28" s="121">
        <f t="shared" si="4"/>
        <v>42255</v>
      </c>
      <c r="D28" s="350">
        <f t="shared" si="4"/>
        <v>42256</v>
      </c>
      <c r="E28" s="121">
        <f t="shared" si="4"/>
        <v>42257</v>
      </c>
      <c r="F28" s="114">
        <f t="shared" si="4"/>
        <v>42258</v>
      </c>
      <c r="G28" s="82">
        <f t="shared" si="4"/>
        <v>42259</v>
      </c>
      <c r="I28" s="17"/>
      <c r="J28" s="290"/>
      <c r="K28" s="54"/>
      <c r="L28" s="96"/>
      <c r="M28" s="96"/>
      <c r="N28" s="87"/>
      <c r="O28" s="87"/>
      <c r="P28" s="99"/>
      <c r="Q28" s="82">
        <f t="shared" si="5"/>
        <v>42435</v>
      </c>
      <c r="R28" s="82">
        <f t="shared" si="5"/>
        <v>42436</v>
      </c>
      <c r="S28" s="138">
        <f t="shared" si="5"/>
        <v>42437</v>
      </c>
      <c r="T28" s="351">
        <f t="shared" si="5"/>
        <v>42438</v>
      </c>
      <c r="U28" s="115">
        <f t="shared" si="5"/>
        <v>42439</v>
      </c>
      <c r="V28" s="115">
        <f t="shared" si="5"/>
        <v>42440</v>
      </c>
      <c r="W28" s="82">
        <f t="shared" si="5"/>
        <v>42441</v>
      </c>
      <c r="X28" s="346"/>
      <c r="Y28" s="342"/>
      <c r="Z28" s="326"/>
      <c r="AA28" s="347"/>
      <c r="AB28" s="99"/>
      <c r="AD28" s="316"/>
    </row>
    <row r="29" spans="1:30" ht="15.75" thickBot="1">
      <c r="A29" s="111">
        <f t="shared" si="4"/>
        <v>42260</v>
      </c>
      <c r="B29" s="116">
        <f t="shared" si="4"/>
        <v>42261</v>
      </c>
      <c r="C29" s="123">
        <f t="shared" si="4"/>
        <v>42262</v>
      </c>
      <c r="D29" s="124">
        <f t="shared" si="4"/>
        <v>42263</v>
      </c>
      <c r="E29" s="123">
        <f t="shared" si="4"/>
        <v>42264</v>
      </c>
      <c r="F29" s="117">
        <f t="shared" si="4"/>
        <v>42265</v>
      </c>
      <c r="G29" s="112">
        <f t="shared" si="4"/>
        <v>42266</v>
      </c>
      <c r="I29" s="17"/>
      <c r="J29" s="85"/>
      <c r="K29" s="54"/>
      <c r="L29" s="96"/>
      <c r="M29" s="96"/>
      <c r="N29" s="87"/>
      <c r="O29" s="87"/>
      <c r="P29" s="99"/>
      <c r="Q29" s="330">
        <f t="shared" si="5"/>
        <v>42442</v>
      </c>
      <c r="R29" s="331">
        <f t="shared" si="5"/>
        <v>42443</v>
      </c>
      <c r="S29" s="344">
        <f t="shared" si="5"/>
        <v>42444</v>
      </c>
      <c r="T29" s="333">
        <f t="shared" si="5"/>
        <v>42445</v>
      </c>
      <c r="U29" s="344">
        <f t="shared" si="5"/>
        <v>42446</v>
      </c>
      <c r="V29" s="345">
        <f t="shared" si="5"/>
        <v>42447</v>
      </c>
      <c r="W29" s="334">
        <f t="shared" si="5"/>
        <v>42448</v>
      </c>
      <c r="X29" s="96" t="s">
        <v>65</v>
      </c>
      <c r="Y29" s="56"/>
      <c r="AA29" s="88"/>
      <c r="AB29" s="99"/>
      <c r="AD29" s="316"/>
    </row>
    <row r="30" spans="1:30">
      <c r="A30" s="82">
        <f t="shared" si="4"/>
        <v>42267</v>
      </c>
      <c r="B30" s="115">
        <f t="shared" si="4"/>
        <v>42268</v>
      </c>
      <c r="C30" s="115">
        <f t="shared" si="4"/>
        <v>42269</v>
      </c>
      <c r="D30" s="115">
        <f t="shared" si="4"/>
        <v>42270</v>
      </c>
      <c r="E30" s="351">
        <f t="shared" si="4"/>
        <v>42271</v>
      </c>
      <c r="F30" s="140">
        <f t="shared" si="4"/>
        <v>42272</v>
      </c>
      <c r="G30" s="82">
        <f t="shared" si="4"/>
        <v>42273</v>
      </c>
      <c r="H30" s="23"/>
      <c r="I30" s="24"/>
      <c r="J30" s="96" t="s">
        <v>65</v>
      </c>
      <c r="K30" s="96"/>
      <c r="L30" s="87"/>
      <c r="M30" s="87"/>
      <c r="P30" s="99"/>
      <c r="Q30" s="82">
        <f t="shared" si="5"/>
        <v>42449</v>
      </c>
      <c r="R30" s="115">
        <f t="shared" si="5"/>
        <v>42450</v>
      </c>
      <c r="S30" s="115">
        <f t="shared" si="5"/>
        <v>42451</v>
      </c>
      <c r="T30" s="115">
        <f t="shared" si="5"/>
        <v>42452</v>
      </c>
      <c r="U30" s="351">
        <f t="shared" si="5"/>
        <v>42453</v>
      </c>
      <c r="V30" s="125">
        <f t="shared" si="5"/>
        <v>42454</v>
      </c>
      <c r="W30" s="82">
        <f t="shared" si="5"/>
        <v>42455</v>
      </c>
      <c r="X30" s="317"/>
      <c r="Y30" s="56"/>
      <c r="Z30" s="88"/>
      <c r="AA30" s="88"/>
      <c r="AB30" s="99"/>
      <c r="AD30" s="316"/>
    </row>
    <row r="31" spans="1:30">
      <c r="A31" s="82">
        <f t="shared" si="4"/>
        <v>42274</v>
      </c>
      <c r="B31" s="82">
        <f t="shared" si="4"/>
        <v>42275</v>
      </c>
      <c r="C31" s="82">
        <f t="shared" si="4"/>
        <v>42276</v>
      </c>
      <c r="D31" s="82">
        <f t="shared" si="4"/>
        <v>42277</v>
      </c>
      <c r="E31" s="82" t="str">
        <f t="shared" si="4"/>
        <v/>
      </c>
      <c r="F31" s="82" t="str">
        <f t="shared" si="4"/>
        <v/>
      </c>
      <c r="G31" s="82" t="str">
        <f t="shared" si="4"/>
        <v/>
      </c>
      <c r="I31" s="17"/>
      <c r="J31" s="290"/>
      <c r="K31" s="54"/>
      <c r="L31" s="96"/>
      <c r="M31" s="96"/>
      <c r="N31" s="87"/>
      <c r="O31" s="87"/>
      <c r="P31" s="99"/>
      <c r="Q31" s="82">
        <f t="shared" si="5"/>
        <v>42456</v>
      </c>
      <c r="R31" s="81">
        <f t="shared" si="5"/>
        <v>42457</v>
      </c>
      <c r="S31" s="82">
        <f t="shared" si="5"/>
        <v>42458</v>
      </c>
      <c r="T31" s="82">
        <f t="shared" si="5"/>
        <v>42459</v>
      </c>
      <c r="U31" s="82">
        <f t="shared" si="5"/>
        <v>42460</v>
      </c>
      <c r="V31" s="82" t="str">
        <f t="shared" si="5"/>
        <v/>
      </c>
      <c r="W31" s="82" t="str">
        <f t="shared" si="5"/>
        <v/>
      </c>
      <c r="X31" s="318"/>
      <c r="Y31" s="55"/>
      <c r="Z31" s="99"/>
      <c r="AA31" s="99"/>
      <c r="AB31" s="99"/>
      <c r="AD31" s="316"/>
    </row>
    <row r="32" spans="1:30">
      <c r="A32" s="82" t="str">
        <f t="shared" si="4"/>
        <v/>
      </c>
      <c r="B32" s="82" t="str">
        <f t="shared" si="4"/>
        <v/>
      </c>
      <c r="C32" s="82" t="str">
        <f t="shared" si="4"/>
        <v/>
      </c>
      <c r="D32" s="82" t="str">
        <f t="shared" si="4"/>
        <v/>
      </c>
      <c r="E32" s="82" t="str">
        <f t="shared" si="4"/>
        <v/>
      </c>
      <c r="F32" s="82" t="str">
        <f t="shared" si="4"/>
        <v/>
      </c>
      <c r="G32" s="82" t="str">
        <f t="shared" si="4"/>
        <v/>
      </c>
      <c r="I32" s="17"/>
      <c r="J32" s="85"/>
      <c r="K32" s="54"/>
      <c r="L32" s="96"/>
      <c r="M32" s="96"/>
      <c r="N32" s="99"/>
      <c r="O32" s="99"/>
      <c r="P32" s="99"/>
      <c r="Q32" s="82" t="str">
        <f t="shared" si="5"/>
        <v/>
      </c>
      <c r="R32" s="82" t="str">
        <f t="shared" si="5"/>
        <v/>
      </c>
      <c r="S32" s="82" t="str">
        <f t="shared" si="5"/>
        <v/>
      </c>
      <c r="T32" s="82" t="str">
        <f t="shared" si="5"/>
        <v/>
      </c>
      <c r="U32" s="82" t="str">
        <f t="shared" si="5"/>
        <v/>
      </c>
      <c r="V32" s="82" t="str">
        <f t="shared" si="5"/>
        <v/>
      </c>
      <c r="W32" s="82" t="str">
        <f t="shared" si="5"/>
        <v/>
      </c>
      <c r="X32" s="319"/>
      <c r="Y32" s="55"/>
      <c r="Z32" s="99"/>
      <c r="AA32" s="99"/>
      <c r="AB32" s="99"/>
      <c r="AD32" s="316"/>
    </row>
    <row r="33" spans="1:30" ht="6" customHeight="1">
      <c r="A33" s="33"/>
      <c r="B33" s="33"/>
      <c r="C33" s="33"/>
      <c r="D33" s="33"/>
      <c r="E33" s="33"/>
      <c r="F33" s="33"/>
      <c r="G33" s="33"/>
      <c r="H33" s="32"/>
      <c r="I33" s="24"/>
      <c r="J33" s="85"/>
      <c r="K33" s="54"/>
      <c r="L33" s="96"/>
      <c r="M33" s="96"/>
      <c r="N33" s="99"/>
      <c r="O33" s="99"/>
      <c r="P33" s="99"/>
      <c r="Q33" s="2"/>
      <c r="R33" s="2"/>
      <c r="S33" s="2"/>
      <c r="T33" s="2"/>
      <c r="U33" s="2"/>
      <c r="V33" s="2"/>
      <c r="W33" s="2"/>
      <c r="X33" s="319"/>
      <c r="Y33" s="54"/>
      <c r="Z33" s="99"/>
      <c r="AA33" s="99"/>
      <c r="AB33" s="99"/>
      <c r="AD33" s="316"/>
    </row>
    <row r="34" spans="1:30">
      <c r="A34" s="592">
        <f>DATE(YEAR(A25+35),MONTH(A25+35),1)</f>
        <v>42278</v>
      </c>
      <c r="B34" s="593"/>
      <c r="C34" s="593"/>
      <c r="D34" s="593"/>
      <c r="E34" s="593"/>
      <c r="F34" s="593"/>
      <c r="G34" s="594"/>
      <c r="H34" s="22"/>
      <c r="I34" s="17"/>
      <c r="J34" s="85"/>
      <c r="K34" s="54"/>
      <c r="L34" s="96"/>
      <c r="M34" s="96"/>
      <c r="N34" s="99"/>
      <c r="O34" s="99"/>
      <c r="P34" s="99"/>
      <c r="Q34" s="593">
        <f>DATE(YEAR(Q25+35),MONTH(Q25+35),1)</f>
        <v>42461</v>
      </c>
      <c r="R34" s="593"/>
      <c r="S34" s="593"/>
      <c r="T34" s="593"/>
      <c r="U34" s="593"/>
      <c r="V34" s="593"/>
      <c r="W34" s="593"/>
      <c r="Y34" s="54"/>
      <c r="Z34" s="99"/>
      <c r="AA34" s="99"/>
      <c r="AB34" s="99"/>
      <c r="AD34" s="316"/>
    </row>
    <row r="35" spans="1:30">
      <c r="A35" s="18" t="str">
        <f>$A$8</f>
        <v>Su</v>
      </c>
      <c r="B35" s="20" t="str">
        <f>$B$8</f>
        <v>M</v>
      </c>
      <c r="C35" s="20" t="str">
        <f>$C$8</f>
        <v>Tu</v>
      </c>
      <c r="D35" s="20" t="str">
        <f>$D$8</f>
        <v>W</v>
      </c>
      <c r="E35" s="20" t="str">
        <f>$E$8</f>
        <v>Th</v>
      </c>
      <c r="F35" s="20" t="str">
        <f>$F$8</f>
        <v>F</v>
      </c>
      <c r="G35" s="21" t="str">
        <f>$G$8</f>
        <v>Sa</v>
      </c>
      <c r="H35" s="22"/>
      <c r="I35" s="17"/>
      <c r="J35" s="85"/>
      <c r="K35" s="54"/>
      <c r="L35" s="96"/>
      <c r="M35" s="96"/>
      <c r="N35" s="99"/>
      <c r="O35" s="99"/>
      <c r="P35" s="99"/>
      <c r="Q35" s="20" t="str">
        <f>$A$8</f>
        <v>Su</v>
      </c>
      <c r="R35" s="20" t="str">
        <f>$B$8</f>
        <v>M</v>
      </c>
      <c r="S35" s="20" t="str">
        <f>$C$8</f>
        <v>Tu</v>
      </c>
      <c r="T35" s="20" t="str">
        <f>$D$8</f>
        <v>W</v>
      </c>
      <c r="U35" s="20" t="str">
        <f>$E$8</f>
        <v>Th</v>
      </c>
      <c r="V35" s="20" t="str">
        <f>$F$8</f>
        <v>F</v>
      </c>
      <c r="W35" s="20" t="str">
        <f>$G$8</f>
        <v>Sa</v>
      </c>
      <c r="X35" s="53"/>
      <c r="Y35" s="54"/>
      <c r="Z35" s="99"/>
      <c r="AA35" s="99"/>
      <c r="AB35" s="99"/>
      <c r="AD35" s="316"/>
    </row>
    <row r="36" spans="1:30" ht="15.75" thickBot="1">
      <c r="A36" s="82" t="str">
        <f t="shared" ref="A36:G41" si="6">IF(MONTH($A$34)&lt;&gt;MONTH($A$34-(WEEKDAY($A$34,1)-($I$4-1))-IF((WEEKDAY($A$34,1)-($I$4-1))&lt;=0,7,0)+(ROW(A36)-ROW($A$36))*7+(COLUMN(A36)-COLUMN($A$36)+1)),"",$A$34-(WEEKDAY($A$34,1)-($I$4-1))-IF((WEEKDAY($A$34,1)-($I$4-1))&lt;=0,7,0)+(ROW(A36)-ROW($A$36))*7+(COLUMN(A36)-COLUMN($A$36)+1))</f>
        <v/>
      </c>
      <c r="B36" s="82" t="str">
        <f t="shared" si="6"/>
        <v/>
      </c>
      <c r="C36" s="82" t="str">
        <f t="shared" si="6"/>
        <v/>
      </c>
      <c r="D36" s="82" t="str">
        <f t="shared" si="6"/>
        <v/>
      </c>
      <c r="E36" s="82">
        <f t="shared" si="6"/>
        <v>42278</v>
      </c>
      <c r="F36" s="82">
        <f t="shared" si="6"/>
        <v>42279</v>
      </c>
      <c r="G36" s="82">
        <f t="shared" si="6"/>
        <v>42280</v>
      </c>
      <c r="H36" s="322"/>
      <c r="I36" s="323"/>
      <c r="J36" s="335"/>
      <c r="K36" s="335"/>
      <c r="L36" s="326"/>
      <c r="M36" s="326"/>
      <c r="N36" s="327"/>
      <c r="O36" s="327"/>
      <c r="P36" s="328"/>
      <c r="Q36" s="82" t="str">
        <f t="shared" ref="Q36:W41" si="7">IF(MONTH($Q$34)&lt;&gt;MONTH($Q$34-(WEEKDAY($Q$34,1)-($I$4-1))-IF((WEEKDAY($Q$34,1)-($I$4-1))&lt;=0,7,0)+(ROW(Q36)-ROW($Q$36))*7+(COLUMN(Q36)-COLUMN($Q$36)+1)),"",$Q$34-(WEEKDAY($Q$34,1)-($I$4-1))-IF((WEEKDAY($Q$34,1)-($I$4-1))&lt;=0,7,0)+(ROW(Q36)-ROW($Q$36))*7+(COLUMN(Q36)-COLUMN($Q$36)+1))</f>
        <v/>
      </c>
      <c r="R36" s="114" t="str">
        <f t="shared" si="7"/>
        <v/>
      </c>
      <c r="S36" s="114" t="str">
        <f t="shared" si="7"/>
        <v/>
      </c>
      <c r="T36" s="114" t="str">
        <f t="shared" si="7"/>
        <v/>
      </c>
      <c r="U36" s="130" t="str">
        <f t="shared" si="7"/>
        <v/>
      </c>
      <c r="V36" s="114">
        <f t="shared" si="7"/>
        <v>42461</v>
      </c>
      <c r="W36" s="82">
        <f t="shared" si="7"/>
        <v>42462</v>
      </c>
      <c r="X36" s="57"/>
      <c r="Y36" s="55"/>
      <c r="Z36" s="99"/>
      <c r="AA36" s="99"/>
      <c r="AB36" s="99"/>
    </row>
    <row r="37" spans="1:30" ht="15.75" thickBot="1">
      <c r="A37" s="330">
        <f t="shared" si="6"/>
        <v>42281</v>
      </c>
      <c r="B37" s="331">
        <f t="shared" si="6"/>
        <v>42282</v>
      </c>
      <c r="C37" s="332">
        <f t="shared" si="6"/>
        <v>42283</v>
      </c>
      <c r="D37" s="333">
        <f t="shared" si="6"/>
        <v>42284</v>
      </c>
      <c r="E37" s="332">
        <f t="shared" si="6"/>
        <v>42285</v>
      </c>
      <c r="F37" s="352">
        <f t="shared" si="6"/>
        <v>42286</v>
      </c>
      <c r="G37" s="334">
        <f t="shared" si="6"/>
        <v>42287</v>
      </c>
      <c r="I37" s="17"/>
      <c r="J37" s="290"/>
      <c r="K37" s="107"/>
      <c r="L37" s="101"/>
      <c r="M37" s="101"/>
      <c r="N37" s="99"/>
      <c r="O37" s="99"/>
      <c r="P37" s="99"/>
      <c r="Q37" s="111">
        <f t="shared" si="7"/>
        <v>42463</v>
      </c>
      <c r="R37" s="116">
        <f t="shared" si="7"/>
        <v>42464</v>
      </c>
      <c r="S37" s="133">
        <f t="shared" si="7"/>
        <v>42465</v>
      </c>
      <c r="T37" s="124">
        <f t="shared" si="7"/>
        <v>42466</v>
      </c>
      <c r="U37" s="137">
        <f t="shared" si="7"/>
        <v>42467</v>
      </c>
      <c r="V37" s="359">
        <f t="shared" si="7"/>
        <v>42468</v>
      </c>
      <c r="W37" s="112">
        <f t="shared" si="7"/>
        <v>42469</v>
      </c>
      <c r="X37" s="291"/>
      <c r="Y37" s="56"/>
      <c r="Z37" s="88"/>
      <c r="AA37" s="88"/>
      <c r="AB37" s="99"/>
    </row>
    <row r="38" spans="1:30" ht="15.75" thickBot="1">
      <c r="A38" s="82">
        <f t="shared" si="6"/>
        <v>42288</v>
      </c>
      <c r="B38" s="118">
        <f t="shared" si="6"/>
        <v>42289</v>
      </c>
      <c r="C38" s="134">
        <f t="shared" si="6"/>
        <v>42290</v>
      </c>
      <c r="D38" s="118">
        <f t="shared" si="6"/>
        <v>42291</v>
      </c>
      <c r="E38" s="118">
        <f t="shared" si="6"/>
        <v>42292</v>
      </c>
      <c r="F38" s="118">
        <f t="shared" si="6"/>
        <v>42293</v>
      </c>
      <c r="G38" s="82">
        <f t="shared" si="6"/>
        <v>42294</v>
      </c>
      <c r="H38" s="27"/>
      <c r="I38" s="28"/>
      <c r="J38" s="85"/>
      <c r="K38" s="85"/>
      <c r="L38" s="96"/>
      <c r="M38" s="96"/>
      <c r="N38" s="87"/>
      <c r="O38" s="87"/>
      <c r="P38" s="99"/>
      <c r="Q38" s="82">
        <f t="shared" si="7"/>
        <v>42470</v>
      </c>
      <c r="R38" s="115">
        <f t="shared" si="7"/>
        <v>42471</v>
      </c>
      <c r="S38" s="138">
        <f t="shared" si="7"/>
        <v>42472</v>
      </c>
      <c r="T38" s="115">
        <f t="shared" si="7"/>
        <v>42473</v>
      </c>
      <c r="U38" s="115">
        <f t="shared" si="7"/>
        <v>42474</v>
      </c>
      <c r="V38" s="140">
        <f t="shared" si="7"/>
        <v>42475</v>
      </c>
      <c r="W38" s="82">
        <f t="shared" si="7"/>
        <v>42476</v>
      </c>
      <c r="X38" s="326" t="s">
        <v>65</v>
      </c>
      <c r="Y38" s="342"/>
      <c r="Z38" s="343"/>
      <c r="AA38" s="347"/>
      <c r="AB38" s="99"/>
    </row>
    <row r="39" spans="1:30" ht="15.75" thickBot="1">
      <c r="A39" s="111">
        <f t="shared" si="6"/>
        <v>42295</v>
      </c>
      <c r="B39" s="116">
        <f t="shared" si="6"/>
        <v>42296</v>
      </c>
      <c r="C39" s="123">
        <f t="shared" si="6"/>
        <v>42297</v>
      </c>
      <c r="D39" s="124">
        <f t="shared" si="6"/>
        <v>42298</v>
      </c>
      <c r="E39" s="123">
        <f t="shared" si="6"/>
        <v>42299</v>
      </c>
      <c r="F39" s="353">
        <f>IF(MONTH($A$34)&lt;&gt;MONTH($A$34-(WEEKDAY($A$34,1)-($I$4-1))-IF((WEEKDAY($A$34,1)-($I$4-1))&lt;=0,7,0)+(ROW(F39)-ROW($A$36))*7+(COLUMN(F39)-COLUMN($A$36)+1)),"",$A$34-(WEEKDAY($A$34,1)-($I$4-1))-IF((WEEKDAY($A$34,1)-($I$4-1))&lt;=0,7,0)+(ROW(F39)-ROW($A$36))*7+(COLUMN(F39)-COLUMN($A$36)+1))</f>
        <v>42300</v>
      </c>
      <c r="G39" s="112">
        <f t="shared" si="6"/>
        <v>42301</v>
      </c>
      <c r="H39" s="22"/>
      <c r="I39" s="17"/>
      <c r="J39" s="96" t="s">
        <v>65</v>
      </c>
      <c r="K39" s="85"/>
      <c r="M39" s="96"/>
      <c r="N39" s="87"/>
      <c r="O39" s="87"/>
      <c r="P39" s="99"/>
      <c r="Q39" s="330">
        <f t="shared" si="7"/>
        <v>42477</v>
      </c>
      <c r="R39" s="331">
        <f t="shared" si="7"/>
        <v>42478</v>
      </c>
      <c r="S39" s="344">
        <f t="shared" si="7"/>
        <v>42479</v>
      </c>
      <c r="T39" s="333">
        <f t="shared" si="7"/>
        <v>42480</v>
      </c>
      <c r="U39" s="344">
        <f t="shared" si="7"/>
        <v>42481</v>
      </c>
      <c r="V39" s="352">
        <f t="shared" si="7"/>
        <v>42482</v>
      </c>
      <c r="W39" s="334">
        <f t="shared" si="7"/>
        <v>42483</v>
      </c>
      <c r="X39" s="291"/>
      <c r="Y39" s="56"/>
      <c r="Z39" s="88"/>
      <c r="AA39" s="88"/>
      <c r="AB39" s="99"/>
    </row>
    <row r="40" spans="1:30">
      <c r="A40" s="82">
        <f t="shared" si="6"/>
        <v>42302</v>
      </c>
      <c r="B40" s="115">
        <f t="shared" si="6"/>
        <v>42303</v>
      </c>
      <c r="C40" s="115">
        <f t="shared" si="6"/>
        <v>42304</v>
      </c>
      <c r="D40" s="115">
        <f t="shared" si="6"/>
        <v>42305</v>
      </c>
      <c r="E40" s="115">
        <f t="shared" si="6"/>
        <v>42306</v>
      </c>
      <c r="F40" s="115">
        <f t="shared" si="6"/>
        <v>42307</v>
      </c>
      <c r="G40" s="82">
        <f t="shared" si="6"/>
        <v>42308</v>
      </c>
      <c r="H40" s="338"/>
      <c r="I40" s="339"/>
      <c r="J40" s="324"/>
      <c r="K40" s="340"/>
      <c r="L40" s="326"/>
      <c r="M40" s="326"/>
      <c r="N40" s="329"/>
      <c r="O40" s="329"/>
      <c r="P40" s="328"/>
      <c r="Q40" s="82">
        <f t="shared" si="7"/>
        <v>42484</v>
      </c>
      <c r="R40" s="115">
        <f t="shared" si="7"/>
        <v>42485</v>
      </c>
      <c r="S40" s="115">
        <f t="shared" si="7"/>
        <v>42486</v>
      </c>
      <c r="T40" s="115">
        <f t="shared" si="7"/>
        <v>42487</v>
      </c>
      <c r="U40" s="115">
        <f t="shared" si="7"/>
        <v>42488</v>
      </c>
      <c r="V40" s="115">
        <f t="shared" si="7"/>
        <v>42489</v>
      </c>
      <c r="W40" s="82">
        <f t="shared" si="7"/>
        <v>42490</v>
      </c>
      <c r="X40" s="108"/>
      <c r="Y40" s="54"/>
      <c r="Z40" s="97"/>
      <c r="AA40" s="97"/>
      <c r="AB40" s="99"/>
      <c r="AC40" s="97"/>
    </row>
    <row r="41" spans="1:30">
      <c r="A41" s="336" t="str">
        <f t="shared" si="6"/>
        <v/>
      </c>
      <c r="B41" s="115" t="str">
        <f t="shared" si="6"/>
        <v/>
      </c>
      <c r="C41" s="337" t="str">
        <f t="shared" si="6"/>
        <v/>
      </c>
      <c r="D41" s="337" t="str">
        <f t="shared" si="6"/>
        <v/>
      </c>
      <c r="E41" s="337" t="str">
        <f t="shared" si="6"/>
        <v/>
      </c>
      <c r="F41" s="336" t="str">
        <f t="shared" si="6"/>
        <v/>
      </c>
      <c r="G41" s="336" t="str">
        <f t="shared" si="6"/>
        <v/>
      </c>
      <c r="I41" s="17"/>
      <c r="J41" s="85"/>
      <c r="K41" s="54"/>
      <c r="L41" s="96"/>
      <c r="M41" s="96"/>
      <c r="N41" s="87"/>
      <c r="O41" s="87"/>
      <c r="P41" s="99"/>
      <c r="Q41" s="82" t="str">
        <f t="shared" si="7"/>
        <v/>
      </c>
      <c r="R41" s="82" t="str">
        <f t="shared" si="7"/>
        <v/>
      </c>
      <c r="S41" s="82" t="str">
        <f t="shared" si="7"/>
        <v/>
      </c>
      <c r="T41" s="82" t="str">
        <f t="shared" si="7"/>
        <v/>
      </c>
      <c r="U41" s="82" t="str">
        <f t="shared" si="7"/>
        <v/>
      </c>
      <c r="V41" s="82" t="str">
        <f t="shared" si="7"/>
        <v/>
      </c>
      <c r="W41" s="82" t="str">
        <f t="shared" si="7"/>
        <v/>
      </c>
      <c r="X41" s="57"/>
      <c r="Y41" s="55"/>
      <c r="Z41" s="99"/>
      <c r="AA41" s="99"/>
      <c r="AB41" s="99"/>
    </row>
    <row r="42" spans="1:30" ht="6.75" customHeight="1" thickBot="1">
      <c r="A42" s="48"/>
      <c r="B42" s="48"/>
      <c r="C42" s="48"/>
      <c r="D42" s="48"/>
      <c r="E42" s="48"/>
      <c r="F42" s="48"/>
      <c r="G42" s="48"/>
      <c r="H42" s="46"/>
      <c r="I42" s="47"/>
      <c r="J42" s="85"/>
      <c r="K42" s="54"/>
      <c r="L42" s="96"/>
      <c r="M42" s="96"/>
      <c r="N42" s="99"/>
      <c r="O42" s="99"/>
      <c r="P42" s="99"/>
      <c r="X42" s="57"/>
      <c r="Y42" s="55"/>
      <c r="Z42" s="99"/>
      <c r="AA42" s="99"/>
      <c r="AB42" s="99"/>
    </row>
    <row r="43" spans="1:30">
      <c r="A43" s="595">
        <f>DATE(YEAR(A34+35),MONTH(A34+35),1)</f>
        <v>42309</v>
      </c>
      <c r="B43" s="596"/>
      <c r="C43" s="596"/>
      <c r="D43" s="596"/>
      <c r="E43" s="596"/>
      <c r="F43" s="596"/>
      <c r="G43" s="597"/>
      <c r="H43" s="22"/>
      <c r="I43" s="17"/>
      <c r="J43" s="85"/>
      <c r="K43" s="54"/>
      <c r="L43" s="96"/>
      <c r="M43" s="96"/>
      <c r="N43" s="99"/>
      <c r="O43" s="99"/>
      <c r="P43" s="99"/>
      <c r="Q43" s="593">
        <f>DATE(YEAR(Q34+35),MONTH(Q34+35),1)</f>
        <v>42491</v>
      </c>
      <c r="R43" s="593"/>
      <c r="S43" s="593"/>
      <c r="T43" s="593"/>
      <c r="U43" s="593"/>
      <c r="V43" s="593"/>
      <c r="W43" s="593"/>
      <c r="X43" s="57"/>
      <c r="Y43" s="55"/>
      <c r="Z43" s="99"/>
      <c r="AA43" s="99"/>
      <c r="AB43" s="99"/>
    </row>
    <row r="44" spans="1:30" ht="15.75" thickBot="1">
      <c r="A44" s="18" t="str">
        <f>$A$8</f>
        <v>Su</v>
      </c>
      <c r="B44" s="20" t="str">
        <f>$B$8</f>
        <v>M</v>
      </c>
      <c r="C44" s="20" t="str">
        <f>$C$8</f>
        <v>Tu</v>
      </c>
      <c r="D44" s="20" t="str">
        <f>$D$8</f>
        <v>W</v>
      </c>
      <c r="E44" s="20" t="str">
        <f>$E$8</f>
        <v>Th</v>
      </c>
      <c r="F44" s="20" t="str">
        <f>$F$8</f>
        <v>F</v>
      </c>
      <c r="G44" s="21" t="str">
        <f>$G$8</f>
        <v>Sa</v>
      </c>
      <c r="H44" s="22"/>
      <c r="I44" s="17"/>
      <c r="J44" s="85"/>
      <c r="K44" s="54"/>
      <c r="L44" s="96"/>
      <c r="M44" s="96"/>
      <c r="N44" s="99"/>
      <c r="O44" s="99"/>
      <c r="P44" s="99"/>
      <c r="Q44" s="20" t="str">
        <f>$A$8</f>
        <v>Su</v>
      </c>
      <c r="R44" s="20" t="str">
        <f>$B$8</f>
        <v>M</v>
      </c>
      <c r="S44" s="20" t="str">
        <f>$C$8</f>
        <v>Tu</v>
      </c>
      <c r="T44" s="20" t="str">
        <f>$D$8</f>
        <v>W</v>
      </c>
      <c r="U44" s="20" t="str">
        <f>$E$8</f>
        <v>Th</v>
      </c>
      <c r="V44" s="20" t="str">
        <f>$F$8</f>
        <v>F</v>
      </c>
      <c r="W44" s="20" t="str">
        <f>$G$8</f>
        <v>Sa</v>
      </c>
      <c r="X44" s="53"/>
      <c r="Y44" s="54"/>
      <c r="Z44" s="99"/>
      <c r="AA44" s="99"/>
      <c r="AB44" s="99"/>
    </row>
    <row r="45" spans="1:30" ht="15.75" thickBot="1">
      <c r="A45" s="111">
        <f t="shared" ref="A45:G50" si="8">IF(MONTH($A$43)&lt;&gt;MONTH($A$43-(WEEKDAY($A$43,1)-($I$4-1))-IF((WEEKDAY($A$43,1)-($I$4-1))&lt;=0,7,0)+(ROW(A45)-ROW($A$45))*7+(COLUMN(A45)-COLUMN($A$45)+1)),"",$A$43-(WEEKDAY($A$43,1)-($I$4-1))-IF((WEEKDAY($A$43,1)-($I$4-1))&lt;=0,7,0)+(ROW(A45)-ROW($A$45))*7+(COLUMN(A45)-COLUMN($A$45)+1))</f>
        <v>42309</v>
      </c>
      <c r="B45" s="116">
        <f t="shared" si="8"/>
        <v>42310</v>
      </c>
      <c r="C45" s="133">
        <f t="shared" si="8"/>
        <v>42311</v>
      </c>
      <c r="D45" s="124">
        <f t="shared" si="8"/>
        <v>42312</v>
      </c>
      <c r="E45" s="354">
        <f t="shared" si="8"/>
        <v>42313</v>
      </c>
      <c r="F45" s="117">
        <f t="shared" si="8"/>
        <v>42314</v>
      </c>
      <c r="G45" s="112">
        <f t="shared" si="8"/>
        <v>42315</v>
      </c>
      <c r="I45" s="17"/>
      <c r="J45" s="290"/>
      <c r="K45" s="54"/>
      <c r="L45" s="96"/>
      <c r="M45" s="96"/>
      <c r="N45" s="99"/>
      <c r="O45" s="99"/>
      <c r="P45" s="99"/>
      <c r="Q45" s="111">
        <f t="shared" ref="Q45:W50" si="9">IF(MONTH($Q$43)&lt;&gt;MONTH($Q$43-(WEEKDAY($Q$43,1)-($I$4-1))-IF((WEEKDAY($Q$43,1)-($I$4-1))&lt;=0,7,0)+(ROW(Q45)-ROW($Q$45))*7+(COLUMN(Q45)-COLUMN($Q$45)+1)),"",$Q$43-(WEEKDAY($Q$43,1)-($I$4-1))-IF((WEEKDAY($Q$43,1)-($I$4-1))&lt;=0,7,0)+(ROW(Q45)-ROW($Q$45))*7+(COLUMN(Q45)-COLUMN($Q$45)+1))</f>
        <v>42491</v>
      </c>
      <c r="R45" s="116">
        <f t="shared" si="9"/>
        <v>42492</v>
      </c>
      <c r="S45" s="133">
        <f t="shared" si="9"/>
        <v>42493</v>
      </c>
      <c r="T45" s="124">
        <f t="shared" si="9"/>
        <v>42494</v>
      </c>
      <c r="U45" s="133">
        <f t="shared" si="9"/>
        <v>42495</v>
      </c>
      <c r="V45" s="117">
        <f t="shared" si="9"/>
        <v>42496</v>
      </c>
      <c r="W45" s="112">
        <f t="shared" si="9"/>
        <v>42497</v>
      </c>
      <c r="X45" s="54"/>
      <c r="Y45" s="54"/>
      <c r="Z45" s="99"/>
      <c r="AA45" s="99"/>
      <c r="AB45" s="99"/>
    </row>
    <row r="46" spans="1:30" ht="15.75" thickBot="1">
      <c r="A46" s="82">
        <f t="shared" si="8"/>
        <v>42316</v>
      </c>
      <c r="B46" s="118">
        <f t="shared" si="8"/>
        <v>42317</v>
      </c>
      <c r="C46" s="134">
        <f t="shared" si="8"/>
        <v>42318</v>
      </c>
      <c r="D46" s="118">
        <f t="shared" si="8"/>
        <v>42319</v>
      </c>
      <c r="E46" s="118">
        <f t="shared" si="8"/>
        <v>42320</v>
      </c>
      <c r="F46" s="118">
        <f t="shared" si="8"/>
        <v>42321</v>
      </c>
      <c r="G46" s="82">
        <f t="shared" si="8"/>
        <v>42322</v>
      </c>
      <c r="I46" s="17"/>
      <c r="J46" s="85"/>
      <c r="K46" s="85"/>
      <c r="L46" s="96"/>
      <c r="M46" s="96"/>
      <c r="N46" s="99"/>
      <c r="O46" s="99"/>
      <c r="P46" s="99"/>
      <c r="Q46" s="82">
        <f t="shared" si="9"/>
        <v>42498</v>
      </c>
      <c r="R46" s="360">
        <f t="shared" si="9"/>
        <v>42499</v>
      </c>
      <c r="S46" s="139">
        <f t="shared" si="9"/>
        <v>42500</v>
      </c>
      <c r="T46" s="118">
        <f t="shared" si="9"/>
        <v>42501</v>
      </c>
      <c r="U46" s="139">
        <f t="shared" si="9"/>
        <v>42502</v>
      </c>
      <c r="V46" s="118">
        <f t="shared" si="9"/>
        <v>42503</v>
      </c>
      <c r="W46" s="82">
        <f t="shared" si="9"/>
        <v>42504</v>
      </c>
      <c r="X46" s="291"/>
      <c r="Y46" s="55"/>
      <c r="Z46" s="97"/>
      <c r="AA46" s="97"/>
      <c r="AB46" s="99"/>
    </row>
    <row r="47" spans="1:30" ht="15.75" thickBot="1">
      <c r="A47" s="111">
        <f t="shared" si="8"/>
        <v>42323</v>
      </c>
      <c r="B47" s="116">
        <f t="shared" si="8"/>
        <v>42324</v>
      </c>
      <c r="C47" s="123">
        <f t="shared" si="8"/>
        <v>42325</v>
      </c>
      <c r="D47" s="124">
        <f t="shared" si="8"/>
        <v>42326</v>
      </c>
      <c r="E47" s="355">
        <f t="shared" si="8"/>
        <v>42327</v>
      </c>
      <c r="F47" s="132">
        <f t="shared" si="8"/>
        <v>42328</v>
      </c>
      <c r="G47" s="112">
        <f t="shared" si="8"/>
        <v>42329</v>
      </c>
      <c r="I47" s="17"/>
      <c r="J47" s="96" t="s">
        <v>65</v>
      </c>
      <c r="K47" s="85"/>
      <c r="M47" s="96"/>
      <c r="N47" s="99"/>
      <c r="O47" s="99"/>
      <c r="P47" s="99"/>
      <c r="Q47" s="111">
        <f t="shared" si="9"/>
        <v>42505</v>
      </c>
      <c r="R47" s="116">
        <f t="shared" si="9"/>
        <v>42506</v>
      </c>
      <c r="S47" s="124">
        <f t="shared" si="9"/>
        <v>42507</v>
      </c>
      <c r="T47" s="124">
        <f t="shared" si="9"/>
        <v>42508</v>
      </c>
      <c r="U47" s="124">
        <f t="shared" si="9"/>
        <v>42509</v>
      </c>
      <c r="V47" s="132">
        <f t="shared" si="9"/>
        <v>42510</v>
      </c>
      <c r="W47" s="112">
        <f t="shared" si="9"/>
        <v>42511</v>
      </c>
      <c r="X47" s="96" t="s">
        <v>65</v>
      </c>
      <c r="Y47" s="56"/>
      <c r="AA47" s="88"/>
      <c r="AB47" s="99"/>
    </row>
    <row r="48" spans="1:30" ht="15.75" thickBot="1">
      <c r="A48" s="82">
        <f t="shared" si="8"/>
        <v>42330</v>
      </c>
      <c r="B48" s="118">
        <f t="shared" si="8"/>
        <v>42331</v>
      </c>
      <c r="C48" s="115">
        <f t="shared" si="8"/>
        <v>42332</v>
      </c>
      <c r="D48" s="363">
        <f t="shared" si="8"/>
        <v>42333</v>
      </c>
      <c r="E48" s="125">
        <f t="shared" si="8"/>
        <v>42334</v>
      </c>
      <c r="F48" s="125">
        <f t="shared" si="8"/>
        <v>42335</v>
      </c>
      <c r="G48" s="82">
        <f t="shared" si="8"/>
        <v>42336</v>
      </c>
      <c r="I48" s="17"/>
      <c r="J48" s="317"/>
      <c r="K48" s="85"/>
      <c r="L48" s="96"/>
      <c r="M48" s="96"/>
      <c r="N48" s="99"/>
      <c r="O48" s="99"/>
      <c r="P48" s="99"/>
      <c r="Q48" s="82">
        <f t="shared" si="9"/>
        <v>42512</v>
      </c>
      <c r="R48" s="115">
        <f t="shared" si="9"/>
        <v>42513</v>
      </c>
      <c r="S48" s="361">
        <f t="shared" si="9"/>
        <v>42514</v>
      </c>
      <c r="T48" s="115">
        <f t="shared" si="9"/>
        <v>42515</v>
      </c>
      <c r="U48" s="284">
        <f t="shared" si="9"/>
        <v>42516</v>
      </c>
      <c r="V48" s="131">
        <f t="shared" si="9"/>
        <v>42517</v>
      </c>
      <c r="W48" s="81">
        <f t="shared" si="9"/>
        <v>42518</v>
      </c>
      <c r="X48" s="291"/>
      <c r="Y48" s="54"/>
      <c r="Z48" s="97"/>
      <c r="AA48" s="97"/>
      <c r="AB48" s="99"/>
    </row>
    <row r="49" spans="1:29" ht="15.75" thickBot="1">
      <c r="A49" s="111">
        <f t="shared" si="8"/>
        <v>42337</v>
      </c>
      <c r="B49" s="126">
        <f>IF(MONTH($A$43)&lt;&gt;MONTH($A$43-(WEEKDAY($A$43,1)-($I$4-1))-IF((WEEKDAY($A$43,1)-($I$4-1))&lt;=0,7,0)+(ROW(B49)-ROW($A$45))*7+(COLUMN(B49)-COLUMN($A$45)+1)),"",$A$43-(WEEKDAY($A$43,1)-($I$4-1))-IF((WEEKDAY($A$43,1)-($I$4-1))&lt;=0,7,0)+(ROW(B49)-ROW($A$45))*7+(COLUMN(B49)-COLUMN($A$45)+1))</f>
        <v>42338</v>
      </c>
      <c r="C49" s="112" t="str">
        <f t="shared" si="8"/>
        <v/>
      </c>
      <c r="D49" s="83" t="str">
        <f t="shared" si="8"/>
        <v/>
      </c>
      <c r="E49" s="83" t="str">
        <f t="shared" si="8"/>
        <v/>
      </c>
      <c r="F49" s="83" t="str">
        <f t="shared" si="8"/>
        <v/>
      </c>
      <c r="G49" s="83" t="str">
        <f t="shared" si="8"/>
        <v/>
      </c>
      <c r="I49" s="17"/>
      <c r="J49" s="317"/>
      <c r="K49" s="85"/>
      <c r="L49" s="96"/>
      <c r="M49" s="96"/>
      <c r="N49" s="99"/>
      <c r="O49" s="99"/>
      <c r="P49" s="99"/>
      <c r="Q49" s="81">
        <f t="shared" si="9"/>
        <v>42519</v>
      </c>
      <c r="R49" s="98">
        <f t="shared" si="9"/>
        <v>42520</v>
      </c>
      <c r="S49" s="119">
        <f t="shared" si="9"/>
        <v>42521</v>
      </c>
      <c r="T49" s="82" t="str">
        <f t="shared" si="9"/>
        <v/>
      </c>
      <c r="U49" s="82" t="str">
        <f t="shared" si="9"/>
        <v/>
      </c>
      <c r="V49" s="82" t="str">
        <f t="shared" si="9"/>
        <v/>
      </c>
      <c r="W49" s="82" t="str">
        <f t="shared" si="9"/>
        <v/>
      </c>
      <c r="X49" s="109"/>
      <c r="Y49" s="56"/>
      <c r="Z49" s="88"/>
      <c r="AA49" s="88"/>
      <c r="AB49" s="99"/>
    </row>
    <row r="50" spans="1:29">
      <c r="A50" s="82" t="str">
        <f t="shared" si="8"/>
        <v/>
      </c>
      <c r="B50" s="115" t="str">
        <f t="shared" si="8"/>
        <v/>
      </c>
      <c r="C50" s="82" t="str">
        <f t="shared" si="8"/>
        <v/>
      </c>
      <c r="D50" s="82" t="str">
        <f t="shared" si="8"/>
        <v/>
      </c>
      <c r="E50" s="82" t="str">
        <f t="shared" si="8"/>
        <v/>
      </c>
      <c r="F50" s="82" t="str">
        <f t="shared" si="8"/>
        <v/>
      </c>
      <c r="G50" s="82" t="str">
        <f t="shared" si="8"/>
        <v/>
      </c>
      <c r="I50" s="17"/>
      <c r="K50" s="85"/>
      <c r="L50" s="96"/>
      <c r="M50" s="96"/>
      <c r="N50" s="99"/>
      <c r="O50" s="99"/>
      <c r="P50" s="99"/>
      <c r="Q50" s="82" t="str">
        <f t="shared" si="9"/>
        <v/>
      </c>
      <c r="R50" s="82" t="str">
        <f t="shared" si="9"/>
        <v/>
      </c>
      <c r="S50" s="82" t="str">
        <f t="shared" si="9"/>
        <v/>
      </c>
      <c r="T50" s="82" t="str">
        <f t="shared" si="9"/>
        <v/>
      </c>
      <c r="U50" s="82" t="str">
        <f t="shared" si="9"/>
        <v/>
      </c>
      <c r="V50" s="82" t="str">
        <f t="shared" si="9"/>
        <v/>
      </c>
      <c r="W50" s="82" t="str">
        <f t="shared" si="9"/>
        <v/>
      </c>
      <c r="X50" s="57"/>
      <c r="Y50" s="57"/>
      <c r="Z50" s="89"/>
      <c r="AA50" s="89"/>
      <c r="AB50" s="99"/>
    </row>
    <row r="51" spans="1:29" ht="5.0999999999999996" customHeight="1">
      <c r="I51" s="17"/>
      <c r="J51" s="85"/>
      <c r="K51" s="85"/>
      <c r="L51" s="96"/>
      <c r="M51" s="96"/>
      <c r="N51" s="99"/>
      <c r="O51" s="99"/>
      <c r="P51" s="99"/>
      <c r="X51" s="53"/>
      <c r="Y51" s="53"/>
      <c r="Z51" s="104"/>
      <c r="AA51" s="104"/>
      <c r="AB51" s="99"/>
    </row>
    <row r="52" spans="1:29">
      <c r="A52" s="592">
        <f>DATE(YEAR(A43+35),MONTH(A43+35),1)</f>
        <v>42339</v>
      </c>
      <c r="B52" s="593"/>
      <c r="C52" s="593"/>
      <c r="D52" s="593"/>
      <c r="E52" s="593"/>
      <c r="F52" s="593"/>
      <c r="G52" s="594"/>
      <c r="H52" s="22"/>
      <c r="I52" s="17"/>
      <c r="J52" s="85"/>
      <c r="K52" s="85"/>
      <c r="L52" s="96"/>
      <c r="M52" s="96"/>
      <c r="N52" s="99"/>
      <c r="O52" s="99"/>
      <c r="P52" s="99"/>
      <c r="Q52" s="593">
        <f>DATE(YEAR(Q43+35),MONTH(Q43+35),1)</f>
        <v>42522</v>
      </c>
      <c r="R52" s="593"/>
      <c r="S52" s="593"/>
      <c r="T52" s="593"/>
      <c r="U52" s="593"/>
      <c r="V52" s="593"/>
      <c r="W52" s="593"/>
      <c r="X52" s="53"/>
      <c r="Y52" s="53"/>
      <c r="Z52" s="104"/>
      <c r="AA52" s="104"/>
      <c r="AB52" s="99"/>
    </row>
    <row r="53" spans="1:29" ht="15.75" thickBot="1">
      <c r="A53" s="18" t="str">
        <f>$A$8</f>
        <v>Su</v>
      </c>
      <c r="B53" s="20" t="str">
        <f>$B$8</f>
        <v>M</v>
      </c>
      <c r="C53" s="20" t="str">
        <f>$C$8</f>
        <v>Tu</v>
      </c>
      <c r="D53" s="20" t="str">
        <f>$D$8</f>
        <v>W</v>
      </c>
      <c r="E53" s="20" t="str">
        <f>$E$8</f>
        <v>Th</v>
      </c>
      <c r="F53" s="20" t="str">
        <f>$F$8</f>
        <v>F</v>
      </c>
      <c r="G53" s="21" t="str">
        <f>$G$8</f>
        <v>Sa</v>
      </c>
      <c r="H53" s="22"/>
      <c r="I53" s="17"/>
      <c r="J53" s="85"/>
      <c r="K53" s="85"/>
      <c r="L53" s="96"/>
      <c r="M53" s="96"/>
      <c r="N53" s="99"/>
      <c r="O53" s="99"/>
      <c r="P53" s="99"/>
      <c r="Q53" s="20" t="str">
        <f>$A$8</f>
        <v>Su</v>
      </c>
      <c r="R53" s="20" t="str">
        <f>$B$8</f>
        <v>M</v>
      </c>
      <c r="S53" s="20" t="str">
        <f>$C$8</f>
        <v>Tu</v>
      </c>
      <c r="T53" s="20" t="str">
        <f>$D$8</f>
        <v>W</v>
      </c>
      <c r="U53" s="20" t="str">
        <f>$E$8</f>
        <v>Th</v>
      </c>
      <c r="V53" s="20" t="str">
        <f>$F$8</f>
        <v>F</v>
      </c>
      <c r="W53" s="20" t="str">
        <f>$G$8</f>
        <v>Sa</v>
      </c>
      <c r="X53" s="53"/>
      <c r="Y53" s="53"/>
      <c r="Z53" s="104"/>
      <c r="AA53" s="104"/>
      <c r="AB53" s="99"/>
    </row>
    <row r="54" spans="1:29" ht="15.75" thickBot="1">
      <c r="A54" s="82" t="str">
        <f t="shared" ref="A54:G59" si="10">IF(MONTH($A$52)&lt;&gt;MONTH($A$52-(WEEKDAY($A$52,1)-($I$4-1))-IF((WEEKDAY($A$52,1)-($I$4-1))&lt;=0,7,0)+(ROW(A54)-ROW($A$54))*7+(COLUMN(A54)-COLUMN($A$54)+1)),"",$A$52-(WEEKDAY($A$52,1)-($I$4-1))-IF((WEEKDAY($A$52,1)-($I$4-1))&lt;=0,7,0)+(ROW(A54)-ROW($A$54))*7+(COLUMN(A54)-COLUMN($A$54)+1))</f>
        <v/>
      </c>
      <c r="B54" s="111" t="str">
        <f t="shared" si="10"/>
        <v/>
      </c>
      <c r="C54" s="135">
        <f t="shared" si="10"/>
        <v>42339</v>
      </c>
      <c r="D54" s="356">
        <f t="shared" si="10"/>
        <v>42340</v>
      </c>
      <c r="E54" s="133">
        <f t="shared" si="10"/>
        <v>42341</v>
      </c>
      <c r="F54" s="117">
        <f t="shared" si="10"/>
        <v>42342</v>
      </c>
      <c r="G54" s="112">
        <f t="shared" si="10"/>
        <v>42343</v>
      </c>
      <c r="I54" s="17"/>
      <c r="J54" s="290"/>
      <c r="K54" s="85"/>
      <c r="L54" s="96"/>
      <c r="M54" s="96"/>
      <c r="N54" s="99"/>
      <c r="O54" s="99"/>
      <c r="P54" s="99"/>
      <c r="Q54" s="82" t="str">
        <f t="shared" ref="Q54:W59" si="11">IF(MONTH($Q$52)&lt;&gt;MONTH($Q$52-(WEEKDAY($Q$52,1)-($I$4-1))-IF((WEEKDAY($Q$52,1)-($I$4-1))&lt;=0,7,0)+(ROW(Q54)-ROW($Q$54))*7+(COLUMN(Q54)-COLUMN($Q$54)+1)),"",$Q$52-(WEEKDAY($Q$52,1)-($I$4-1))-IF((WEEKDAY($Q$52,1)-($I$4-1))&lt;=0,7,0)+(ROW(Q54)-ROW($Q$54))*7+(COLUMN(Q54)-COLUMN($Q$54)+1))</f>
        <v/>
      </c>
      <c r="R54" s="82" t="str">
        <f t="shared" si="11"/>
        <v/>
      </c>
      <c r="S54" s="82" t="str">
        <f t="shared" si="11"/>
        <v/>
      </c>
      <c r="T54" s="82">
        <f t="shared" si="11"/>
        <v>42522</v>
      </c>
      <c r="U54" s="120">
        <f t="shared" si="11"/>
        <v>42523</v>
      </c>
      <c r="V54" s="82">
        <f t="shared" si="11"/>
        <v>42524</v>
      </c>
      <c r="W54" s="82">
        <f t="shared" si="11"/>
        <v>42525</v>
      </c>
      <c r="X54" s="54"/>
      <c r="Y54" s="54"/>
      <c r="Z54" s="97"/>
      <c r="AA54" s="97"/>
      <c r="AB54" s="99"/>
    </row>
    <row r="55" spans="1:29">
      <c r="A55" s="82">
        <f t="shared" si="10"/>
        <v>42344</v>
      </c>
      <c r="B55" s="82">
        <f t="shared" si="10"/>
        <v>42345</v>
      </c>
      <c r="C55" s="138">
        <f t="shared" si="10"/>
        <v>42346</v>
      </c>
      <c r="D55" s="115">
        <f t="shared" si="10"/>
        <v>42347</v>
      </c>
      <c r="E55" s="122">
        <f t="shared" si="10"/>
        <v>42348</v>
      </c>
      <c r="F55" s="115">
        <f t="shared" si="10"/>
        <v>42349</v>
      </c>
      <c r="G55" s="82">
        <f t="shared" si="10"/>
        <v>42350</v>
      </c>
      <c r="I55" s="17"/>
      <c r="J55" s="85"/>
      <c r="K55" s="85"/>
      <c r="L55" s="96"/>
      <c r="M55" s="96"/>
      <c r="N55" s="99"/>
      <c r="O55" s="99"/>
      <c r="P55" s="99"/>
      <c r="Q55" s="82">
        <f t="shared" si="11"/>
        <v>42526</v>
      </c>
      <c r="R55" s="82">
        <f t="shared" si="11"/>
        <v>42527</v>
      </c>
      <c r="S55" s="120">
        <f t="shared" si="11"/>
        <v>42528</v>
      </c>
      <c r="T55" s="348">
        <f t="shared" si="11"/>
        <v>42529</v>
      </c>
      <c r="U55" s="82">
        <f t="shared" si="11"/>
        <v>42530</v>
      </c>
      <c r="V55" s="82">
        <f t="shared" si="11"/>
        <v>42531</v>
      </c>
      <c r="W55" s="82">
        <f t="shared" si="11"/>
        <v>42532</v>
      </c>
      <c r="X55" s="291"/>
      <c r="Y55" s="54"/>
      <c r="Z55" s="99"/>
      <c r="AA55" s="99"/>
      <c r="AB55" s="99"/>
    </row>
    <row r="56" spans="1:29">
      <c r="A56" s="82">
        <f t="shared" si="10"/>
        <v>42351</v>
      </c>
      <c r="B56" s="82">
        <f t="shared" si="10"/>
        <v>42352</v>
      </c>
      <c r="C56" s="120">
        <f t="shared" si="10"/>
        <v>42353</v>
      </c>
      <c r="D56" s="82">
        <f t="shared" si="10"/>
        <v>42354</v>
      </c>
      <c r="E56" s="82">
        <f t="shared" si="10"/>
        <v>42355</v>
      </c>
      <c r="F56" s="94">
        <f t="shared" si="10"/>
        <v>42356</v>
      </c>
      <c r="G56" s="91">
        <f t="shared" si="10"/>
        <v>42357</v>
      </c>
      <c r="H56" s="22"/>
      <c r="I56" s="17"/>
      <c r="J56" s="317"/>
      <c r="K56" s="54"/>
      <c r="L56" s="99"/>
      <c r="M56" s="96"/>
      <c r="N56" s="99"/>
      <c r="O56" s="99"/>
      <c r="P56" s="99"/>
      <c r="Q56" s="82">
        <f t="shared" si="11"/>
        <v>42533</v>
      </c>
      <c r="R56" s="94">
        <f t="shared" si="11"/>
        <v>42534</v>
      </c>
      <c r="S56" s="94">
        <f t="shared" si="11"/>
        <v>42535</v>
      </c>
      <c r="T56" s="94">
        <f t="shared" si="11"/>
        <v>42536</v>
      </c>
      <c r="U56" s="94">
        <f t="shared" si="11"/>
        <v>42537</v>
      </c>
      <c r="V56" s="94">
        <f t="shared" si="11"/>
        <v>42538</v>
      </c>
      <c r="W56" s="81">
        <f t="shared" si="11"/>
        <v>42539</v>
      </c>
      <c r="X56" s="317"/>
      <c r="Y56" s="54"/>
      <c r="Z56" s="99"/>
      <c r="AA56" s="99"/>
      <c r="AB56" s="99"/>
    </row>
    <row r="57" spans="1:29">
      <c r="A57" s="92">
        <f t="shared" si="10"/>
        <v>42358</v>
      </c>
      <c r="B57" s="92">
        <f t="shared" si="10"/>
        <v>42359</v>
      </c>
      <c r="C57" s="357">
        <f t="shared" si="10"/>
        <v>42360</v>
      </c>
      <c r="D57" s="92">
        <f t="shared" si="10"/>
        <v>42361</v>
      </c>
      <c r="E57" s="92">
        <f t="shared" si="10"/>
        <v>42362</v>
      </c>
      <c r="F57" s="92">
        <f t="shared" si="10"/>
        <v>42363</v>
      </c>
      <c r="G57" s="92">
        <f t="shared" si="10"/>
        <v>42364</v>
      </c>
      <c r="I57" s="17"/>
      <c r="J57" s="290"/>
      <c r="K57" s="54"/>
      <c r="L57" s="99"/>
      <c r="M57" s="99"/>
      <c r="N57" s="99"/>
      <c r="O57" s="99"/>
      <c r="P57" s="99"/>
      <c r="Q57" s="98">
        <f t="shared" si="11"/>
        <v>42540</v>
      </c>
      <c r="R57" s="98">
        <f t="shared" si="11"/>
        <v>42541</v>
      </c>
      <c r="S57" s="98">
        <f t="shared" si="11"/>
        <v>42542</v>
      </c>
      <c r="T57" s="357">
        <f t="shared" si="11"/>
        <v>42543</v>
      </c>
      <c r="U57" s="98">
        <f t="shared" si="11"/>
        <v>42544</v>
      </c>
      <c r="V57" s="98">
        <f t="shared" si="11"/>
        <v>42545</v>
      </c>
      <c r="W57" s="92">
        <f t="shared" si="11"/>
        <v>42546</v>
      </c>
      <c r="X57" s="291"/>
      <c r="Y57" s="54"/>
      <c r="Z57" s="99"/>
      <c r="AA57" s="99"/>
      <c r="AB57" s="99"/>
    </row>
    <row r="58" spans="1:29" ht="18.75" customHeight="1">
      <c r="A58" s="92">
        <f t="shared" si="10"/>
        <v>42365</v>
      </c>
      <c r="B58" s="92">
        <f t="shared" si="10"/>
        <v>42366</v>
      </c>
      <c r="C58" s="92">
        <f t="shared" si="10"/>
        <v>42367</v>
      </c>
      <c r="D58" s="92">
        <f t="shared" si="10"/>
        <v>42368</v>
      </c>
      <c r="E58" s="92">
        <f t="shared" si="10"/>
        <v>42369</v>
      </c>
      <c r="F58" s="92" t="str">
        <f t="shared" si="10"/>
        <v/>
      </c>
      <c r="G58" s="92" t="str">
        <f t="shared" si="10"/>
        <v/>
      </c>
      <c r="I58" s="17"/>
      <c r="J58" s="85"/>
      <c r="K58" s="54"/>
      <c r="L58" s="99"/>
      <c r="M58" s="99"/>
      <c r="N58" s="99"/>
      <c r="O58" s="99"/>
      <c r="P58" s="99"/>
      <c r="Q58" s="98">
        <f t="shared" si="11"/>
        <v>42547</v>
      </c>
      <c r="R58" s="98">
        <f t="shared" si="11"/>
        <v>42548</v>
      </c>
      <c r="S58" s="98">
        <f t="shared" si="11"/>
        <v>42549</v>
      </c>
      <c r="T58" s="98">
        <f t="shared" si="11"/>
        <v>42550</v>
      </c>
      <c r="U58" s="357">
        <f t="shared" si="11"/>
        <v>42551</v>
      </c>
      <c r="V58" s="81" t="str">
        <f t="shared" si="11"/>
        <v/>
      </c>
      <c r="W58" s="81" t="str">
        <f t="shared" si="11"/>
        <v/>
      </c>
      <c r="X58" s="291"/>
      <c r="Y58" s="54"/>
      <c r="Z58" s="99"/>
      <c r="AA58" s="99"/>
      <c r="AB58" s="99"/>
    </row>
    <row r="59" spans="1:29">
      <c r="A59" s="82" t="str">
        <f t="shared" si="10"/>
        <v/>
      </c>
      <c r="B59" s="82" t="str">
        <f t="shared" si="10"/>
        <v/>
      </c>
      <c r="C59" s="82" t="str">
        <f t="shared" si="10"/>
        <v/>
      </c>
      <c r="D59" s="82" t="str">
        <f t="shared" si="10"/>
        <v/>
      </c>
      <c r="E59" s="82" t="str">
        <f t="shared" si="10"/>
        <v/>
      </c>
      <c r="F59" s="82" t="str">
        <f t="shared" si="10"/>
        <v/>
      </c>
      <c r="G59" s="82" t="str">
        <f t="shared" si="10"/>
        <v/>
      </c>
      <c r="H59" s="22"/>
      <c r="I59" s="17"/>
      <c r="J59" s="52"/>
      <c r="K59" s="52"/>
      <c r="L59" s="80"/>
      <c r="M59" s="80"/>
      <c r="N59" s="102"/>
      <c r="O59" s="102"/>
      <c r="P59" s="99"/>
      <c r="Q59" s="82" t="str">
        <f t="shared" si="11"/>
        <v/>
      </c>
      <c r="R59" s="82" t="str">
        <f t="shared" si="11"/>
        <v/>
      </c>
      <c r="S59" s="82" t="str">
        <f t="shared" si="11"/>
        <v/>
      </c>
      <c r="T59" s="82" t="str">
        <f t="shared" si="11"/>
        <v/>
      </c>
      <c r="U59" s="82" t="str">
        <f t="shared" si="11"/>
        <v/>
      </c>
      <c r="V59" s="82" t="str">
        <f t="shared" si="11"/>
        <v/>
      </c>
      <c r="W59" s="82" t="str">
        <f t="shared" si="11"/>
        <v/>
      </c>
      <c r="X59" s="110"/>
      <c r="Y59" s="52"/>
      <c r="Z59" s="80"/>
      <c r="AA59" s="80"/>
      <c r="AB59" s="102"/>
    </row>
    <row r="60" spans="1:29" ht="7.5" customHeight="1">
      <c r="Q60" s="25"/>
      <c r="R60" s="25"/>
      <c r="S60" s="25"/>
      <c r="T60" s="25"/>
      <c r="U60" s="25"/>
      <c r="V60" s="25"/>
      <c r="W60" s="25"/>
      <c r="X60" s="105"/>
      <c r="Y60" s="106"/>
      <c r="Z60" s="106"/>
      <c r="AA60" s="106"/>
      <c r="AB60" s="106"/>
    </row>
    <row r="61" spans="1:29" ht="15.75" thickBot="1">
      <c r="A61" s="44"/>
      <c r="B61" s="75" t="s">
        <v>27</v>
      </c>
      <c r="C61" s="70"/>
      <c r="D61" s="70"/>
      <c r="E61" s="71"/>
      <c r="F61" s="76"/>
      <c r="G61" s="70"/>
      <c r="H61" s="72"/>
      <c r="I61" s="70"/>
      <c r="J61" s="73"/>
      <c r="K61" s="6"/>
      <c r="L61" s="6"/>
      <c r="N61" s="285"/>
      <c r="O61" s="25"/>
      <c r="P61" s="70" t="s">
        <v>116</v>
      </c>
      <c r="Q61" s="70"/>
      <c r="R61" s="70"/>
      <c r="S61" s="25"/>
      <c r="T61" s="70"/>
      <c r="U61" s="70"/>
      <c r="V61" s="74"/>
      <c r="W61" s="25"/>
      <c r="X61" s="72"/>
      <c r="Y61" s="70"/>
      <c r="Z61" s="73"/>
    </row>
    <row r="62" spans="1:29" ht="15.75" thickBot="1">
      <c r="A62" s="45"/>
      <c r="B62" s="76" t="s">
        <v>28</v>
      </c>
      <c r="C62" s="70"/>
      <c r="D62" s="70"/>
      <c r="E62" s="70"/>
      <c r="F62" s="70"/>
      <c r="G62" s="70"/>
      <c r="H62" s="72"/>
      <c r="I62" s="70"/>
      <c r="J62" s="73"/>
      <c r="K62" s="6"/>
      <c r="L62" s="6"/>
      <c r="N62" s="288"/>
      <c r="O62" s="2"/>
      <c r="P62" s="71" t="s">
        <v>125</v>
      </c>
      <c r="Q62" s="71"/>
      <c r="R62" s="71"/>
      <c r="S62" s="286"/>
      <c r="T62" s="71"/>
      <c r="U62" s="71"/>
      <c r="V62" s="71"/>
      <c r="W62" s="87"/>
      <c r="X62" s="104"/>
      <c r="Y62" s="25"/>
      <c r="Z62" s="25"/>
      <c r="AC62" s="29"/>
    </row>
    <row r="63" spans="1:29">
      <c r="A63" s="292"/>
      <c r="B63" s="362" t="s">
        <v>126</v>
      </c>
      <c r="C63" s="293"/>
      <c r="D63" s="293"/>
      <c r="E63" s="293"/>
      <c r="F63" s="77"/>
      <c r="G63" s="77"/>
      <c r="H63" s="70"/>
      <c r="I63" s="70"/>
      <c r="J63" s="73"/>
      <c r="K63" s="6"/>
      <c r="L63" s="6"/>
      <c r="N63" s="289"/>
      <c r="P63" s="70" t="s">
        <v>124</v>
      </c>
      <c r="Q63" s="70"/>
      <c r="R63" s="70"/>
      <c r="S63" s="70"/>
      <c r="T63" s="70"/>
      <c r="U63" s="70"/>
      <c r="V63" s="70"/>
      <c r="W63" s="70"/>
      <c r="X63" s="70"/>
      <c r="Y63" s="70"/>
      <c r="Z63" s="70"/>
    </row>
    <row r="64" spans="1:29">
      <c r="A64" s="4" t="s">
        <v>305</v>
      </c>
      <c r="B64" s="364"/>
      <c r="C64" s="364"/>
      <c r="D64" s="364"/>
      <c r="E64" s="364"/>
      <c r="F64" s="364"/>
      <c r="G64" s="364"/>
      <c r="H64" s="365"/>
      <c r="I64" s="364"/>
      <c r="J64" s="366"/>
      <c r="K64" s="4"/>
      <c r="L64" s="4"/>
      <c r="M64" s="4"/>
      <c r="N64" s="4"/>
      <c r="O64" s="4"/>
      <c r="P64" s="4"/>
      <c r="Q64" s="4"/>
      <c r="R64" s="4"/>
      <c r="S64" s="4"/>
      <c r="T64" s="4"/>
    </row>
    <row r="74" spans="1:24">
      <c r="A74" s="30" t="s">
        <v>20</v>
      </c>
      <c r="H74"/>
      <c r="X74"/>
    </row>
  </sheetData>
  <mergeCells count="21">
    <mergeCell ref="A16:G16"/>
    <mergeCell ref="Q16:W16"/>
    <mergeCell ref="A1:P1"/>
    <mergeCell ref="A2:G2"/>
    <mergeCell ref="R2:X2"/>
    <mergeCell ref="A3:C3"/>
    <mergeCell ref="E3:G3"/>
    <mergeCell ref="I3:L3"/>
    <mergeCell ref="A4:C4"/>
    <mergeCell ref="E4:G4"/>
    <mergeCell ref="I4:L4"/>
    <mergeCell ref="A7:G7"/>
    <mergeCell ref="Q7:W7"/>
    <mergeCell ref="A52:G52"/>
    <mergeCell ref="Q52:W52"/>
    <mergeCell ref="A25:G25"/>
    <mergeCell ref="Q25:W25"/>
    <mergeCell ref="A34:G34"/>
    <mergeCell ref="Q34:W34"/>
    <mergeCell ref="A43:G43"/>
    <mergeCell ref="Q43:W43"/>
  </mergeCells>
  <conditionalFormatting sqref="Q36:W41 Q54:W59 Q45:W50 Q27:W32 Q18:W23 Q9:W14 A54:G59 A45:G50 A36:G41 A27:G32 A9:G14 A18:G23 B61">
    <cfRule type="cellIs" dxfId="0" priority="1" stopIfTrue="1" operator="equal">
      <formula>""</formula>
    </cfRule>
  </conditionalFormatting>
  <hyperlinks>
    <hyperlink ref="A2" r:id="rId1"/>
    <hyperlink ref="A74" r:id="rId2"/>
  </hyperlinks>
  <pageMargins left="0.25" right="0.25" top="0.61093750000000002" bottom="0.5" header="0.3" footer="0.3"/>
  <pageSetup scale="87" orientation="portrait" r:id="rId3"/>
  <headerFooter>
    <oddHeader>&amp;C&amp;20 2015-2016 AIU3 Adult Education Calendar</oddHeader>
  </headerFooter>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63"/>
  <sheetViews>
    <sheetView workbookViewId="0">
      <pane xSplit="17" ySplit="10" topLeftCell="R26" activePane="bottomRight" state="frozen"/>
      <selection pane="topRight" activeCell="R1" sqref="R1"/>
      <selection pane="bottomLeft" activeCell="A11" sqref="A11"/>
      <selection pane="bottomRight" activeCell="AI35" sqref="AI35"/>
    </sheetView>
  </sheetViews>
  <sheetFormatPr defaultRowHeight="15"/>
  <cols>
    <col min="1" max="1" width="24.42578125" customWidth="1"/>
    <col min="2" max="2" width="11.28515625" hidden="1" customWidth="1"/>
    <col min="3" max="3" width="7.42578125" hidden="1" customWidth="1"/>
    <col min="4" max="4" width="7.7109375" hidden="1" customWidth="1"/>
    <col min="5" max="5" width="7" hidden="1" customWidth="1"/>
    <col min="6" max="6" width="7.42578125" hidden="1" customWidth="1"/>
    <col min="7" max="7" width="8.140625" hidden="1" customWidth="1"/>
    <col min="8" max="8" width="7.140625" hidden="1" customWidth="1"/>
    <col min="9" max="9" width="10.140625" hidden="1" customWidth="1"/>
    <col min="10" max="10" width="7.140625" hidden="1" customWidth="1"/>
    <col min="11" max="11" width="9" hidden="1" customWidth="1"/>
    <col min="12" max="12" width="7.140625" hidden="1" customWidth="1"/>
    <col min="13" max="13" width="7.7109375" hidden="1" customWidth="1"/>
    <col min="14" max="14" width="7.28515625" hidden="1" customWidth="1"/>
    <col min="15" max="15" width="7.7109375" hidden="1" customWidth="1"/>
    <col min="16" max="16" width="7.140625" customWidth="1"/>
    <col min="17" max="17" width="7" bestFit="1" customWidth="1"/>
    <col min="18" max="18" width="8.5703125" customWidth="1"/>
    <col min="19" max="19" width="7.28515625" customWidth="1"/>
    <col min="20" max="20" width="7" customWidth="1"/>
    <col min="21" max="21" width="4.85546875" bestFit="1" customWidth="1"/>
    <col min="22" max="22" width="7.5703125" customWidth="1"/>
    <col min="23" max="23" width="5.140625" bestFit="1" customWidth="1"/>
    <col min="24" max="29" width="5.140625" hidden="1" customWidth="1"/>
    <col min="30" max="30" width="14.140625" bestFit="1" customWidth="1"/>
    <col min="31" max="31" width="21.42578125" customWidth="1"/>
    <col min="32" max="32" width="11.42578125" hidden="1" customWidth="1"/>
    <col min="33" max="33" width="20.85546875" style="5" hidden="1" customWidth="1"/>
    <col min="34" max="34" width="16.5703125" style="3" bestFit="1" customWidth="1"/>
    <col min="35" max="35" width="16.5703125" bestFit="1" customWidth="1"/>
    <col min="36" max="36" width="16.28515625" bestFit="1" customWidth="1"/>
    <col min="37" max="37" width="3.85546875" customWidth="1"/>
    <col min="38" max="38" width="16.28515625" bestFit="1" customWidth="1"/>
    <col min="39" max="41" width="16.5703125" bestFit="1" customWidth="1"/>
    <col min="42" max="42" width="16.28515625" bestFit="1" customWidth="1"/>
    <col min="43" max="43" width="4.140625" customWidth="1"/>
    <col min="44" max="44" width="16.28515625" bestFit="1" customWidth="1"/>
    <col min="45" max="47" width="16.5703125" bestFit="1" customWidth="1"/>
    <col min="48" max="48" width="16.28515625" bestFit="1" customWidth="1"/>
  </cols>
  <sheetData>
    <row r="1" spans="1:96" ht="26.25">
      <c r="A1" s="424" t="s">
        <v>237</v>
      </c>
      <c r="B1" s="424"/>
      <c r="C1" s="424"/>
      <c r="D1" s="424"/>
      <c r="E1" s="424"/>
      <c r="F1" s="424"/>
      <c r="G1" s="424"/>
      <c r="H1" s="424"/>
      <c r="I1" s="424"/>
      <c r="J1" s="425"/>
      <c r="K1" s="426"/>
      <c r="L1" s="426"/>
      <c r="M1" s="424"/>
      <c r="N1" s="424"/>
      <c r="O1" s="424"/>
      <c r="P1" s="424"/>
      <c r="Q1" s="424"/>
      <c r="R1" s="424"/>
      <c r="S1" s="424"/>
      <c r="T1" s="424"/>
      <c r="U1" s="424"/>
      <c r="V1" s="425"/>
      <c r="W1" s="426"/>
      <c r="X1" s="426"/>
      <c r="Y1" s="426"/>
      <c r="Z1" s="426"/>
      <c r="AA1" s="426"/>
      <c r="AB1" s="426"/>
      <c r="AC1" s="426"/>
      <c r="AD1" s="425"/>
      <c r="AE1" s="425"/>
      <c r="AF1" s="382"/>
      <c r="AG1" s="400"/>
      <c r="AH1" s="382"/>
      <c r="AI1" s="382"/>
      <c r="AJ1" s="38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row>
    <row r="2" spans="1:96" s="4" customFormat="1" ht="60.75" customHeight="1">
      <c r="A2" s="383" t="s">
        <v>174</v>
      </c>
      <c r="B2" s="386" t="s">
        <v>189</v>
      </c>
      <c r="C2" s="386" t="s">
        <v>409</v>
      </c>
      <c r="D2" s="386" t="s">
        <v>190</v>
      </c>
      <c r="E2" s="386" t="s">
        <v>410</v>
      </c>
      <c r="F2" s="386" t="s">
        <v>191</v>
      </c>
      <c r="G2" s="386" t="s">
        <v>411</v>
      </c>
      <c r="H2" s="386" t="s">
        <v>192</v>
      </c>
      <c r="I2" s="386" t="s">
        <v>412</v>
      </c>
      <c r="J2" s="386" t="s">
        <v>193</v>
      </c>
      <c r="K2" s="386" t="s">
        <v>413</v>
      </c>
      <c r="L2" s="386" t="s">
        <v>194</v>
      </c>
      <c r="M2" s="386" t="s">
        <v>414</v>
      </c>
      <c r="N2" s="386" t="s">
        <v>195</v>
      </c>
      <c r="O2" s="386" t="s">
        <v>415</v>
      </c>
      <c r="P2" s="386" t="s">
        <v>377</v>
      </c>
      <c r="Q2" s="386" t="s">
        <v>416</v>
      </c>
      <c r="R2" s="386" t="s">
        <v>378</v>
      </c>
      <c r="S2" s="386" t="s">
        <v>417</v>
      </c>
      <c r="T2" s="386" t="s">
        <v>379</v>
      </c>
      <c r="U2" s="383" t="s">
        <v>418</v>
      </c>
      <c r="V2" s="386" t="s">
        <v>380</v>
      </c>
      <c r="W2" s="383" t="s">
        <v>419</v>
      </c>
      <c r="X2" s="386" t="s">
        <v>238</v>
      </c>
      <c r="Y2" s="386" t="s">
        <v>45</v>
      </c>
      <c r="Z2" s="386" t="s">
        <v>239</v>
      </c>
      <c r="AA2" s="386" t="s">
        <v>46</v>
      </c>
      <c r="AB2" s="386" t="s">
        <v>240</v>
      </c>
      <c r="AC2" s="386" t="s">
        <v>34</v>
      </c>
      <c r="AD2" s="386" t="s">
        <v>242</v>
      </c>
      <c r="AE2" s="386" t="s">
        <v>241</v>
      </c>
      <c r="AF2" s="68" t="s">
        <v>198</v>
      </c>
      <c r="AG2" s="401" t="s">
        <v>244</v>
      </c>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row>
    <row r="3" spans="1:96" ht="6.75" customHeight="1">
      <c r="A3" s="384"/>
      <c r="B3" s="384"/>
      <c r="C3" s="385"/>
      <c r="D3" s="385"/>
      <c r="E3" s="385"/>
      <c r="F3" s="385"/>
      <c r="G3" s="385"/>
      <c r="H3" s="385"/>
      <c r="I3" s="385"/>
      <c r="J3" s="385"/>
      <c r="K3" s="384"/>
      <c r="L3" s="384"/>
      <c r="M3" s="385"/>
      <c r="N3" s="385"/>
      <c r="O3" s="385"/>
      <c r="P3" s="385"/>
      <c r="Q3" s="385"/>
      <c r="R3" s="385"/>
      <c r="S3" s="385"/>
      <c r="T3" s="385"/>
      <c r="U3" s="385"/>
      <c r="V3" s="385"/>
      <c r="W3" s="384"/>
      <c r="X3" s="384"/>
      <c r="Y3" s="384"/>
      <c r="Z3" s="384"/>
      <c r="AA3" s="384"/>
      <c r="AB3" s="384"/>
      <c r="AC3" s="384"/>
      <c r="AD3" s="385"/>
      <c r="AE3" s="385"/>
      <c r="AF3" s="395"/>
      <c r="AG3" s="437"/>
      <c r="AH3" s="78"/>
      <c r="AI3" s="78"/>
      <c r="AJ3" s="78"/>
      <c r="AK3" s="2"/>
      <c r="AL3" s="78"/>
      <c r="AM3" s="78"/>
      <c r="AN3" s="78"/>
      <c r="AO3" s="78"/>
      <c r="AP3" s="78"/>
      <c r="AQ3" s="2"/>
      <c r="AR3" s="78"/>
      <c r="AS3" s="78"/>
      <c r="AT3" s="78"/>
      <c r="AU3" s="78"/>
      <c r="AV3" s="78"/>
      <c r="AW3" s="2"/>
      <c r="AX3" s="78"/>
      <c r="AY3" s="78"/>
      <c r="AZ3" s="78"/>
      <c r="BA3" s="78"/>
      <c r="BB3" s="78"/>
      <c r="BC3" s="2"/>
      <c r="BD3" s="78"/>
      <c r="BE3" s="78"/>
      <c r="BF3" s="78"/>
      <c r="BG3" s="78"/>
      <c r="BH3" s="78"/>
      <c r="BI3" s="2"/>
      <c r="BJ3" s="78"/>
      <c r="BK3" s="78"/>
      <c r="BL3" s="78"/>
      <c r="BM3" s="78"/>
      <c r="BN3" s="78"/>
      <c r="BO3" s="2"/>
      <c r="BP3" s="78"/>
      <c r="BQ3" s="78"/>
      <c r="BR3" s="78"/>
      <c r="BS3" s="78"/>
      <c r="BT3" s="78"/>
      <c r="BU3" s="2"/>
      <c r="BV3" s="78"/>
      <c r="BW3" s="78"/>
      <c r="BX3" s="78"/>
      <c r="BY3" s="78"/>
      <c r="BZ3" s="78"/>
      <c r="CA3" s="2"/>
      <c r="CB3" s="78"/>
      <c r="CC3" s="78"/>
      <c r="CD3" s="78"/>
      <c r="CE3" s="78"/>
      <c r="CF3" s="78"/>
      <c r="CG3" s="2"/>
      <c r="CH3" s="78"/>
      <c r="CI3" s="78"/>
      <c r="CJ3" s="78"/>
      <c r="CK3" s="78"/>
      <c r="CL3" s="78"/>
      <c r="CM3" s="2"/>
      <c r="CN3" s="78"/>
      <c r="CO3" s="78"/>
      <c r="CP3" s="78"/>
      <c r="CQ3" s="78"/>
      <c r="CR3" s="78"/>
    </row>
    <row r="4" spans="1:96" s="389" customFormat="1">
      <c r="A4" s="381" t="s">
        <v>175</v>
      </c>
      <c r="B4" s="381">
        <v>15</v>
      </c>
      <c r="C4" s="381">
        <f>SUM(B4*3.25)</f>
        <v>48.75</v>
      </c>
      <c r="D4" s="381">
        <v>11</v>
      </c>
      <c r="E4" s="381">
        <f>SUM(D4*3.25)</f>
        <v>35.75</v>
      </c>
      <c r="F4" s="381">
        <v>13</v>
      </c>
      <c r="G4" s="381">
        <f>SUM(F4*3.25)</f>
        <v>42.25</v>
      </c>
      <c r="H4" s="381">
        <v>11</v>
      </c>
      <c r="I4" s="381">
        <f>SUM(H4*3.25)</f>
        <v>35.75</v>
      </c>
      <c r="J4" s="381">
        <v>10</v>
      </c>
      <c r="K4" s="381">
        <f>SUM(J4*3.25)</f>
        <v>32.5</v>
      </c>
      <c r="L4" s="64">
        <v>8</v>
      </c>
      <c r="M4" s="381">
        <f>SUM(L4*3.25)</f>
        <v>26</v>
      </c>
      <c r="N4" s="381">
        <v>13</v>
      </c>
      <c r="O4" s="381">
        <f>SUM(N4*3.25)</f>
        <v>42.25</v>
      </c>
      <c r="P4" s="381">
        <v>13</v>
      </c>
      <c r="Q4" s="381">
        <f>SUM(P4*3.25)</f>
        <v>42.25</v>
      </c>
      <c r="R4" s="381">
        <v>11</v>
      </c>
      <c r="S4" s="381">
        <f>SUM(R4*3.25)</f>
        <v>35.75</v>
      </c>
      <c r="T4" s="381">
        <v>15</v>
      </c>
      <c r="U4" s="381">
        <f>SUM(T4*3.25)</f>
        <v>48.75</v>
      </c>
      <c r="V4" s="381">
        <v>6</v>
      </c>
      <c r="W4" s="381">
        <f>SUM(V4*3.25)</f>
        <v>19.5</v>
      </c>
      <c r="X4" s="381"/>
      <c r="Y4" s="381"/>
      <c r="Z4" s="381"/>
      <c r="AA4" s="381"/>
      <c r="AB4" s="381"/>
      <c r="AC4" s="381"/>
      <c r="AD4" s="381">
        <f t="shared" ref="AD4:AD9" si="0">SUM(W4,U4,S4,Q4,O4,M4,K4,I4,G4,E4,C4)</f>
        <v>409.5</v>
      </c>
      <c r="AE4" s="381">
        <v>409.5</v>
      </c>
      <c r="AF4" s="436">
        <f>SUM(AE4-AD4)</f>
        <v>0</v>
      </c>
      <c r="AG4" s="437"/>
      <c r="AH4" s="78"/>
      <c r="AI4" s="387"/>
      <c r="AJ4" s="387"/>
      <c r="AK4" s="388"/>
      <c r="AL4" s="387"/>
      <c r="AM4" s="387"/>
      <c r="AN4" s="387"/>
      <c r="AO4" s="387"/>
      <c r="AP4" s="387"/>
      <c r="AQ4" s="388"/>
      <c r="AR4" s="387"/>
      <c r="AS4" s="387"/>
      <c r="AT4" s="387"/>
      <c r="AU4" s="387"/>
      <c r="AV4" s="387"/>
      <c r="AW4" s="388"/>
      <c r="AX4" s="387"/>
      <c r="AY4" s="387"/>
      <c r="AZ4" s="387"/>
      <c r="BA4" s="387"/>
      <c r="BB4" s="387"/>
      <c r="BC4" s="388"/>
      <c r="BD4" s="387"/>
      <c r="BE4" s="387"/>
      <c r="BF4" s="387"/>
      <c r="BG4" s="387"/>
      <c r="BH4" s="387"/>
      <c r="BI4" s="388"/>
      <c r="BJ4" s="387"/>
      <c r="BK4" s="387"/>
      <c r="BL4" s="387"/>
      <c r="BM4" s="387"/>
      <c r="BN4" s="387"/>
      <c r="BO4" s="388"/>
      <c r="BP4" s="387"/>
      <c r="BQ4" s="387"/>
      <c r="BR4" s="387"/>
      <c r="BS4" s="387"/>
      <c r="BT4" s="387"/>
      <c r="BU4" s="388"/>
      <c r="BV4" s="387"/>
      <c r="BW4" s="387"/>
      <c r="BX4" s="387"/>
      <c r="BY4" s="387"/>
      <c r="BZ4" s="387"/>
      <c r="CA4" s="388"/>
      <c r="CB4" s="387"/>
      <c r="CC4" s="387"/>
      <c r="CD4" s="387"/>
      <c r="CE4" s="387"/>
      <c r="CF4" s="387"/>
      <c r="CG4" s="388"/>
      <c r="CH4" s="387"/>
      <c r="CI4" s="387"/>
      <c r="CJ4" s="387"/>
      <c r="CK4" s="387"/>
      <c r="CL4" s="387"/>
      <c r="CM4" s="388"/>
      <c r="CN4" s="387"/>
      <c r="CO4" s="387"/>
      <c r="CP4" s="387"/>
      <c r="CQ4" s="387"/>
      <c r="CR4" s="387"/>
    </row>
    <row r="5" spans="1:96" s="392" customFormat="1">
      <c r="A5" s="381" t="s">
        <v>176</v>
      </c>
      <c r="B5" s="381">
        <v>13</v>
      </c>
      <c r="C5" s="381">
        <f t="shared" ref="C5:C32" si="1">SUM(B5*3.25)</f>
        <v>42.25</v>
      </c>
      <c r="D5" s="381">
        <v>11</v>
      </c>
      <c r="E5" s="381">
        <f t="shared" ref="E5:E32" si="2">SUM(D5*3.25)</f>
        <v>35.75</v>
      </c>
      <c r="F5" s="381">
        <v>12</v>
      </c>
      <c r="G5" s="381">
        <f t="shared" ref="G5:G39" si="3">SUM(F5*3.25)</f>
        <v>39</v>
      </c>
      <c r="H5" s="381">
        <v>12</v>
      </c>
      <c r="I5" s="381">
        <f t="shared" ref="I5:I39" si="4">SUM(H5*3.25)</f>
        <v>39</v>
      </c>
      <c r="J5" s="381">
        <v>10</v>
      </c>
      <c r="K5" s="381">
        <f t="shared" ref="K5:K39" si="5">SUM(J5*3.25)</f>
        <v>32.5</v>
      </c>
      <c r="L5" s="64">
        <v>9</v>
      </c>
      <c r="M5" s="381">
        <f t="shared" ref="M5:M39" si="6">SUM(L5*3.25)</f>
        <v>29.25</v>
      </c>
      <c r="N5" s="381">
        <v>13</v>
      </c>
      <c r="O5" s="381">
        <f t="shared" ref="O5:O39" si="7">SUM(N5*3.25)</f>
        <v>42.25</v>
      </c>
      <c r="P5" s="381">
        <v>14</v>
      </c>
      <c r="Q5" s="381">
        <f t="shared" ref="Q5:Q40" si="8">SUM(P5*3.25)</f>
        <v>45.5</v>
      </c>
      <c r="R5" s="381">
        <v>12</v>
      </c>
      <c r="S5" s="381">
        <f t="shared" ref="S5:S40" si="9">SUM(R5*3.25)</f>
        <v>39</v>
      </c>
      <c r="T5" s="381">
        <v>13</v>
      </c>
      <c r="U5" s="381">
        <f t="shared" ref="U5:U40" si="10">SUM(T5*3.25)</f>
        <v>42.25</v>
      </c>
      <c r="V5" s="381">
        <v>8</v>
      </c>
      <c r="W5" s="381">
        <f>SUM(V5*3.25)</f>
        <v>26</v>
      </c>
      <c r="X5" s="381"/>
      <c r="Y5" s="381"/>
      <c r="Z5" s="381"/>
      <c r="AA5" s="381"/>
      <c r="AB5" s="381"/>
      <c r="AC5" s="381"/>
      <c r="AD5" s="381">
        <f t="shared" si="0"/>
        <v>412.75</v>
      </c>
      <c r="AE5" s="381">
        <v>409.5</v>
      </c>
      <c r="AF5" s="436">
        <f t="shared" ref="AF5:AF9" si="11">SUM(AE5-AD5)</f>
        <v>-3.25</v>
      </c>
      <c r="AG5" s="437"/>
      <c r="AH5" s="78"/>
      <c r="AI5" s="390"/>
      <c r="AJ5" s="390"/>
      <c r="AK5" s="391"/>
      <c r="AL5" s="390"/>
      <c r="AM5" s="390"/>
      <c r="AN5" s="390"/>
      <c r="AO5" s="390"/>
      <c r="AP5" s="390"/>
      <c r="AQ5" s="391"/>
      <c r="AR5" s="390"/>
      <c r="AS5" s="390"/>
      <c r="AT5" s="390"/>
      <c r="AU5" s="390"/>
      <c r="AV5" s="390"/>
      <c r="AW5" s="391"/>
      <c r="AX5" s="390"/>
      <c r="AY5" s="390"/>
      <c r="AZ5" s="390"/>
      <c r="BA5" s="390"/>
      <c r="BB5" s="390"/>
      <c r="BC5" s="391"/>
      <c r="BD5" s="390"/>
      <c r="BE5" s="390"/>
      <c r="BF5" s="390"/>
      <c r="BG5" s="390"/>
      <c r="BH5" s="390"/>
      <c r="BI5" s="391"/>
      <c r="BJ5" s="390"/>
      <c r="BK5" s="390"/>
      <c r="BL5" s="390"/>
      <c r="BM5" s="390"/>
      <c r="BN5" s="390"/>
      <c r="BO5" s="391"/>
      <c r="BP5" s="390"/>
      <c r="BQ5" s="390"/>
      <c r="BR5" s="390"/>
      <c r="BS5" s="390"/>
      <c r="BT5" s="390"/>
      <c r="BU5" s="391"/>
      <c r="BV5" s="390"/>
      <c r="BW5" s="390"/>
      <c r="BX5" s="390"/>
      <c r="BY5" s="390"/>
      <c r="BZ5" s="390"/>
      <c r="CA5" s="391"/>
      <c r="CB5" s="390"/>
      <c r="CC5" s="390"/>
      <c r="CD5" s="390"/>
      <c r="CE5" s="390"/>
      <c r="CF5" s="390"/>
      <c r="CG5" s="391"/>
      <c r="CH5" s="390"/>
      <c r="CI5" s="390"/>
      <c r="CJ5" s="390"/>
      <c r="CK5" s="390"/>
      <c r="CL5" s="390"/>
      <c r="CM5" s="391"/>
      <c r="CN5" s="390"/>
      <c r="CO5" s="390"/>
      <c r="CP5" s="390"/>
      <c r="CQ5" s="390"/>
      <c r="CR5" s="390"/>
    </row>
    <row r="6" spans="1:96">
      <c r="A6" s="381" t="s">
        <v>43</v>
      </c>
      <c r="B6" s="381">
        <v>10</v>
      </c>
      <c r="C6" s="381">
        <f t="shared" si="1"/>
        <v>32.5</v>
      </c>
      <c r="D6" s="381">
        <v>9</v>
      </c>
      <c r="E6" s="381">
        <f t="shared" si="2"/>
        <v>29.25</v>
      </c>
      <c r="F6" s="381">
        <v>7</v>
      </c>
      <c r="G6" s="381">
        <f t="shared" si="3"/>
        <v>22.75</v>
      </c>
      <c r="H6" s="381">
        <v>8</v>
      </c>
      <c r="I6" s="381">
        <f t="shared" si="4"/>
        <v>26</v>
      </c>
      <c r="J6" s="381">
        <v>7</v>
      </c>
      <c r="K6" s="381">
        <f t="shared" si="5"/>
        <v>22.75</v>
      </c>
      <c r="L6" s="64">
        <v>6</v>
      </c>
      <c r="M6" s="381">
        <f t="shared" si="6"/>
        <v>19.5</v>
      </c>
      <c r="N6" s="381">
        <v>9</v>
      </c>
      <c r="O6" s="381">
        <f t="shared" si="7"/>
        <v>29.25</v>
      </c>
      <c r="P6" s="381">
        <v>9</v>
      </c>
      <c r="Q6" s="381">
        <f t="shared" si="8"/>
        <v>29.25</v>
      </c>
      <c r="R6" s="381">
        <v>7</v>
      </c>
      <c r="S6" s="381">
        <f t="shared" si="9"/>
        <v>22.75</v>
      </c>
      <c r="T6" s="381">
        <v>9</v>
      </c>
      <c r="U6" s="381">
        <f t="shared" si="10"/>
        <v>29.25</v>
      </c>
      <c r="V6" s="381">
        <v>4</v>
      </c>
      <c r="W6" s="381">
        <f>SUM(V6*3.25)</f>
        <v>13</v>
      </c>
      <c r="X6" s="381"/>
      <c r="Y6" s="381"/>
      <c r="Z6" s="381"/>
      <c r="AA6" s="381"/>
      <c r="AB6" s="381"/>
      <c r="AC6" s="381"/>
      <c r="AD6" s="381">
        <f t="shared" si="0"/>
        <v>276.25</v>
      </c>
      <c r="AE6" s="381">
        <v>273</v>
      </c>
      <c r="AF6" s="436">
        <f t="shared" si="11"/>
        <v>-3.25</v>
      </c>
      <c r="AG6" s="437"/>
      <c r="AH6" s="78"/>
      <c r="AI6" s="78"/>
      <c r="AJ6" s="78"/>
      <c r="AK6" s="2"/>
      <c r="AL6" s="78"/>
      <c r="AM6" s="78"/>
      <c r="AN6" s="78"/>
      <c r="AO6" s="78"/>
      <c r="AP6" s="78"/>
      <c r="AQ6" s="2"/>
      <c r="AR6" s="78"/>
      <c r="AS6" s="78"/>
      <c r="AT6" s="78"/>
      <c r="AU6" s="78"/>
      <c r="AV6" s="78"/>
      <c r="AW6" s="2"/>
      <c r="AX6" s="78"/>
      <c r="AY6" s="78"/>
      <c r="AZ6" s="78"/>
      <c r="BA6" s="78"/>
      <c r="BB6" s="78"/>
      <c r="BC6" s="2"/>
      <c r="BD6" s="78"/>
      <c r="BE6" s="78"/>
      <c r="BF6" s="78"/>
      <c r="BG6" s="78"/>
      <c r="BH6" s="78"/>
      <c r="BI6" s="2"/>
      <c r="BJ6" s="78"/>
      <c r="BK6" s="78"/>
      <c r="BL6" s="78"/>
      <c r="BM6" s="78"/>
      <c r="BN6" s="78"/>
      <c r="BO6" s="2"/>
      <c r="BP6" s="78"/>
      <c r="BQ6" s="78"/>
      <c r="BR6" s="78"/>
      <c r="BS6" s="78"/>
      <c r="BT6" s="78"/>
      <c r="BU6" s="2"/>
      <c r="BV6" s="78"/>
      <c r="BW6" s="78"/>
      <c r="BX6" s="78"/>
      <c r="BY6" s="78"/>
      <c r="BZ6" s="78"/>
      <c r="CA6" s="2"/>
      <c r="CB6" s="78"/>
      <c r="CC6" s="78"/>
      <c r="CD6" s="78"/>
      <c r="CE6" s="78"/>
      <c r="CF6" s="78"/>
      <c r="CG6" s="2"/>
      <c r="CH6" s="78"/>
      <c r="CI6" s="78"/>
      <c r="CJ6" s="78"/>
      <c r="CK6" s="78"/>
      <c r="CL6" s="78"/>
      <c r="CM6" s="2"/>
      <c r="CN6" s="78"/>
      <c r="CO6" s="78"/>
      <c r="CP6" s="78"/>
      <c r="CQ6" s="78"/>
      <c r="CR6" s="78"/>
    </row>
    <row r="7" spans="1:96">
      <c r="A7" s="381" t="s">
        <v>177</v>
      </c>
      <c r="B7" s="381">
        <v>10</v>
      </c>
      <c r="C7" s="381">
        <f t="shared" si="1"/>
        <v>32.5</v>
      </c>
      <c r="D7" s="381">
        <v>7</v>
      </c>
      <c r="E7" s="381">
        <f t="shared" si="2"/>
        <v>22.75</v>
      </c>
      <c r="F7" s="381">
        <v>8</v>
      </c>
      <c r="G7" s="381">
        <f t="shared" si="3"/>
        <v>26</v>
      </c>
      <c r="H7" s="381">
        <v>0</v>
      </c>
      <c r="I7" s="381">
        <f t="shared" si="4"/>
        <v>0</v>
      </c>
      <c r="J7" s="381">
        <v>0</v>
      </c>
      <c r="K7" s="381">
        <f t="shared" si="5"/>
        <v>0</v>
      </c>
      <c r="L7" s="64">
        <v>0</v>
      </c>
      <c r="M7" s="381">
        <f>SUM(L7*3.25)</f>
        <v>0</v>
      </c>
      <c r="N7" s="381">
        <v>0</v>
      </c>
      <c r="O7" s="381">
        <f>SUM(N7*3.25)</f>
        <v>0</v>
      </c>
      <c r="P7" s="381">
        <v>4</v>
      </c>
      <c r="Q7" s="381">
        <f t="shared" si="8"/>
        <v>13</v>
      </c>
      <c r="R7" s="381">
        <v>8</v>
      </c>
      <c r="S7" s="381">
        <f t="shared" si="9"/>
        <v>26</v>
      </c>
      <c r="T7" s="381">
        <v>9</v>
      </c>
      <c r="U7" s="381">
        <f t="shared" si="10"/>
        <v>29.25</v>
      </c>
      <c r="V7" s="381">
        <v>3</v>
      </c>
      <c r="W7" s="381">
        <f>SUM(V7*3.25)</f>
        <v>9.75</v>
      </c>
      <c r="X7" s="381"/>
      <c r="Y7" s="381"/>
      <c r="Z7" s="381"/>
      <c r="AA7" s="381"/>
      <c r="AB7" s="381"/>
      <c r="AC7" s="381"/>
      <c r="AD7" s="381">
        <f t="shared" si="0"/>
        <v>159.25</v>
      </c>
      <c r="AE7" s="381">
        <v>260</v>
      </c>
      <c r="AF7" s="436">
        <f t="shared" si="11"/>
        <v>100.75</v>
      </c>
      <c r="AG7" s="437"/>
      <c r="AH7" s="78"/>
      <c r="AI7" s="78"/>
      <c r="AJ7" s="78"/>
      <c r="AK7" s="2"/>
      <c r="AL7" s="78"/>
      <c r="AM7" s="78"/>
      <c r="AN7" s="78"/>
      <c r="AO7" s="78"/>
      <c r="AP7" s="78"/>
      <c r="AQ7" s="2"/>
      <c r="AR7" s="78"/>
      <c r="AS7" s="78"/>
      <c r="AT7" s="78"/>
      <c r="AU7" s="78"/>
      <c r="AV7" s="78"/>
      <c r="AW7" s="2"/>
      <c r="AX7" s="78"/>
      <c r="AY7" s="78"/>
      <c r="AZ7" s="78"/>
      <c r="BA7" s="78"/>
      <c r="BB7" s="78"/>
      <c r="BC7" s="2"/>
      <c r="BD7" s="78"/>
      <c r="BE7" s="78"/>
      <c r="BF7" s="78"/>
      <c r="BG7" s="78"/>
      <c r="BH7" s="78"/>
      <c r="BI7" s="2"/>
      <c r="BJ7" s="78"/>
      <c r="BK7" s="78"/>
      <c r="BL7" s="78"/>
      <c r="BM7" s="78"/>
      <c r="BN7" s="78"/>
      <c r="BO7" s="2"/>
      <c r="BP7" s="78"/>
      <c r="BQ7" s="78"/>
      <c r="BR7" s="78"/>
      <c r="BS7" s="78"/>
      <c r="BT7" s="78"/>
      <c r="BU7" s="2"/>
      <c r="BV7" s="78"/>
      <c r="BW7" s="78"/>
      <c r="BX7" s="78"/>
      <c r="BY7" s="78"/>
      <c r="BZ7" s="78"/>
      <c r="CA7" s="2"/>
      <c r="CB7" s="78"/>
      <c r="CC7" s="78"/>
      <c r="CD7" s="78"/>
      <c r="CE7" s="78"/>
      <c r="CF7" s="78"/>
      <c r="CG7" s="2"/>
      <c r="CH7" s="78"/>
      <c r="CI7" s="78"/>
      <c r="CJ7" s="78"/>
      <c r="CK7" s="78"/>
      <c r="CL7" s="78"/>
      <c r="CM7" s="2"/>
      <c r="CN7" s="78"/>
      <c r="CO7" s="78"/>
      <c r="CP7" s="78"/>
      <c r="CQ7" s="78"/>
      <c r="CR7" s="78"/>
    </row>
    <row r="8" spans="1:96" s="429" customFormat="1">
      <c r="A8" s="398" t="s">
        <v>236</v>
      </c>
      <c r="B8" s="398">
        <v>0</v>
      </c>
      <c r="C8" s="398">
        <f t="shared" si="1"/>
        <v>0</v>
      </c>
      <c r="D8" s="398">
        <v>0</v>
      </c>
      <c r="E8" s="398">
        <f t="shared" si="2"/>
        <v>0</v>
      </c>
      <c r="F8" s="398">
        <v>0</v>
      </c>
      <c r="G8" s="398">
        <f t="shared" si="3"/>
        <v>0</v>
      </c>
      <c r="H8" s="398"/>
      <c r="I8" s="398">
        <f t="shared" si="4"/>
        <v>0</v>
      </c>
      <c r="J8" s="398"/>
      <c r="K8" s="398">
        <f t="shared" si="5"/>
        <v>0</v>
      </c>
      <c r="L8" s="397"/>
      <c r="M8" s="398">
        <f t="shared" si="6"/>
        <v>0</v>
      </c>
      <c r="N8" s="398"/>
      <c r="O8" s="398">
        <f t="shared" si="7"/>
        <v>0</v>
      </c>
      <c r="P8" s="398"/>
      <c r="Q8" s="398">
        <f t="shared" si="8"/>
        <v>0</v>
      </c>
      <c r="R8" s="398"/>
      <c r="S8" s="398">
        <f t="shared" si="9"/>
        <v>0</v>
      </c>
      <c r="T8" s="398"/>
      <c r="U8" s="398">
        <f t="shared" si="10"/>
        <v>0</v>
      </c>
      <c r="V8" s="398"/>
      <c r="W8" s="398">
        <f>SUM(V8*3.25)</f>
        <v>0</v>
      </c>
      <c r="X8" s="398"/>
      <c r="Y8" s="398"/>
      <c r="Z8" s="398"/>
      <c r="AA8" s="398"/>
      <c r="AB8" s="398"/>
      <c r="AC8" s="398"/>
      <c r="AD8" s="398">
        <f t="shared" si="0"/>
        <v>0</v>
      </c>
      <c r="AE8" s="398"/>
      <c r="AF8" s="436">
        <f t="shared" si="11"/>
        <v>0</v>
      </c>
      <c r="AG8" s="437"/>
      <c r="AH8" s="78"/>
      <c r="AI8" s="427"/>
      <c r="AJ8" s="427"/>
      <c r="AK8" s="428"/>
      <c r="AL8" s="427"/>
      <c r="AM8" s="427"/>
      <c r="AN8" s="427"/>
      <c r="AO8" s="427"/>
      <c r="AP8" s="427"/>
      <c r="AQ8" s="428"/>
      <c r="AR8" s="427"/>
      <c r="AS8" s="427"/>
      <c r="AT8" s="427"/>
      <c r="AU8" s="427"/>
      <c r="AV8" s="427"/>
      <c r="AW8" s="428"/>
      <c r="AX8" s="427"/>
      <c r="AY8" s="427"/>
      <c r="AZ8" s="427"/>
      <c r="BA8" s="427"/>
      <c r="BB8" s="427"/>
      <c r="BC8" s="428"/>
      <c r="BD8" s="427"/>
      <c r="BE8" s="427"/>
      <c r="BF8" s="427"/>
      <c r="BG8" s="427"/>
      <c r="BH8" s="427"/>
      <c r="BI8" s="428"/>
      <c r="BJ8" s="427"/>
      <c r="BK8" s="427"/>
      <c r="BL8" s="427"/>
      <c r="BM8" s="427"/>
      <c r="BN8" s="427"/>
      <c r="BO8" s="428"/>
      <c r="BP8" s="427"/>
      <c r="BQ8" s="427"/>
      <c r="BR8" s="427"/>
      <c r="BS8" s="427"/>
      <c r="BT8" s="427"/>
      <c r="BU8" s="428"/>
      <c r="BV8" s="427"/>
      <c r="BW8" s="427"/>
      <c r="BX8" s="427"/>
      <c r="BY8" s="427"/>
      <c r="BZ8" s="427"/>
      <c r="CA8" s="428"/>
      <c r="CB8" s="427"/>
      <c r="CC8" s="427"/>
      <c r="CD8" s="427"/>
      <c r="CE8" s="427"/>
      <c r="CF8" s="427"/>
      <c r="CG8" s="428"/>
      <c r="CH8" s="427"/>
      <c r="CI8" s="427"/>
      <c r="CJ8" s="427"/>
      <c r="CK8" s="427"/>
      <c r="CL8" s="427"/>
      <c r="CM8" s="428"/>
      <c r="CN8" s="427"/>
      <c r="CO8" s="427"/>
      <c r="CP8" s="427"/>
      <c r="CQ8" s="427"/>
      <c r="CR8" s="427"/>
    </row>
    <row r="9" spans="1:96" s="1" customFormat="1">
      <c r="A9" s="381" t="s">
        <v>31</v>
      </c>
      <c r="B9" s="381"/>
      <c r="C9" s="381">
        <v>11.25</v>
      </c>
      <c r="D9" s="381"/>
      <c r="E9" s="381">
        <f t="shared" si="2"/>
        <v>0</v>
      </c>
      <c r="F9" s="381"/>
      <c r="G9" s="381">
        <f t="shared" si="3"/>
        <v>0</v>
      </c>
      <c r="H9" s="381"/>
      <c r="I9" s="381">
        <v>20</v>
      </c>
      <c r="J9" s="381"/>
      <c r="K9" s="381">
        <v>50</v>
      </c>
      <c r="L9" s="64"/>
      <c r="M9" s="381">
        <v>25</v>
      </c>
      <c r="N9" s="381"/>
      <c r="O9" s="381">
        <v>25</v>
      </c>
      <c r="P9" s="381"/>
      <c r="Q9" s="381">
        <v>20</v>
      </c>
      <c r="R9" s="381"/>
      <c r="S9" s="381">
        <v>20</v>
      </c>
      <c r="T9" s="381"/>
      <c r="U9" s="381">
        <v>20</v>
      </c>
      <c r="V9" s="381"/>
      <c r="W9" s="381">
        <v>10</v>
      </c>
      <c r="X9" s="381"/>
      <c r="Y9" s="381"/>
      <c r="Z9" s="381"/>
      <c r="AA9" s="381"/>
      <c r="AB9" s="381"/>
      <c r="AC9" s="381"/>
      <c r="AD9" s="381">
        <f t="shared" si="0"/>
        <v>201.25</v>
      </c>
      <c r="AE9" s="381">
        <v>200</v>
      </c>
      <c r="AF9" s="436">
        <f t="shared" si="11"/>
        <v>-1.25</v>
      </c>
      <c r="AG9" s="437"/>
      <c r="AH9" s="78"/>
      <c r="AI9" s="393"/>
      <c r="AJ9" s="393"/>
      <c r="AK9" s="394"/>
      <c r="AL9" s="393"/>
      <c r="AM9" s="393"/>
      <c r="AN9" s="393"/>
      <c r="AO9" s="393"/>
      <c r="AP9" s="393"/>
      <c r="AQ9" s="394"/>
      <c r="AR9" s="393"/>
      <c r="AS9" s="393"/>
      <c r="AT9" s="393"/>
      <c r="AU9" s="393"/>
      <c r="AV9" s="393"/>
      <c r="AW9" s="394"/>
      <c r="AX9" s="393"/>
      <c r="AY9" s="393"/>
      <c r="AZ9" s="393"/>
      <c r="BA9" s="393"/>
      <c r="BB9" s="393"/>
      <c r="BC9" s="394"/>
      <c r="BD9" s="393"/>
      <c r="BE9" s="393"/>
      <c r="BF9" s="393"/>
      <c r="BG9" s="393"/>
      <c r="BH9" s="393"/>
      <c r="BI9" s="394"/>
      <c r="BJ9" s="393"/>
      <c r="BK9" s="393"/>
      <c r="BL9" s="393"/>
      <c r="BM9" s="393"/>
      <c r="BN9" s="393"/>
      <c r="BO9" s="394"/>
      <c r="BP9" s="393"/>
      <c r="BQ9" s="393"/>
      <c r="BR9" s="393"/>
      <c r="BS9" s="393"/>
      <c r="BT9" s="393"/>
      <c r="BU9" s="394"/>
      <c r="BV9" s="393"/>
      <c r="BW9" s="393"/>
      <c r="BX9" s="393"/>
      <c r="BY9" s="393"/>
      <c r="BZ9" s="393"/>
      <c r="CA9" s="394"/>
      <c r="CB9" s="393"/>
      <c r="CC9" s="393"/>
      <c r="CD9" s="393"/>
      <c r="CE9" s="393"/>
      <c r="CF9" s="393"/>
      <c r="CG9" s="394"/>
      <c r="CH9" s="393"/>
      <c r="CI9" s="393"/>
      <c r="CJ9" s="393"/>
      <c r="CK9" s="393"/>
      <c r="CL9" s="393"/>
      <c r="CM9" s="394"/>
      <c r="CN9" s="393"/>
      <c r="CO9" s="393"/>
      <c r="CP9" s="393"/>
      <c r="CQ9" s="393"/>
      <c r="CR9" s="393"/>
    </row>
    <row r="10" spans="1:96" s="1" customFormat="1">
      <c r="A10" s="381" t="s">
        <v>369</v>
      </c>
      <c r="B10" s="381"/>
      <c r="C10" s="381"/>
      <c r="D10" s="381"/>
      <c r="E10" s="381"/>
      <c r="F10" s="381"/>
      <c r="G10" s="381"/>
      <c r="H10" s="381"/>
      <c r="I10" s="381"/>
      <c r="J10" s="381"/>
      <c r="K10" s="381"/>
      <c r="L10" s="64"/>
      <c r="M10" s="381"/>
      <c r="N10" s="381"/>
      <c r="O10" s="381"/>
      <c r="P10" s="381"/>
      <c r="Q10" s="381"/>
      <c r="R10" s="381"/>
      <c r="S10" s="381"/>
      <c r="T10" s="381"/>
      <c r="U10" s="381">
        <v>30</v>
      </c>
      <c r="V10" s="381"/>
      <c r="W10" s="381">
        <v>51</v>
      </c>
      <c r="X10" s="381"/>
      <c r="Y10" s="381"/>
      <c r="Z10" s="381"/>
      <c r="AA10" s="381"/>
      <c r="AB10" s="381"/>
      <c r="AC10" s="381"/>
      <c r="AD10" s="381">
        <f>SUM(C10,E10,G10,I10,K10,M10,O10,Q10,S10,U10,W10)</f>
        <v>81</v>
      </c>
      <c r="AE10" s="381"/>
      <c r="AF10" s="78"/>
      <c r="AG10" s="437"/>
      <c r="AH10" s="78"/>
      <c r="AI10" s="393"/>
      <c r="AJ10" s="393"/>
      <c r="AK10" s="394"/>
      <c r="AL10" s="393"/>
      <c r="AM10" s="393"/>
      <c r="AN10" s="393"/>
      <c r="AO10" s="393"/>
      <c r="AP10" s="393"/>
      <c r="AQ10" s="394"/>
      <c r="AR10" s="393"/>
      <c r="AS10" s="393"/>
      <c r="AT10" s="393"/>
      <c r="AU10" s="393"/>
      <c r="AV10" s="393"/>
      <c r="AW10" s="394"/>
      <c r="AX10" s="393"/>
      <c r="AY10" s="393"/>
      <c r="AZ10" s="393"/>
      <c r="BA10" s="393"/>
      <c r="BB10" s="393"/>
      <c r="BC10" s="394"/>
      <c r="BD10" s="393"/>
      <c r="BE10" s="393"/>
      <c r="BF10" s="393"/>
      <c r="BG10" s="393"/>
      <c r="BH10" s="393"/>
      <c r="BI10" s="394"/>
      <c r="BJ10" s="393"/>
      <c r="BK10" s="393"/>
      <c r="BL10" s="393"/>
      <c r="BM10" s="393"/>
      <c r="BN10" s="393"/>
      <c r="BO10" s="394"/>
      <c r="BP10" s="393"/>
      <c r="BQ10" s="393"/>
      <c r="BR10" s="393"/>
      <c r="BS10" s="393"/>
      <c r="BT10" s="393"/>
      <c r="BU10" s="394"/>
      <c r="BV10" s="393"/>
      <c r="BW10" s="393"/>
      <c r="BX10" s="393"/>
      <c r="BY10" s="393"/>
      <c r="BZ10" s="393"/>
      <c r="CA10" s="394"/>
      <c r="CB10" s="393"/>
      <c r="CC10" s="393"/>
      <c r="CD10" s="393"/>
      <c r="CE10" s="393"/>
      <c r="CF10" s="393"/>
      <c r="CG10" s="394"/>
      <c r="CH10" s="393"/>
      <c r="CI10" s="393"/>
      <c r="CJ10" s="393"/>
      <c r="CK10" s="393"/>
      <c r="CL10" s="393"/>
      <c r="CM10" s="394"/>
      <c r="CN10" s="393"/>
      <c r="CO10" s="393"/>
      <c r="CP10" s="393"/>
      <c r="CQ10" s="393"/>
      <c r="CR10" s="393"/>
    </row>
    <row r="11" spans="1:96">
      <c r="A11" s="381" t="s">
        <v>373</v>
      </c>
      <c r="B11" s="381"/>
      <c r="C11" s="381">
        <f>SUM(C4:C9)</f>
        <v>167.25</v>
      </c>
      <c r="D11" s="381"/>
      <c r="E11" s="381">
        <f>SUM(E4:E9)</f>
        <v>123.5</v>
      </c>
      <c r="F11" s="381"/>
      <c r="G11" s="381">
        <f>SUM(G4:G9)</f>
        <v>130</v>
      </c>
      <c r="H11" s="381"/>
      <c r="I11" s="381">
        <f>SUM(I4:I9)</f>
        <v>120.75</v>
      </c>
      <c r="J11" s="381"/>
      <c r="K11" s="381">
        <f>SUM(K4:K9)</f>
        <v>137.75</v>
      </c>
      <c r="L11" s="64"/>
      <c r="M11" s="381">
        <f>SUM(M4:M9)</f>
        <v>99.75</v>
      </c>
      <c r="N11" s="381"/>
      <c r="O11" s="381">
        <f>SUM(O4:O9)</f>
        <v>138.75</v>
      </c>
      <c r="P11" s="64"/>
      <c r="Q11" s="381">
        <f>SUM(Q4:Q9)</f>
        <v>150</v>
      </c>
      <c r="R11" s="381"/>
      <c r="S11" s="381">
        <f>SUM(S4:S9)</f>
        <v>143.5</v>
      </c>
      <c r="T11" s="64"/>
      <c r="U11" s="381">
        <f>SUM(U4:U9)</f>
        <v>169.5</v>
      </c>
      <c r="V11" s="381"/>
      <c r="W11" s="381">
        <f>SUM(W4:W9)</f>
        <v>78.25</v>
      </c>
      <c r="X11" s="381"/>
      <c r="Y11" s="381"/>
      <c r="Z11" s="381"/>
      <c r="AA11" s="381"/>
      <c r="AB11" s="381"/>
      <c r="AC11" s="381"/>
      <c r="AD11" s="381"/>
      <c r="AE11" s="381"/>
      <c r="AF11" s="396">
        <f>SUM(AF4:AF9)</f>
        <v>93</v>
      </c>
      <c r="AG11" s="440"/>
      <c r="AH11" s="78"/>
      <c r="AI11" s="2"/>
      <c r="AJ11" s="78"/>
      <c r="AK11" s="2"/>
      <c r="AL11" s="78"/>
      <c r="AM11" s="2"/>
      <c r="AN11" s="78"/>
      <c r="AO11" s="2"/>
      <c r="AP11" s="78"/>
      <c r="AQ11" s="2"/>
      <c r="AR11" s="78"/>
      <c r="AS11" s="2"/>
      <c r="AT11" s="78"/>
      <c r="AU11" s="2"/>
      <c r="AV11" s="78"/>
      <c r="AW11" s="2"/>
      <c r="AX11" s="78"/>
      <c r="AY11" s="2"/>
      <c r="AZ11" s="78"/>
      <c r="BA11" s="2"/>
      <c r="BB11" s="78"/>
      <c r="BC11" s="2"/>
      <c r="BD11" s="78"/>
      <c r="BE11" s="2"/>
      <c r="BF11" s="78"/>
      <c r="BG11" s="2"/>
      <c r="BH11" s="78"/>
      <c r="BI11" s="2"/>
      <c r="BJ11" s="78"/>
      <c r="BK11" s="2"/>
      <c r="BL11" s="78"/>
      <c r="BM11" s="2"/>
      <c r="BN11" s="78"/>
      <c r="BO11" s="2"/>
      <c r="BP11" s="78"/>
      <c r="BQ11" s="2"/>
      <c r="BR11" s="78"/>
      <c r="BS11" s="2"/>
      <c r="BT11" s="78"/>
      <c r="BU11" s="2"/>
      <c r="BV11" s="78"/>
      <c r="BW11" s="2"/>
      <c r="BX11" s="78"/>
      <c r="BY11" s="2"/>
      <c r="BZ11" s="78"/>
      <c r="CA11" s="2"/>
      <c r="CB11" s="78"/>
      <c r="CC11" s="2"/>
      <c r="CD11" s="78"/>
      <c r="CE11" s="2"/>
      <c r="CF11" s="78"/>
      <c r="CG11" s="2"/>
      <c r="CH11" s="78"/>
      <c r="CI11" s="2"/>
      <c r="CJ11" s="78"/>
      <c r="CK11" s="2"/>
      <c r="CL11" s="78"/>
      <c r="CM11" s="2"/>
      <c r="CN11" s="78"/>
      <c r="CO11" s="2"/>
      <c r="CP11" s="78"/>
      <c r="CQ11" s="2"/>
      <c r="CR11" s="78"/>
    </row>
    <row r="12" spans="1:96" s="60" customFormat="1" ht="6" customHeight="1">
      <c r="A12" s="385"/>
      <c r="B12" s="385"/>
      <c r="C12" s="385"/>
      <c r="D12" s="385"/>
      <c r="E12" s="385"/>
      <c r="F12" s="385"/>
      <c r="G12" s="385"/>
      <c r="H12" s="385"/>
      <c r="I12" s="385"/>
      <c r="J12" s="385"/>
      <c r="K12" s="385"/>
      <c r="L12" s="384"/>
      <c r="M12" s="385"/>
      <c r="N12" s="385"/>
      <c r="O12" s="385"/>
      <c r="P12" s="384"/>
      <c r="Q12" s="385"/>
      <c r="R12" s="385"/>
      <c r="S12" s="385"/>
      <c r="T12" s="384"/>
      <c r="U12" s="385"/>
      <c r="V12" s="385"/>
      <c r="W12" s="385"/>
      <c r="X12" s="385"/>
      <c r="Y12" s="385"/>
      <c r="Z12" s="385"/>
      <c r="AA12" s="385"/>
      <c r="AB12" s="385"/>
      <c r="AC12" s="385"/>
      <c r="AD12" s="385"/>
      <c r="AE12" s="385"/>
      <c r="AF12" s="395"/>
      <c r="AG12" s="438"/>
      <c r="AH12" s="78"/>
      <c r="AI12" s="65"/>
      <c r="AJ12" s="395"/>
      <c r="AK12" s="65"/>
      <c r="AL12" s="395"/>
      <c r="AM12" s="65"/>
      <c r="AN12" s="395"/>
      <c r="AO12" s="65"/>
      <c r="AP12" s="395"/>
      <c r="AQ12" s="65"/>
      <c r="AR12" s="395"/>
      <c r="AS12" s="65"/>
      <c r="AT12" s="395"/>
      <c r="AU12" s="65"/>
      <c r="AV12" s="395"/>
      <c r="AW12" s="65"/>
      <c r="AX12" s="395"/>
      <c r="AY12" s="65"/>
      <c r="AZ12" s="395"/>
      <c r="BA12" s="65"/>
      <c r="BB12" s="395"/>
      <c r="BC12" s="65"/>
      <c r="BD12" s="395"/>
      <c r="BE12" s="65"/>
      <c r="BF12" s="395"/>
      <c r="BG12" s="65"/>
      <c r="BH12" s="395"/>
      <c r="BI12" s="65"/>
      <c r="BJ12" s="395"/>
      <c r="BK12" s="65"/>
      <c r="BL12" s="395"/>
      <c r="BM12" s="65"/>
      <c r="BN12" s="395"/>
      <c r="BO12" s="65"/>
      <c r="BP12" s="395"/>
      <c r="BQ12" s="65"/>
      <c r="BR12" s="395"/>
      <c r="BS12" s="65"/>
      <c r="BT12" s="395"/>
      <c r="BU12" s="65"/>
      <c r="BV12" s="395"/>
      <c r="BW12" s="65"/>
      <c r="BX12" s="395"/>
      <c r="BY12" s="65"/>
      <c r="BZ12" s="395"/>
      <c r="CA12" s="65"/>
      <c r="CB12" s="395"/>
      <c r="CC12" s="65"/>
      <c r="CD12" s="395"/>
      <c r="CE12" s="65"/>
      <c r="CF12" s="395"/>
      <c r="CG12" s="65"/>
      <c r="CH12" s="395"/>
      <c r="CI12" s="65"/>
      <c r="CJ12" s="395"/>
      <c r="CK12" s="65"/>
      <c r="CL12" s="395"/>
      <c r="CM12" s="65"/>
      <c r="CN12" s="395"/>
      <c r="CO12" s="65"/>
      <c r="CP12" s="395"/>
      <c r="CQ12" s="65"/>
      <c r="CR12" s="395"/>
    </row>
    <row r="13" spans="1:96">
      <c r="A13" s="381" t="s">
        <v>188</v>
      </c>
      <c r="B13" s="381">
        <v>15</v>
      </c>
      <c r="C13" s="381">
        <f t="shared" si="1"/>
        <v>48.75</v>
      </c>
      <c r="D13" s="381">
        <v>14</v>
      </c>
      <c r="E13" s="381">
        <f t="shared" si="2"/>
        <v>45.5</v>
      </c>
      <c r="F13" s="381">
        <v>12</v>
      </c>
      <c r="G13" s="381">
        <f t="shared" si="3"/>
        <v>39</v>
      </c>
      <c r="H13" s="381">
        <v>12</v>
      </c>
      <c r="I13" s="381">
        <f t="shared" si="4"/>
        <v>39</v>
      </c>
      <c r="J13" s="64">
        <v>10</v>
      </c>
      <c r="K13" s="381">
        <f t="shared" si="5"/>
        <v>32.5</v>
      </c>
      <c r="L13" s="64">
        <v>9</v>
      </c>
      <c r="M13" s="381">
        <f t="shared" si="6"/>
        <v>29.25</v>
      </c>
      <c r="N13" s="381">
        <v>13</v>
      </c>
      <c r="O13" s="381">
        <f t="shared" si="7"/>
        <v>42.25</v>
      </c>
      <c r="P13" s="381">
        <v>14</v>
      </c>
      <c r="Q13" s="381">
        <f t="shared" si="8"/>
        <v>45.5</v>
      </c>
      <c r="R13" s="381">
        <v>12</v>
      </c>
      <c r="S13" s="381">
        <f t="shared" si="9"/>
        <v>39</v>
      </c>
      <c r="T13" s="381">
        <v>13</v>
      </c>
      <c r="U13" s="381">
        <f t="shared" si="10"/>
        <v>42.25</v>
      </c>
      <c r="V13" s="64">
        <v>8</v>
      </c>
      <c r="W13" s="381">
        <f>SUM(V13*3.25)</f>
        <v>26</v>
      </c>
      <c r="X13" s="381"/>
      <c r="Y13" s="381"/>
      <c r="Z13" s="381"/>
      <c r="AA13" s="381"/>
      <c r="AB13" s="381"/>
      <c r="AC13" s="381"/>
      <c r="AD13" s="381">
        <f t="shared" ref="AD13:AD22" si="12">SUM(W13,U13,S13,Q13,O13,M13,K13,I13,G13,E13,C13)</f>
        <v>429</v>
      </c>
      <c r="AE13" s="381">
        <v>409.5</v>
      </c>
      <c r="AF13" s="436">
        <f t="shared" ref="AF13:AF22" si="13">SUM(AE13-AD13)</f>
        <v>-19.5</v>
      </c>
      <c r="AG13" s="437"/>
      <c r="AH13" s="78"/>
      <c r="AI13" s="78"/>
      <c r="AJ13" s="2"/>
      <c r="AK13" s="2"/>
      <c r="AL13" s="78"/>
      <c r="AM13" s="78"/>
      <c r="AN13" s="78"/>
      <c r="AO13" s="78"/>
      <c r="AP13" s="2"/>
      <c r="AQ13" s="2"/>
      <c r="AR13" s="78"/>
      <c r="AS13" s="78"/>
      <c r="AT13" s="78"/>
      <c r="AU13" s="78"/>
      <c r="AV13" s="2"/>
      <c r="AW13" s="2"/>
      <c r="AX13" s="78"/>
      <c r="AY13" s="78"/>
      <c r="AZ13" s="78"/>
      <c r="BA13" s="78"/>
      <c r="BB13" s="2"/>
      <c r="BC13" s="2"/>
      <c r="BD13" s="78"/>
      <c r="BE13" s="78"/>
      <c r="BF13" s="78"/>
      <c r="BG13" s="78"/>
      <c r="BH13" s="2"/>
      <c r="BI13" s="2"/>
      <c r="BJ13" s="78"/>
      <c r="BK13" s="78"/>
      <c r="BL13" s="78"/>
      <c r="BM13" s="78"/>
      <c r="BN13" s="2"/>
      <c r="BO13" s="2"/>
      <c r="BP13" s="78"/>
      <c r="BQ13" s="78"/>
      <c r="BR13" s="78"/>
      <c r="BS13" s="78"/>
      <c r="BT13" s="2"/>
      <c r="BU13" s="2"/>
      <c r="BV13" s="78"/>
      <c r="BW13" s="78"/>
      <c r="BX13" s="78"/>
      <c r="BY13" s="78"/>
      <c r="BZ13" s="2"/>
      <c r="CA13" s="2"/>
      <c r="CB13" s="78"/>
      <c r="CC13" s="78"/>
      <c r="CD13" s="78"/>
      <c r="CE13" s="78"/>
      <c r="CF13" s="2"/>
      <c r="CG13" s="2"/>
      <c r="CH13" s="78"/>
      <c r="CI13" s="78"/>
      <c r="CJ13" s="78"/>
      <c r="CK13" s="78"/>
      <c r="CL13" s="2"/>
      <c r="CM13" s="2"/>
      <c r="CN13" s="78"/>
      <c r="CO13" s="78"/>
      <c r="CP13" s="78"/>
      <c r="CQ13" s="78"/>
      <c r="CR13" s="2"/>
    </row>
    <row r="14" spans="1:96">
      <c r="A14" s="381" t="s">
        <v>64</v>
      </c>
      <c r="B14" s="381">
        <v>0</v>
      </c>
      <c r="C14" s="381">
        <f t="shared" si="1"/>
        <v>0</v>
      </c>
      <c r="D14" s="381">
        <v>0</v>
      </c>
      <c r="E14" s="381">
        <f t="shared" si="2"/>
        <v>0</v>
      </c>
      <c r="F14" s="381">
        <v>3</v>
      </c>
      <c r="G14" s="381">
        <f t="shared" si="3"/>
        <v>9.75</v>
      </c>
      <c r="H14" s="381">
        <v>4</v>
      </c>
      <c r="I14" s="381">
        <f t="shared" si="4"/>
        <v>13</v>
      </c>
      <c r="J14" s="64">
        <v>4</v>
      </c>
      <c r="K14" s="381">
        <f t="shared" si="5"/>
        <v>13</v>
      </c>
      <c r="L14" s="64">
        <v>2</v>
      </c>
      <c r="M14" s="381">
        <f t="shared" si="6"/>
        <v>6.5</v>
      </c>
      <c r="N14" s="381">
        <v>5</v>
      </c>
      <c r="O14" s="381">
        <f t="shared" si="7"/>
        <v>16.25</v>
      </c>
      <c r="P14" s="381">
        <v>4</v>
      </c>
      <c r="Q14" s="381">
        <f t="shared" si="8"/>
        <v>13</v>
      </c>
      <c r="R14" s="381">
        <v>6</v>
      </c>
      <c r="S14" s="381">
        <f t="shared" si="9"/>
        <v>19.5</v>
      </c>
      <c r="T14" s="381">
        <v>2</v>
      </c>
      <c r="U14" s="381">
        <f t="shared" si="10"/>
        <v>6.5</v>
      </c>
      <c r="V14" s="64">
        <v>0</v>
      </c>
      <c r="W14" s="381">
        <f>SUM(V14*3.25)</f>
        <v>0</v>
      </c>
      <c r="X14" s="381"/>
      <c r="Y14" s="381"/>
      <c r="Z14" s="381"/>
      <c r="AA14" s="381"/>
      <c r="AB14" s="381"/>
      <c r="AC14" s="381"/>
      <c r="AD14" s="381">
        <f t="shared" si="12"/>
        <v>97.5</v>
      </c>
      <c r="AE14" s="381">
        <v>81.25</v>
      </c>
      <c r="AF14" s="436">
        <f t="shared" si="13"/>
        <v>-16.25</v>
      </c>
      <c r="AG14" s="437"/>
      <c r="AH14" s="78"/>
      <c r="AI14" s="78"/>
      <c r="AJ14" s="2"/>
      <c r="AK14" s="2"/>
      <c r="AL14" s="78"/>
      <c r="AM14" s="78"/>
      <c r="AN14" s="78"/>
      <c r="AO14" s="78"/>
      <c r="AP14" s="2"/>
      <c r="AQ14" s="2"/>
      <c r="AR14" s="78"/>
      <c r="AS14" s="78"/>
      <c r="AT14" s="78"/>
      <c r="AU14" s="78"/>
      <c r="AV14" s="2"/>
      <c r="AW14" s="2"/>
      <c r="AX14" s="78"/>
      <c r="AY14" s="78"/>
      <c r="AZ14" s="78"/>
      <c r="BA14" s="78"/>
      <c r="BB14" s="2"/>
      <c r="BC14" s="2"/>
      <c r="BD14" s="78"/>
      <c r="BE14" s="78"/>
      <c r="BF14" s="78"/>
      <c r="BG14" s="78"/>
      <c r="BH14" s="2"/>
      <c r="BI14" s="2"/>
      <c r="BJ14" s="78"/>
      <c r="BK14" s="78"/>
      <c r="BL14" s="78"/>
      <c r="BM14" s="78"/>
      <c r="BN14" s="2"/>
      <c r="BO14" s="2"/>
      <c r="BP14" s="78"/>
      <c r="BQ14" s="78"/>
      <c r="BR14" s="78"/>
      <c r="BS14" s="78"/>
      <c r="BT14" s="2"/>
      <c r="BU14" s="2"/>
      <c r="BV14" s="78"/>
      <c r="BW14" s="78"/>
      <c r="BX14" s="78"/>
      <c r="BY14" s="78"/>
      <c r="BZ14" s="2"/>
      <c r="CA14" s="2"/>
      <c r="CB14" s="78"/>
      <c r="CC14" s="78"/>
      <c r="CD14" s="78"/>
      <c r="CE14" s="78"/>
      <c r="CF14" s="2"/>
      <c r="CG14" s="2"/>
      <c r="CH14" s="78"/>
      <c r="CI14" s="78"/>
      <c r="CJ14" s="78"/>
      <c r="CK14" s="78"/>
      <c r="CL14" s="2"/>
      <c r="CM14" s="2"/>
      <c r="CN14" s="78"/>
      <c r="CO14" s="78"/>
      <c r="CP14" s="78"/>
      <c r="CQ14" s="78"/>
      <c r="CR14" s="2"/>
    </row>
    <row r="15" spans="1:96" s="389" customFormat="1">
      <c r="A15" s="381" t="s">
        <v>178</v>
      </c>
      <c r="B15" s="381">
        <v>15</v>
      </c>
      <c r="C15" s="381">
        <f t="shared" si="1"/>
        <v>48.75</v>
      </c>
      <c r="D15" s="381">
        <v>13</v>
      </c>
      <c r="E15" s="381">
        <f t="shared" si="2"/>
        <v>42.25</v>
      </c>
      <c r="F15" s="381">
        <v>13</v>
      </c>
      <c r="G15" s="381">
        <f t="shared" si="3"/>
        <v>42.25</v>
      </c>
      <c r="H15" s="381">
        <v>11</v>
      </c>
      <c r="I15" s="381">
        <f t="shared" si="4"/>
        <v>35.75</v>
      </c>
      <c r="J15" s="381">
        <v>10</v>
      </c>
      <c r="K15" s="381">
        <f t="shared" si="5"/>
        <v>32.5</v>
      </c>
      <c r="L15" s="64">
        <v>8</v>
      </c>
      <c r="M15" s="381">
        <f t="shared" si="6"/>
        <v>26</v>
      </c>
      <c r="N15" s="381">
        <v>13</v>
      </c>
      <c r="O15" s="381">
        <f t="shared" si="7"/>
        <v>42.25</v>
      </c>
      <c r="P15" s="381">
        <v>13</v>
      </c>
      <c r="Q15" s="381">
        <f t="shared" si="8"/>
        <v>42.25</v>
      </c>
      <c r="R15" s="381">
        <v>11</v>
      </c>
      <c r="S15" s="381">
        <f t="shared" si="9"/>
        <v>35.75</v>
      </c>
      <c r="T15" s="381">
        <v>15</v>
      </c>
      <c r="U15" s="381">
        <f t="shared" si="10"/>
        <v>48.75</v>
      </c>
      <c r="V15" s="64">
        <v>5</v>
      </c>
      <c r="W15" s="381">
        <f>SUM(V15*3.25)</f>
        <v>16.25</v>
      </c>
      <c r="X15" s="381"/>
      <c r="Y15" s="381"/>
      <c r="Z15" s="381"/>
      <c r="AA15" s="381"/>
      <c r="AB15" s="381"/>
      <c r="AC15" s="381"/>
      <c r="AD15" s="381">
        <f t="shared" si="12"/>
        <v>412.75</v>
      </c>
      <c r="AE15" s="381">
        <v>409.5</v>
      </c>
      <c r="AF15" s="436">
        <f t="shared" si="13"/>
        <v>-3.25</v>
      </c>
      <c r="AG15" s="437"/>
      <c r="AH15" s="78"/>
      <c r="AI15" s="387"/>
      <c r="AJ15" s="388"/>
      <c r="AK15" s="388"/>
      <c r="AL15" s="387"/>
      <c r="AM15" s="387"/>
      <c r="AN15" s="387"/>
      <c r="AO15" s="387"/>
      <c r="AP15" s="388"/>
      <c r="AQ15" s="388"/>
      <c r="AR15" s="387"/>
      <c r="AS15" s="387"/>
      <c r="AT15" s="387"/>
      <c r="AU15" s="387"/>
      <c r="AV15" s="388"/>
      <c r="AW15" s="388"/>
      <c r="AX15" s="387"/>
      <c r="AY15" s="387"/>
      <c r="AZ15" s="387"/>
      <c r="BA15" s="387"/>
      <c r="BB15" s="388"/>
      <c r="BC15" s="388"/>
      <c r="BD15" s="387"/>
      <c r="BE15" s="387"/>
      <c r="BF15" s="387"/>
      <c r="BG15" s="387"/>
      <c r="BH15" s="388"/>
      <c r="BI15" s="388"/>
      <c r="BJ15" s="387"/>
      <c r="BK15" s="387"/>
      <c r="BL15" s="387"/>
      <c r="BM15" s="387"/>
      <c r="BN15" s="388"/>
      <c r="BO15" s="388"/>
      <c r="BP15" s="387"/>
      <c r="BQ15" s="387"/>
      <c r="BR15" s="387"/>
      <c r="BS15" s="387"/>
      <c r="BT15" s="388"/>
      <c r="BU15" s="388"/>
      <c r="BV15" s="387"/>
      <c r="BW15" s="387"/>
      <c r="BX15" s="387"/>
      <c r="BY15" s="387"/>
      <c r="BZ15" s="388"/>
      <c r="CA15" s="388"/>
      <c r="CB15" s="387"/>
      <c r="CC15" s="387"/>
      <c r="CD15" s="387"/>
      <c r="CE15" s="387"/>
      <c r="CF15" s="388"/>
      <c r="CG15" s="388"/>
      <c r="CH15" s="387"/>
      <c r="CI15" s="387"/>
      <c r="CJ15" s="387"/>
      <c r="CK15" s="387"/>
      <c r="CL15" s="388"/>
      <c r="CM15" s="388"/>
      <c r="CN15" s="387"/>
      <c r="CO15" s="387"/>
      <c r="CP15" s="387"/>
      <c r="CQ15" s="387"/>
      <c r="CR15" s="388"/>
    </row>
    <row r="16" spans="1:96">
      <c r="A16" s="381" t="s">
        <v>179</v>
      </c>
      <c r="B16" s="381">
        <v>15</v>
      </c>
      <c r="C16" s="381">
        <f t="shared" si="1"/>
        <v>48.75</v>
      </c>
      <c r="D16" s="381">
        <v>13</v>
      </c>
      <c r="E16" s="381">
        <f t="shared" si="2"/>
        <v>42.25</v>
      </c>
      <c r="F16" s="381">
        <v>12</v>
      </c>
      <c r="G16" s="381">
        <f t="shared" si="3"/>
        <v>39</v>
      </c>
      <c r="H16" s="381">
        <v>12</v>
      </c>
      <c r="I16" s="381">
        <f t="shared" si="4"/>
        <v>39</v>
      </c>
      <c r="J16" s="64">
        <v>11</v>
      </c>
      <c r="K16" s="381">
        <f t="shared" si="5"/>
        <v>35.75</v>
      </c>
      <c r="L16" s="64">
        <v>8</v>
      </c>
      <c r="M16" s="381">
        <f t="shared" si="6"/>
        <v>26</v>
      </c>
      <c r="N16" s="381">
        <v>14</v>
      </c>
      <c r="O16" s="381">
        <f t="shared" si="7"/>
        <v>45.5</v>
      </c>
      <c r="P16" s="381">
        <v>12</v>
      </c>
      <c r="Q16" s="381">
        <f t="shared" si="8"/>
        <v>39</v>
      </c>
      <c r="R16" s="381">
        <v>11</v>
      </c>
      <c r="S16" s="381">
        <f t="shared" si="9"/>
        <v>35.75</v>
      </c>
      <c r="T16" s="381">
        <v>14</v>
      </c>
      <c r="U16" s="381">
        <f t="shared" si="10"/>
        <v>45.5</v>
      </c>
      <c r="V16" s="64">
        <v>6</v>
      </c>
      <c r="W16" s="381" t="s">
        <v>29</v>
      </c>
      <c r="X16" s="381"/>
      <c r="Y16" s="381"/>
      <c r="Z16" s="381"/>
      <c r="AA16" s="381"/>
      <c r="AB16" s="381"/>
      <c r="AC16" s="381"/>
      <c r="AD16" s="381">
        <f t="shared" si="12"/>
        <v>396.5</v>
      </c>
      <c r="AE16" s="381">
        <v>409.5</v>
      </c>
      <c r="AF16" s="436">
        <f t="shared" si="13"/>
        <v>13</v>
      </c>
      <c r="AG16" s="437"/>
      <c r="AH16" s="78"/>
      <c r="AI16" s="78"/>
      <c r="AJ16" s="2"/>
      <c r="AK16" s="2"/>
      <c r="AL16" s="78"/>
      <c r="AM16" s="78"/>
      <c r="AN16" s="78"/>
      <c r="AO16" s="78"/>
      <c r="AP16" s="2"/>
      <c r="AQ16" s="2"/>
      <c r="AR16" s="78"/>
      <c r="AS16" s="78"/>
      <c r="AT16" s="78"/>
      <c r="AU16" s="78"/>
      <c r="AV16" s="2"/>
      <c r="AW16" s="2"/>
      <c r="AX16" s="78"/>
      <c r="AY16" s="78"/>
      <c r="AZ16" s="78"/>
      <c r="BA16" s="78"/>
      <c r="BB16" s="2"/>
      <c r="BC16" s="2"/>
      <c r="BD16" s="78"/>
      <c r="BE16" s="78"/>
      <c r="BF16" s="78"/>
      <c r="BG16" s="78"/>
      <c r="BH16" s="2"/>
      <c r="BI16" s="2"/>
      <c r="BJ16" s="78"/>
      <c r="BK16" s="78"/>
      <c r="BL16" s="78"/>
      <c r="BM16" s="78"/>
      <c r="BN16" s="2"/>
      <c r="BO16" s="2"/>
      <c r="BP16" s="78"/>
      <c r="BQ16" s="78"/>
      <c r="BR16" s="78"/>
      <c r="BS16" s="78"/>
      <c r="BT16" s="2"/>
      <c r="BU16" s="2"/>
      <c r="BV16" s="78"/>
      <c r="BW16" s="78"/>
      <c r="BX16" s="78"/>
      <c r="BY16" s="78"/>
      <c r="BZ16" s="2"/>
      <c r="CA16" s="2"/>
      <c r="CB16" s="78"/>
      <c r="CC16" s="78"/>
      <c r="CD16" s="78"/>
      <c r="CE16" s="78"/>
      <c r="CF16" s="2"/>
      <c r="CG16" s="2"/>
      <c r="CH16" s="78"/>
      <c r="CI16" s="78"/>
      <c r="CJ16" s="78"/>
      <c r="CK16" s="78"/>
      <c r="CL16" s="2"/>
      <c r="CM16" s="2"/>
      <c r="CN16" s="78"/>
      <c r="CO16" s="78"/>
      <c r="CP16" s="78"/>
      <c r="CQ16" s="78"/>
      <c r="CR16" s="2"/>
    </row>
    <row r="17" spans="1:96" s="3" customFormat="1">
      <c r="A17" s="381" t="s">
        <v>62</v>
      </c>
      <c r="B17" s="381">
        <v>0</v>
      </c>
      <c r="C17" s="381">
        <f t="shared" si="1"/>
        <v>0</v>
      </c>
      <c r="D17" s="381">
        <v>7</v>
      </c>
      <c r="E17" s="381">
        <f t="shared" si="2"/>
        <v>22.75</v>
      </c>
      <c r="F17" s="381">
        <v>8</v>
      </c>
      <c r="G17" s="381">
        <f t="shared" si="3"/>
        <v>26</v>
      </c>
      <c r="H17" s="381">
        <v>2</v>
      </c>
      <c r="I17" s="381">
        <f t="shared" si="4"/>
        <v>6.5</v>
      </c>
      <c r="J17" s="64">
        <v>0</v>
      </c>
      <c r="K17" s="381">
        <f t="shared" si="5"/>
        <v>0</v>
      </c>
      <c r="L17" s="64"/>
      <c r="M17" s="381">
        <f t="shared" si="6"/>
        <v>0</v>
      </c>
      <c r="N17" s="381"/>
      <c r="O17" s="381">
        <f t="shared" si="7"/>
        <v>0</v>
      </c>
      <c r="P17" s="381">
        <v>7</v>
      </c>
      <c r="Q17" s="381">
        <f t="shared" si="8"/>
        <v>22.75</v>
      </c>
      <c r="R17" s="381">
        <v>8</v>
      </c>
      <c r="S17" s="381">
        <f t="shared" si="9"/>
        <v>26</v>
      </c>
      <c r="T17" s="381">
        <v>9</v>
      </c>
      <c r="U17" s="381">
        <f t="shared" si="10"/>
        <v>29.25</v>
      </c>
      <c r="V17" s="64"/>
      <c r="W17" s="381">
        <v>0</v>
      </c>
      <c r="X17" s="381"/>
      <c r="Y17" s="381"/>
      <c r="Z17" s="381"/>
      <c r="AA17" s="381"/>
      <c r="AB17" s="381"/>
      <c r="AC17" s="381"/>
      <c r="AD17" s="381">
        <f t="shared" si="12"/>
        <v>133.25</v>
      </c>
      <c r="AE17" s="381">
        <v>130</v>
      </c>
      <c r="AF17" s="436">
        <f t="shared" si="13"/>
        <v>-3.25</v>
      </c>
      <c r="AG17" s="437"/>
      <c r="AH17" s="78"/>
      <c r="AI17" s="78"/>
      <c r="AJ17" s="2"/>
      <c r="AK17" s="2"/>
      <c r="AL17" s="78"/>
      <c r="AM17" s="78"/>
      <c r="AN17" s="78"/>
      <c r="AO17" s="78"/>
      <c r="AP17" s="2"/>
      <c r="AQ17" s="2"/>
      <c r="AR17" s="78"/>
      <c r="AS17" s="78"/>
      <c r="AT17" s="78"/>
      <c r="AU17" s="78"/>
      <c r="AV17" s="2"/>
      <c r="AW17" s="2"/>
      <c r="AX17" s="78"/>
      <c r="AY17" s="78"/>
      <c r="AZ17" s="78"/>
      <c r="BA17" s="78"/>
      <c r="BB17" s="2"/>
      <c r="BC17" s="2"/>
      <c r="BD17" s="78"/>
      <c r="BE17" s="78"/>
      <c r="BF17" s="78"/>
      <c r="BG17" s="78"/>
      <c r="BH17" s="2"/>
      <c r="BI17" s="2"/>
      <c r="BJ17" s="78"/>
      <c r="BK17" s="78"/>
      <c r="BL17" s="78"/>
      <c r="BM17" s="78"/>
      <c r="BN17" s="2"/>
      <c r="BO17" s="2"/>
      <c r="BP17" s="78"/>
      <c r="BQ17" s="78"/>
      <c r="BR17" s="78"/>
      <c r="BS17" s="78"/>
      <c r="BT17" s="2"/>
      <c r="BU17" s="2"/>
      <c r="BV17" s="78"/>
      <c r="BW17" s="78"/>
      <c r="BX17" s="78"/>
      <c r="BY17" s="78"/>
      <c r="BZ17" s="2"/>
      <c r="CA17" s="2"/>
      <c r="CB17" s="78"/>
      <c r="CC17" s="78"/>
      <c r="CD17" s="78"/>
      <c r="CE17" s="78"/>
      <c r="CF17" s="2"/>
      <c r="CG17" s="2"/>
      <c r="CH17" s="78"/>
      <c r="CI17" s="78"/>
      <c r="CJ17" s="78"/>
      <c r="CK17" s="78"/>
      <c r="CL17" s="2"/>
      <c r="CM17" s="2"/>
      <c r="CN17" s="78"/>
      <c r="CO17" s="78"/>
      <c r="CP17" s="78"/>
      <c r="CQ17" s="78"/>
      <c r="CR17" s="2"/>
    </row>
    <row r="18" spans="1:96" s="389" customFormat="1">
      <c r="A18" s="381" t="s">
        <v>180</v>
      </c>
      <c r="B18" s="381">
        <v>15</v>
      </c>
      <c r="C18" s="381">
        <f t="shared" si="1"/>
        <v>48.75</v>
      </c>
      <c r="D18" s="381">
        <v>11</v>
      </c>
      <c r="E18" s="381">
        <f t="shared" si="2"/>
        <v>35.75</v>
      </c>
      <c r="F18" s="381">
        <v>13</v>
      </c>
      <c r="G18" s="381">
        <f t="shared" si="3"/>
        <v>42.25</v>
      </c>
      <c r="H18" s="381">
        <v>11</v>
      </c>
      <c r="I18" s="381">
        <f t="shared" si="4"/>
        <v>35.75</v>
      </c>
      <c r="J18" s="381">
        <v>10</v>
      </c>
      <c r="K18" s="381">
        <f t="shared" si="5"/>
        <v>32.5</v>
      </c>
      <c r="L18" s="64">
        <v>8</v>
      </c>
      <c r="M18" s="381">
        <f t="shared" si="6"/>
        <v>26</v>
      </c>
      <c r="N18" s="64">
        <v>13</v>
      </c>
      <c r="O18" s="381">
        <f t="shared" si="7"/>
        <v>42.25</v>
      </c>
      <c r="P18" s="381">
        <v>13</v>
      </c>
      <c r="Q18" s="381">
        <f t="shared" si="8"/>
        <v>42.25</v>
      </c>
      <c r="R18" s="381">
        <v>11</v>
      </c>
      <c r="S18" s="381">
        <f t="shared" si="9"/>
        <v>35.75</v>
      </c>
      <c r="T18" s="381">
        <v>15</v>
      </c>
      <c r="U18" s="381">
        <f t="shared" si="10"/>
        <v>48.75</v>
      </c>
      <c r="V18" s="64">
        <v>5</v>
      </c>
      <c r="W18" s="381">
        <f t="shared" ref="W18:W22" si="14">SUM(V18*3.25)</f>
        <v>16.25</v>
      </c>
      <c r="X18" s="381"/>
      <c r="Y18" s="381"/>
      <c r="Z18" s="381"/>
      <c r="AA18" s="381"/>
      <c r="AB18" s="381"/>
      <c r="AC18" s="381"/>
      <c r="AD18" s="381">
        <f t="shared" si="12"/>
        <v>406.25</v>
      </c>
      <c r="AE18" s="381">
        <v>409.5</v>
      </c>
      <c r="AF18" s="436">
        <f t="shared" si="13"/>
        <v>3.25</v>
      </c>
      <c r="AG18" s="437"/>
      <c r="AH18" s="78"/>
      <c r="AI18" s="387"/>
      <c r="AJ18" s="388"/>
      <c r="AK18" s="388"/>
      <c r="AL18" s="388"/>
      <c r="AM18" s="387"/>
      <c r="AN18" s="387"/>
      <c r="AO18" s="387"/>
      <c r="AP18" s="388"/>
      <c r="AQ18" s="388"/>
      <c r="AR18" s="388"/>
      <c r="AS18" s="387"/>
      <c r="AT18" s="387"/>
      <c r="AU18" s="387"/>
      <c r="AV18" s="388"/>
      <c r="AW18" s="388"/>
      <c r="AX18" s="388"/>
      <c r="AY18" s="387"/>
      <c r="AZ18" s="387"/>
      <c r="BA18" s="387"/>
      <c r="BB18" s="388"/>
      <c r="BC18" s="388"/>
      <c r="BD18" s="388"/>
      <c r="BE18" s="387"/>
      <c r="BF18" s="387"/>
      <c r="BG18" s="387"/>
      <c r="BH18" s="388"/>
      <c r="BI18" s="388"/>
      <c r="BJ18" s="388"/>
      <c r="BK18" s="387"/>
      <c r="BL18" s="387"/>
      <c r="BM18" s="387"/>
      <c r="BN18" s="388"/>
      <c r="BO18" s="388"/>
      <c r="BP18" s="388"/>
      <c r="BQ18" s="387"/>
      <c r="BR18" s="387"/>
      <c r="BS18" s="387"/>
      <c r="BT18" s="388"/>
      <c r="BU18" s="388"/>
      <c r="BV18" s="388"/>
      <c r="BW18" s="387"/>
      <c r="BX18" s="387"/>
      <c r="BY18" s="387"/>
      <c r="BZ18" s="388"/>
      <c r="CA18" s="388"/>
      <c r="CB18" s="388"/>
      <c r="CC18" s="387"/>
      <c r="CD18" s="387"/>
      <c r="CE18" s="387"/>
      <c r="CF18" s="388"/>
      <c r="CG18" s="388"/>
      <c r="CH18" s="388"/>
      <c r="CI18" s="387"/>
      <c r="CJ18" s="387"/>
      <c r="CK18" s="387"/>
      <c r="CL18" s="388"/>
      <c r="CM18" s="388"/>
      <c r="CN18" s="388"/>
      <c r="CO18" s="387"/>
      <c r="CP18" s="387"/>
      <c r="CQ18" s="387"/>
      <c r="CR18" s="388"/>
    </row>
    <row r="19" spans="1:96" s="392" customFormat="1">
      <c r="A19" s="64" t="s">
        <v>181</v>
      </c>
      <c r="B19" s="64">
        <v>13</v>
      </c>
      <c r="C19" s="381">
        <f t="shared" si="1"/>
        <v>42.25</v>
      </c>
      <c r="D19" s="381">
        <v>11</v>
      </c>
      <c r="E19" s="381">
        <f t="shared" si="2"/>
        <v>35.75</v>
      </c>
      <c r="F19" s="381">
        <v>12</v>
      </c>
      <c r="G19" s="381">
        <f t="shared" si="3"/>
        <v>39</v>
      </c>
      <c r="H19" s="381">
        <v>12</v>
      </c>
      <c r="I19" s="381">
        <f t="shared" si="4"/>
        <v>39</v>
      </c>
      <c r="J19" s="64">
        <v>10</v>
      </c>
      <c r="K19" s="381">
        <f t="shared" si="5"/>
        <v>32.5</v>
      </c>
      <c r="L19" s="64">
        <v>9</v>
      </c>
      <c r="M19" s="381">
        <f t="shared" si="6"/>
        <v>29.25</v>
      </c>
      <c r="N19" s="64">
        <v>13</v>
      </c>
      <c r="O19" s="381">
        <f t="shared" si="7"/>
        <v>42.25</v>
      </c>
      <c r="P19" s="64">
        <v>14</v>
      </c>
      <c r="Q19" s="381">
        <f t="shared" si="8"/>
        <v>45.5</v>
      </c>
      <c r="R19" s="64">
        <v>12</v>
      </c>
      <c r="S19" s="381">
        <f t="shared" si="9"/>
        <v>39</v>
      </c>
      <c r="T19" s="64">
        <v>13</v>
      </c>
      <c r="U19" s="381">
        <f t="shared" si="10"/>
        <v>42.25</v>
      </c>
      <c r="V19" s="64">
        <v>8</v>
      </c>
      <c r="W19" s="381">
        <f t="shared" si="14"/>
        <v>26</v>
      </c>
      <c r="X19" s="381"/>
      <c r="Y19" s="381"/>
      <c r="Z19" s="381"/>
      <c r="AA19" s="381"/>
      <c r="AB19" s="381"/>
      <c r="AC19" s="381"/>
      <c r="AD19" s="381">
        <f t="shared" si="12"/>
        <v>412.75</v>
      </c>
      <c r="AE19" s="381">
        <v>409.5</v>
      </c>
      <c r="AF19" s="436">
        <f t="shared" si="13"/>
        <v>-3.25</v>
      </c>
      <c r="AG19" s="95"/>
      <c r="AH19" s="2"/>
      <c r="AI19" s="391"/>
      <c r="AJ19" s="391"/>
      <c r="AK19" s="391"/>
      <c r="AL19" s="391"/>
      <c r="AM19" s="391"/>
      <c r="AN19" s="391"/>
      <c r="AO19" s="391"/>
      <c r="AP19" s="391"/>
      <c r="AQ19" s="391"/>
      <c r="AR19" s="391"/>
      <c r="AS19" s="391"/>
      <c r="AT19" s="391"/>
      <c r="AU19" s="391"/>
      <c r="AV19" s="391"/>
      <c r="AW19" s="391"/>
      <c r="AX19" s="391"/>
      <c r="AY19" s="391"/>
      <c r="AZ19" s="391"/>
      <c r="BA19" s="391"/>
      <c r="BB19" s="391"/>
      <c r="BC19" s="391"/>
      <c r="BD19" s="391"/>
      <c r="BE19" s="391"/>
      <c r="BF19" s="391"/>
      <c r="BG19" s="391"/>
      <c r="BH19" s="391"/>
      <c r="BI19" s="391"/>
      <c r="BJ19" s="391"/>
      <c r="BK19" s="391"/>
      <c r="BL19" s="391"/>
      <c r="BM19" s="391"/>
      <c r="BN19" s="391"/>
      <c r="BO19" s="391"/>
      <c r="BP19" s="391"/>
      <c r="BQ19" s="391"/>
      <c r="BR19" s="391"/>
      <c r="BS19" s="391"/>
      <c r="BT19" s="391"/>
      <c r="BU19" s="391"/>
      <c r="BV19" s="391"/>
      <c r="BW19" s="391"/>
      <c r="BX19" s="391"/>
      <c r="BY19" s="391"/>
      <c r="BZ19" s="391"/>
      <c r="CA19" s="391"/>
      <c r="CB19" s="391"/>
      <c r="CC19" s="391"/>
      <c r="CD19" s="391"/>
      <c r="CE19" s="391"/>
      <c r="CF19" s="391"/>
      <c r="CG19" s="391"/>
      <c r="CH19" s="391"/>
      <c r="CI19" s="391"/>
      <c r="CJ19" s="391"/>
      <c r="CK19" s="391"/>
      <c r="CL19" s="391"/>
      <c r="CM19" s="391"/>
      <c r="CN19" s="391"/>
      <c r="CO19" s="391"/>
      <c r="CP19" s="391"/>
      <c r="CQ19" s="391"/>
      <c r="CR19" s="391"/>
    </row>
    <row r="20" spans="1:96" s="3" customFormat="1">
      <c r="A20" s="64" t="s">
        <v>182</v>
      </c>
      <c r="B20" s="64">
        <v>9</v>
      </c>
      <c r="C20" s="381">
        <f t="shared" si="1"/>
        <v>29.25</v>
      </c>
      <c r="D20" s="381">
        <v>13</v>
      </c>
      <c r="E20" s="381">
        <f t="shared" si="2"/>
        <v>42.25</v>
      </c>
      <c r="F20" s="381">
        <v>8</v>
      </c>
      <c r="G20" s="381">
        <f t="shared" si="3"/>
        <v>26</v>
      </c>
      <c r="H20" s="381">
        <v>11</v>
      </c>
      <c r="I20" s="381">
        <f t="shared" si="4"/>
        <v>35.75</v>
      </c>
      <c r="J20" s="64">
        <v>11</v>
      </c>
      <c r="K20" s="381">
        <f t="shared" si="5"/>
        <v>35.75</v>
      </c>
      <c r="L20" s="64">
        <v>8</v>
      </c>
      <c r="M20" s="381">
        <f t="shared" si="6"/>
        <v>26</v>
      </c>
      <c r="N20" s="64">
        <v>13</v>
      </c>
      <c r="O20" s="381">
        <f t="shared" si="7"/>
        <v>42.25</v>
      </c>
      <c r="P20" s="64">
        <v>13</v>
      </c>
      <c r="Q20" s="381">
        <f t="shared" si="8"/>
        <v>42.25</v>
      </c>
      <c r="R20" s="64">
        <v>11</v>
      </c>
      <c r="S20" s="381">
        <f t="shared" si="9"/>
        <v>35.75</v>
      </c>
      <c r="T20" s="64">
        <v>15</v>
      </c>
      <c r="U20" s="381">
        <f t="shared" si="10"/>
        <v>48.75</v>
      </c>
      <c r="V20" s="64">
        <v>0</v>
      </c>
      <c r="W20" s="381">
        <f t="shared" si="14"/>
        <v>0</v>
      </c>
      <c r="X20" s="381"/>
      <c r="Y20" s="381"/>
      <c r="Z20" s="381"/>
      <c r="AA20" s="381"/>
      <c r="AB20" s="381"/>
      <c r="AC20" s="381"/>
      <c r="AD20" s="381">
        <f t="shared" si="12"/>
        <v>364</v>
      </c>
      <c r="AE20" s="381">
        <v>409.5</v>
      </c>
      <c r="AF20" s="436">
        <f t="shared" si="13"/>
        <v>45.5</v>
      </c>
      <c r="AG20" s="95"/>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c r="A21" s="64" t="s">
        <v>80</v>
      </c>
      <c r="B21" s="64">
        <v>0</v>
      </c>
      <c r="C21" s="381">
        <f t="shared" si="1"/>
        <v>0</v>
      </c>
      <c r="D21" s="381">
        <v>8</v>
      </c>
      <c r="E21" s="381">
        <f t="shared" si="2"/>
        <v>26</v>
      </c>
      <c r="F21" s="381">
        <v>8</v>
      </c>
      <c r="G21" s="381">
        <f t="shared" si="3"/>
        <v>26</v>
      </c>
      <c r="H21" s="381">
        <v>8</v>
      </c>
      <c r="I21" s="381">
        <f t="shared" si="4"/>
        <v>26</v>
      </c>
      <c r="J21" s="64">
        <v>6</v>
      </c>
      <c r="K21" s="381">
        <f t="shared" si="5"/>
        <v>19.5</v>
      </c>
      <c r="L21" s="64">
        <v>5</v>
      </c>
      <c r="M21" s="381">
        <f t="shared" si="6"/>
        <v>16.25</v>
      </c>
      <c r="N21" s="64">
        <v>9</v>
      </c>
      <c r="O21" s="381">
        <f t="shared" si="7"/>
        <v>29.25</v>
      </c>
      <c r="P21" s="64">
        <v>9</v>
      </c>
      <c r="Q21" s="381">
        <f t="shared" si="8"/>
        <v>29.25</v>
      </c>
      <c r="R21" s="64">
        <v>7</v>
      </c>
      <c r="S21" s="381">
        <f t="shared" si="9"/>
        <v>22.75</v>
      </c>
      <c r="T21" s="64">
        <v>9</v>
      </c>
      <c r="U21" s="381">
        <f t="shared" si="10"/>
        <v>29.25</v>
      </c>
      <c r="V21" s="64">
        <v>1</v>
      </c>
      <c r="W21" s="381">
        <f t="shared" si="14"/>
        <v>3.25</v>
      </c>
      <c r="X21" s="381"/>
      <c r="Y21" s="381"/>
      <c r="Z21" s="381"/>
      <c r="AA21" s="381"/>
      <c r="AB21" s="381"/>
      <c r="AC21" s="381"/>
      <c r="AD21" s="381">
        <f t="shared" si="12"/>
        <v>227.5</v>
      </c>
      <c r="AE21" s="381">
        <v>247</v>
      </c>
      <c r="AF21" s="436">
        <f t="shared" si="13"/>
        <v>19.5</v>
      </c>
      <c r="AG21" s="95"/>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row>
    <row r="22" spans="1:96">
      <c r="A22" s="64" t="s">
        <v>183</v>
      </c>
      <c r="B22" s="64">
        <v>0</v>
      </c>
      <c r="C22" s="381">
        <f t="shared" si="1"/>
        <v>0</v>
      </c>
      <c r="D22" s="381">
        <v>7</v>
      </c>
      <c r="E22" s="381">
        <f t="shared" si="2"/>
        <v>22.75</v>
      </c>
      <c r="F22" s="381">
        <v>7</v>
      </c>
      <c r="G22" s="381">
        <f t="shared" si="3"/>
        <v>22.75</v>
      </c>
      <c r="H22" s="381">
        <v>8</v>
      </c>
      <c r="I22" s="381">
        <f t="shared" si="4"/>
        <v>26</v>
      </c>
      <c r="J22" s="64">
        <v>7</v>
      </c>
      <c r="K22" s="381">
        <f t="shared" si="5"/>
        <v>22.75</v>
      </c>
      <c r="L22" s="64">
        <v>6</v>
      </c>
      <c r="M22" s="381">
        <f t="shared" si="6"/>
        <v>19.5</v>
      </c>
      <c r="N22" s="64">
        <v>9</v>
      </c>
      <c r="O22" s="381">
        <f t="shared" si="7"/>
        <v>29.25</v>
      </c>
      <c r="P22" s="64">
        <v>9</v>
      </c>
      <c r="Q22" s="381">
        <f t="shared" si="8"/>
        <v>29.25</v>
      </c>
      <c r="R22" s="64">
        <v>8</v>
      </c>
      <c r="S22" s="381">
        <f t="shared" si="9"/>
        <v>26</v>
      </c>
      <c r="T22" s="64">
        <v>9</v>
      </c>
      <c r="U22" s="381">
        <f t="shared" si="10"/>
        <v>29.25</v>
      </c>
      <c r="V22" s="64">
        <v>1</v>
      </c>
      <c r="W22" s="381">
        <f t="shared" si="14"/>
        <v>3.25</v>
      </c>
      <c r="X22" s="381"/>
      <c r="Y22" s="381"/>
      <c r="Z22" s="381"/>
      <c r="AA22" s="381"/>
      <c r="AB22" s="381"/>
      <c r="AC22" s="381"/>
      <c r="AD22" s="381">
        <f t="shared" si="12"/>
        <v>230.75</v>
      </c>
      <c r="AE22" s="381">
        <v>247</v>
      </c>
      <c r="AF22" s="436">
        <f t="shared" si="13"/>
        <v>16.25</v>
      </c>
      <c r="AG22" s="95"/>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row>
    <row r="23" spans="1:96">
      <c r="A23" s="64" t="s">
        <v>369</v>
      </c>
      <c r="B23" s="64"/>
      <c r="C23" s="381"/>
      <c r="D23" s="381"/>
      <c r="E23" s="381"/>
      <c r="F23" s="381"/>
      <c r="G23" s="381"/>
      <c r="H23" s="381"/>
      <c r="I23" s="381"/>
      <c r="J23" s="64"/>
      <c r="K23" s="381"/>
      <c r="L23" s="64"/>
      <c r="M23" s="381"/>
      <c r="N23" s="64"/>
      <c r="O23" s="381"/>
      <c r="P23" s="64"/>
      <c r="Q23" s="381"/>
      <c r="R23" s="64"/>
      <c r="S23" s="381"/>
      <c r="T23" s="64"/>
      <c r="U23" s="381">
        <v>20</v>
      </c>
      <c r="V23" s="64"/>
      <c r="W23" s="381">
        <v>102</v>
      </c>
      <c r="X23" s="381"/>
      <c r="Y23" s="381"/>
      <c r="Z23" s="381"/>
      <c r="AA23" s="381"/>
      <c r="AB23" s="381"/>
      <c r="AC23" s="381"/>
      <c r="AD23" s="381">
        <f>SUM(C23,E23,G23,I23,K23,M23,O23, Q23, S23, U23, W23)</f>
        <v>122</v>
      </c>
      <c r="AE23" s="381"/>
      <c r="AF23" s="78"/>
      <c r="AG23" s="95"/>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c r="A24" s="449" t="s">
        <v>372</v>
      </c>
      <c r="B24" s="64"/>
      <c r="C24" s="381">
        <f>SUM(C13:C22)</f>
        <v>266.5</v>
      </c>
      <c r="D24" s="381"/>
      <c r="E24" s="381">
        <f t="shared" ref="E24:AE24" si="15">SUM(E13:E22)</f>
        <v>315.25</v>
      </c>
      <c r="F24" s="381">
        <f t="shared" si="15"/>
        <v>96</v>
      </c>
      <c r="G24" s="381">
        <f t="shared" si="15"/>
        <v>312</v>
      </c>
      <c r="H24" s="381">
        <f t="shared" si="15"/>
        <v>91</v>
      </c>
      <c r="I24" s="381">
        <f t="shared" si="15"/>
        <v>295.75</v>
      </c>
      <c r="J24" s="381">
        <f t="shared" si="15"/>
        <v>79</v>
      </c>
      <c r="K24" s="381">
        <f t="shared" si="15"/>
        <v>256.75</v>
      </c>
      <c r="L24" s="381">
        <f t="shared" si="15"/>
        <v>63</v>
      </c>
      <c r="M24" s="381">
        <f t="shared" si="15"/>
        <v>204.75</v>
      </c>
      <c r="N24" s="381">
        <f t="shared" si="15"/>
        <v>102</v>
      </c>
      <c r="O24" s="381">
        <f t="shared" si="15"/>
        <v>331.5</v>
      </c>
      <c r="P24" s="381">
        <f t="shared" si="15"/>
        <v>108</v>
      </c>
      <c r="Q24" s="381">
        <f t="shared" si="15"/>
        <v>351</v>
      </c>
      <c r="R24" s="381">
        <f t="shared" si="15"/>
        <v>97</v>
      </c>
      <c r="S24" s="381">
        <f t="shared" si="15"/>
        <v>315.25</v>
      </c>
      <c r="T24" s="381">
        <f t="shared" si="15"/>
        <v>114</v>
      </c>
      <c r="U24" s="381">
        <f t="shared" si="15"/>
        <v>370.5</v>
      </c>
      <c r="V24" s="381">
        <f t="shared" si="15"/>
        <v>34</v>
      </c>
      <c r="W24" s="381">
        <f t="shared" si="15"/>
        <v>91</v>
      </c>
      <c r="X24" s="381">
        <f t="shared" si="15"/>
        <v>0</v>
      </c>
      <c r="Y24" s="381">
        <f t="shared" si="15"/>
        <v>0</v>
      </c>
      <c r="Z24" s="381">
        <f t="shared" si="15"/>
        <v>0</v>
      </c>
      <c r="AA24" s="381">
        <f t="shared" si="15"/>
        <v>0</v>
      </c>
      <c r="AB24" s="381">
        <f t="shared" si="15"/>
        <v>0</v>
      </c>
      <c r="AC24" s="381">
        <f t="shared" si="15"/>
        <v>0</v>
      </c>
      <c r="AD24" s="381">
        <f>SUM(AD13:AD23)</f>
        <v>3232.25</v>
      </c>
      <c r="AE24" s="381">
        <f t="shared" si="15"/>
        <v>3162.25</v>
      </c>
      <c r="AF24" s="396">
        <f>SUM(AF13:AF22)</f>
        <v>52</v>
      </c>
      <c r="AG24" s="95"/>
      <c r="AH24" s="40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row>
    <row r="25" spans="1:96">
      <c r="A25" s="64" t="s">
        <v>14</v>
      </c>
      <c r="B25" s="64"/>
      <c r="C25" s="381">
        <v>7</v>
      </c>
      <c r="D25" s="381"/>
      <c r="E25" s="381">
        <v>110</v>
      </c>
      <c r="F25" s="381"/>
      <c r="G25" s="381">
        <v>90</v>
      </c>
      <c r="H25" s="381"/>
      <c r="I25" s="381">
        <v>108</v>
      </c>
      <c r="J25" s="64"/>
      <c r="K25" s="381">
        <v>90</v>
      </c>
      <c r="L25" s="64"/>
      <c r="M25" s="381">
        <v>114</v>
      </c>
      <c r="N25" s="64"/>
      <c r="O25" s="381">
        <v>120</v>
      </c>
      <c r="P25" s="64"/>
      <c r="Q25" s="381">
        <v>154</v>
      </c>
      <c r="R25" s="64"/>
      <c r="S25" s="381">
        <v>120</v>
      </c>
      <c r="T25" s="64"/>
      <c r="U25" s="381">
        <v>120</v>
      </c>
      <c r="V25" s="64"/>
      <c r="W25" s="381">
        <v>138</v>
      </c>
      <c r="X25" s="381"/>
      <c r="Y25" s="381"/>
      <c r="Z25" s="381"/>
      <c r="AA25" s="381"/>
      <c r="AB25" s="381"/>
      <c r="AC25" s="381"/>
      <c r="AD25" s="381">
        <f>SUM(W25,U25,S25,Q25,O25,M25,K25,I25,G25,E25,C25)</f>
        <v>1171</v>
      </c>
      <c r="AE25" s="381">
        <v>1250</v>
      </c>
      <c r="AF25" s="387">
        <f t="shared" ref="AF25:AF27" si="16">SUM(AE25-AD25)</f>
        <v>79</v>
      </c>
      <c r="AG25" s="95"/>
      <c r="AH25" s="40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c r="A26" s="64" t="s">
        <v>32</v>
      </c>
      <c r="B26" s="64"/>
      <c r="C26" s="381">
        <v>49.5</v>
      </c>
      <c r="D26" s="381"/>
      <c r="E26" s="381">
        <v>25</v>
      </c>
      <c r="F26" s="381"/>
      <c r="G26" s="381">
        <v>31.75</v>
      </c>
      <c r="H26" s="381"/>
      <c r="I26" s="381">
        <v>35</v>
      </c>
      <c r="J26" s="64"/>
      <c r="K26" s="381">
        <v>30</v>
      </c>
      <c r="L26" s="64"/>
      <c r="M26" s="381">
        <v>29.75</v>
      </c>
      <c r="N26" s="64"/>
      <c r="O26" s="381">
        <v>29.75</v>
      </c>
      <c r="P26" s="64"/>
      <c r="Q26" s="381">
        <v>29.5</v>
      </c>
      <c r="R26" s="64"/>
      <c r="S26" s="381">
        <v>29.5</v>
      </c>
      <c r="T26" s="64"/>
      <c r="U26" s="381">
        <v>37</v>
      </c>
      <c r="V26" s="64"/>
      <c r="W26" s="381">
        <v>20</v>
      </c>
      <c r="X26" s="381"/>
      <c r="Y26" s="381"/>
      <c r="Z26" s="381"/>
      <c r="AA26" s="381"/>
      <c r="AB26" s="381"/>
      <c r="AC26" s="381"/>
      <c r="AD26" s="381">
        <f>SUM(W26,U26,S26,Q26,O26,M26,K26,I26,G26,E26,C26)</f>
        <v>346.75</v>
      </c>
      <c r="AE26" s="381">
        <v>463</v>
      </c>
      <c r="AF26" s="387">
        <f t="shared" si="16"/>
        <v>116.25</v>
      </c>
      <c r="AG26" s="95"/>
      <c r="AH26" s="40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row>
    <row r="27" spans="1:96">
      <c r="A27" s="64" t="s">
        <v>184</v>
      </c>
      <c r="B27" s="64"/>
      <c r="C27" s="381">
        <v>144.5</v>
      </c>
      <c r="D27" s="381"/>
      <c r="E27" s="381">
        <v>45</v>
      </c>
      <c r="F27" s="381"/>
      <c r="G27" s="381">
        <v>64</v>
      </c>
      <c r="H27" s="381"/>
      <c r="I27" s="381">
        <v>79</v>
      </c>
      <c r="J27" s="64"/>
      <c r="K27" s="381">
        <v>34</v>
      </c>
      <c r="L27" s="64"/>
      <c r="M27" s="381">
        <v>64</v>
      </c>
      <c r="N27" s="64"/>
      <c r="O27" s="381">
        <v>79</v>
      </c>
      <c r="P27" s="64"/>
      <c r="Q27" s="381">
        <v>64</v>
      </c>
      <c r="R27" s="64"/>
      <c r="S27" s="381">
        <v>64</v>
      </c>
      <c r="T27" s="64"/>
      <c r="U27" s="381">
        <v>64</v>
      </c>
      <c r="V27" s="64"/>
      <c r="W27" s="381">
        <v>79</v>
      </c>
      <c r="X27" s="381"/>
      <c r="Y27" s="381"/>
      <c r="Z27" s="381"/>
      <c r="AA27" s="381"/>
      <c r="AB27" s="381"/>
      <c r="AC27" s="381"/>
      <c r="AD27" s="381">
        <f>SUM(W27,U27,S27,Q27,O27,M27,K27,I27,G27,E27,C27)</f>
        <v>780.5</v>
      </c>
      <c r="AE27" s="381">
        <v>850</v>
      </c>
      <c r="AF27" s="387">
        <f t="shared" si="16"/>
        <v>69.5</v>
      </c>
      <c r="AG27" s="95"/>
      <c r="AH27" s="40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row>
    <row r="28" spans="1:96">
      <c r="A28" s="64" t="s">
        <v>374</v>
      </c>
      <c r="B28" s="64"/>
      <c r="C28" s="381">
        <f>SUM(C13:C22)</f>
        <v>266.5</v>
      </c>
      <c r="D28" s="381"/>
      <c r="E28" s="381">
        <f>SUM(E13:E22)</f>
        <v>315.25</v>
      </c>
      <c r="F28" s="381"/>
      <c r="G28" s="381">
        <f>SUM(G13:G22)</f>
        <v>312</v>
      </c>
      <c r="H28" s="381"/>
      <c r="I28" s="381">
        <f>SUM(I13:I22)</f>
        <v>295.75</v>
      </c>
      <c r="J28" s="64"/>
      <c r="K28" s="381">
        <f>SUM(K13:K22)</f>
        <v>256.75</v>
      </c>
      <c r="L28" s="64"/>
      <c r="M28" s="381">
        <f>SUM(M13:M22)</f>
        <v>204.75</v>
      </c>
      <c r="N28" s="64"/>
      <c r="O28" s="381">
        <f>SUM(O13:O22)</f>
        <v>331.5</v>
      </c>
      <c r="P28" s="64"/>
      <c r="Q28" s="381">
        <f>SUM(Q13:Q22)</f>
        <v>351</v>
      </c>
      <c r="R28" s="64"/>
      <c r="S28" s="381">
        <f>SUM(S13:S22)</f>
        <v>315.25</v>
      </c>
      <c r="T28" s="64"/>
      <c r="U28" s="381">
        <f>SUM(U13:U22)</f>
        <v>370.5</v>
      </c>
      <c r="V28" s="64"/>
      <c r="W28" s="381">
        <f>SUM(W13:W22)</f>
        <v>91</v>
      </c>
      <c r="X28" s="381"/>
      <c r="Y28" s="381"/>
      <c r="Z28" s="381"/>
      <c r="AA28" s="381"/>
      <c r="AB28" s="381"/>
      <c r="AC28" s="381"/>
      <c r="AD28" s="381"/>
      <c r="AE28" s="381"/>
      <c r="AF28" s="396">
        <f>SUM(AF25:AF27)</f>
        <v>264.75</v>
      </c>
      <c r="AG28" s="439">
        <f>SUM(AG24:AG27)</f>
        <v>0</v>
      </c>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row>
    <row r="29" spans="1:96" s="60" customFormat="1" ht="6" customHeight="1">
      <c r="A29" s="384"/>
      <c r="B29" s="384"/>
      <c r="C29" s="385"/>
      <c r="D29" s="385"/>
      <c r="E29" s="385"/>
      <c r="F29" s="385"/>
      <c r="G29" s="385"/>
      <c r="H29" s="385"/>
      <c r="I29" s="385"/>
      <c r="J29" s="384"/>
      <c r="K29" s="385"/>
      <c r="L29" s="384"/>
      <c r="M29" s="385"/>
      <c r="N29" s="384"/>
      <c r="O29" s="385"/>
      <c r="P29" s="384"/>
      <c r="Q29" s="385"/>
      <c r="R29" s="384"/>
      <c r="S29" s="385"/>
      <c r="T29" s="384"/>
      <c r="U29" s="385"/>
      <c r="V29" s="384"/>
      <c r="W29" s="385"/>
      <c r="X29" s="385"/>
      <c r="Y29" s="385"/>
      <c r="Z29" s="385"/>
      <c r="AA29" s="385"/>
      <c r="AB29" s="385"/>
      <c r="AC29" s="385"/>
      <c r="AD29" s="385"/>
      <c r="AE29" s="385"/>
      <c r="AF29" s="395"/>
      <c r="AG29" s="430"/>
      <c r="AH29" s="3"/>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65"/>
      <c r="BO29" s="65"/>
      <c r="BP29" s="65"/>
      <c r="BQ29" s="65"/>
      <c r="BR29" s="65"/>
      <c r="BS29" s="65"/>
      <c r="BT29" s="65"/>
      <c r="BU29" s="65"/>
      <c r="BV29" s="65"/>
      <c r="BW29" s="65"/>
      <c r="BX29" s="65"/>
      <c r="BY29" s="65"/>
      <c r="BZ29" s="65"/>
      <c r="CA29" s="65"/>
      <c r="CB29" s="65"/>
      <c r="CC29" s="65"/>
      <c r="CD29" s="65"/>
      <c r="CE29" s="65"/>
      <c r="CF29" s="65"/>
      <c r="CG29" s="65"/>
      <c r="CH29" s="65"/>
      <c r="CI29" s="65"/>
      <c r="CJ29" s="65"/>
      <c r="CK29" s="65"/>
      <c r="CL29" s="65"/>
      <c r="CM29" s="65"/>
      <c r="CN29" s="65"/>
      <c r="CO29" s="65"/>
      <c r="CP29" s="65"/>
      <c r="CQ29" s="65"/>
      <c r="CR29" s="65"/>
    </row>
    <row r="30" spans="1:96">
      <c r="A30" s="64" t="s">
        <v>185</v>
      </c>
      <c r="B30" s="64">
        <v>13</v>
      </c>
      <c r="C30" s="381">
        <f t="shared" si="1"/>
        <v>42.25</v>
      </c>
      <c r="D30" s="381">
        <v>5</v>
      </c>
      <c r="E30" s="381">
        <f t="shared" si="2"/>
        <v>16.25</v>
      </c>
      <c r="F30" s="381">
        <v>6</v>
      </c>
      <c r="G30" s="381">
        <f t="shared" si="3"/>
        <v>19.5</v>
      </c>
      <c r="H30" s="381">
        <v>8</v>
      </c>
      <c r="I30" s="381">
        <f t="shared" si="4"/>
        <v>26</v>
      </c>
      <c r="J30" s="64">
        <v>5</v>
      </c>
      <c r="K30" s="381">
        <f t="shared" si="5"/>
        <v>16.25</v>
      </c>
      <c r="L30" s="64">
        <v>6</v>
      </c>
      <c r="M30" s="381">
        <f t="shared" si="6"/>
        <v>19.5</v>
      </c>
      <c r="N30" s="64">
        <v>9</v>
      </c>
      <c r="O30" s="381">
        <f t="shared" si="7"/>
        <v>29.25</v>
      </c>
      <c r="P30" s="64">
        <v>9</v>
      </c>
      <c r="Q30" s="381">
        <f t="shared" si="8"/>
        <v>29.25</v>
      </c>
      <c r="R30" s="64">
        <v>8</v>
      </c>
      <c r="S30" s="381">
        <f t="shared" si="9"/>
        <v>26</v>
      </c>
      <c r="T30" s="64">
        <v>9</v>
      </c>
      <c r="U30" s="381">
        <f t="shared" si="10"/>
        <v>29.25</v>
      </c>
      <c r="V30" s="64">
        <v>1</v>
      </c>
      <c r="W30" s="381">
        <f>SUM(V30*3.25)</f>
        <v>3.25</v>
      </c>
      <c r="X30" s="381"/>
      <c r="Y30" s="381"/>
      <c r="Z30" s="381"/>
      <c r="AA30" s="381"/>
      <c r="AB30" s="381"/>
      <c r="AC30" s="381"/>
      <c r="AD30" s="381">
        <f t="shared" ref="AD30:AD35" si="17">SUM(W30,U30,S30,Q30,O30,M30,K30,I30,G30,E30,C30)</f>
        <v>256.75</v>
      </c>
      <c r="AE30" s="381">
        <v>240.5</v>
      </c>
      <c r="AF30" s="381">
        <f t="shared" ref="AF30:AF35" si="18">SUM(AE30-AD30)</f>
        <v>-16.25</v>
      </c>
      <c r="AG30" s="432"/>
      <c r="AH30" s="43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row>
    <row r="31" spans="1:96">
      <c r="A31" s="64" t="s">
        <v>63</v>
      </c>
      <c r="B31" s="64">
        <v>10</v>
      </c>
      <c r="C31" s="381">
        <f t="shared" si="1"/>
        <v>32.5</v>
      </c>
      <c r="D31" s="381">
        <v>7</v>
      </c>
      <c r="E31" s="381">
        <f t="shared" si="2"/>
        <v>22.75</v>
      </c>
      <c r="F31" s="381">
        <v>7</v>
      </c>
      <c r="G31" s="381">
        <f t="shared" si="3"/>
        <v>22.75</v>
      </c>
      <c r="H31" s="381">
        <v>5</v>
      </c>
      <c r="I31" s="381">
        <f t="shared" si="4"/>
        <v>16.25</v>
      </c>
      <c r="J31" s="64">
        <v>4</v>
      </c>
      <c r="K31" s="381">
        <f t="shared" si="5"/>
        <v>13</v>
      </c>
      <c r="L31" s="64">
        <v>6</v>
      </c>
      <c r="M31" s="381">
        <f t="shared" si="6"/>
        <v>19.5</v>
      </c>
      <c r="N31" s="64">
        <v>9</v>
      </c>
      <c r="O31" s="381">
        <f t="shared" si="7"/>
        <v>29.25</v>
      </c>
      <c r="P31" s="64">
        <v>9</v>
      </c>
      <c r="Q31" s="381">
        <f t="shared" si="8"/>
        <v>29.25</v>
      </c>
      <c r="R31" s="64">
        <v>8</v>
      </c>
      <c r="S31" s="381">
        <f t="shared" si="9"/>
        <v>26</v>
      </c>
      <c r="T31" s="64">
        <v>9</v>
      </c>
      <c r="U31" s="381">
        <f t="shared" si="10"/>
        <v>29.25</v>
      </c>
      <c r="V31" s="64">
        <v>1</v>
      </c>
      <c r="W31" s="381">
        <f>SUM(V31*3.25)</f>
        <v>3.25</v>
      </c>
      <c r="X31" s="381"/>
      <c r="Y31" s="381"/>
      <c r="Z31" s="381"/>
      <c r="AA31" s="381"/>
      <c r="AB31" s="381"/>
      <c r="AC31" s="381"/>
      <c r="AD31" s="381">
        <f t="shared" si="17"/>
        <v>243.75</v>
      </c>
      <c r="AE31" s="381">
        <v>234</v>
      </c>
      <c r="AF31" s="381">
        <f t="shared" si="18"/>
        <v>-9.75</v>
      </c>
      <c r="AG31" s="433"/>
      <c r="AH31" s="434"/>
    </row>
    <row r="32" spans="1:96">
      <c r="A32" s="64" t="s">
        <v>186</v>
      </c>
      <c r="B32" s="64">
        <v>10</v>
      </c>
      <c r="C32" s="381">
        <f t="shared" si="1"/>
        <v>32.5</v>
      </c>
      <c r="D32" s="381">
        <v>8</v>
      </c>
      <c r="E32" s="381">
        <f t="shared" si="2"/>
        <v>26</v>
      </c>
      <c r="F32" s="381">
        <v>7</v>
      </c>
      <c r="G32" s="381">
        <f t="shared" si="3"/>
        <v>22.75</v>
      </c>
      <c r="H32" s="381">
        <v>8</v>
      </c>
      <c r="I32" s="381">
        <f t="shared" si="4"/>
        <v>26</v>
      </c>
      <c r="J32" s="64">
        <v>5</v>
      </c>
      <c r="K32" s="381">
        <f t="shared" si="5"/>
        <v>16.25</v>
      </c>
      <c r="L32" s="64">
        <v>6</v>
      </c>
      <c r="M32" s="381">
        <f t="shared" si="6"/>
        <v>19.5</v>
      </c>
      <c r="N32" s="64">
        <v>9</v>
      </c>
      <c r="O32" s="381">
        <f t="shared" si="7"/>
        <v>29.25</v>
      </c>
      <c r="P32" s="64">
        <v>9</v>
      </c>
      <c r="Q32" s="381">
        <f t="shared" si="8"/>
        <v>29.25</v>
      </c>
      <c r="R32" s="64">
        <v>8</v>
      </c>
      <c r="S32" s="381">
        <f t="shared" si="9"/>
        <v>26</v>
      </c>
      <c r="T32" s="64">
        <v>9</v>
      </c>
      <c r="U32" s="381">
        <f t="shared" si="10"/>
        <v>29.25</v>
      </c>
      <c r="V32" s="64">
        <v>1</v>
      </c>
      <c r="W32" s="381">
        <f>SUM(V32*3.25)</f>
        <v>3.25</v>
      </c>
      <c r="X32" s="381"/>
      <c r="Y32" s="381"/>
      <c r="Z32" s="381"/>
      <c r="AA32" s="381"/>
      <c r="AB32" s="381"/>
      <c r="AC32" s="381"/>
      <c r="AD32" s="381">
        <f t="shared" si="17"/>
        <v>260</v>
      </c>
      <c r="AE32" s="381">
        <v>234</v>
      </c>
      <c r="AF32" s="381">
        <f t="shared" si="18"/>
        <v>-26</v>
      </c>
    </row>
    <row r="33" spans="1:34">
      <c r="A33" s="64" t="s">
        <v>381</v>
      </c>
      <c r="B33" s="64"/>
      <c r="C33" s="381"/>
      <c r="D33" s="381"/>
      <c r="E33" s="381"/>
      <c r="F33" s="381"/>
      <c r="G33" s="381"/>
      <c r="H33" s="381"/>
      <c r="I33" s="381"/>
      <c r="J33" s="64"/>
      <c r="K33" s="381">
        <v>13</v>
      </c>
      <c r="L33" s="64"/>
      <c r="M33" s="381"/>
      <c r="N33" s="64"/>
      <c r="O33" s="381"/>
      <c r="P33" s="64"/>
      <c r="Q33" s="381"/>
      <c r="R33" s="64"/>
      <c r="S33" s="381"/>
      <c r="T33" s="64"/>
      <c r="U33" s="381"/>
      <c r="V33" s="64"/>
      <c r="W33" s="381">
        <v>13</v>
      </c>
      <c r="X33" s="381"/>
      <c r="Y33" s="381"/>
      <c r="Z33" s="381"/>
      <c r="AA33" s="381"/>
      <c r="AB33" s="381"/>
      <c r="AC33" s="381"/>
      <c r="AD33" s="381">
        <f t="shared" si="17"/>
        <v>26</v>
      </c>
      <c r="AE33" s="381">
        <v>25</v>
      </c>
      <c r="AF33" s="381">
        <f t="shared" si="18"/>
        <v>-1</v>
      </c>
    </row>
    <row r="34" spans="1:34">
      <c r="A34" s="63" t="s">
        <v>197</v>
      </c>
      <c r="B34" s="63"/>
      <c r="C34" s="435"/>
      <c r="D34" s="435"/>
      <c r="E34" s="435"/>
      <c r="F34" s="435"/>
      <c r="G34" s="435"/>
      <c r="H34" s="435"/>
      <c r="I34" s="435"/>
      <c r="J34" s="63"/>
      <c r="K34" s="435"/>
      <c r="L34" s="63"/>
      <c r="M34" s="435"/>
      <c r="N34" s="63"/>
      <c r="O34" s="435"/>
      <c r="P34" s="63"/>
      <c r="Q34" s="435"/>
      <c r="R34" s="63"/>
      <c r="S34" s="435"/>
      <c r="T34" s="63"/>
      <c r="U34" s="435"/>
      <c r="V34" s="63"/>
      <c r="W34" s="435"/>
      <c r="X34" s="435"/>
      <c r="Y34" s="435"/>
      <c r="Z34" s="435"/>
      <c r="AA34" s="435"/>
      <c r="AB34" s="435"/>
      <c r="AC34" s="435"/>
      <c r="AD34" s="435">
        <f t="shared" si="17"/>
        <v>0</v>
      </c>
      <c r="AE34" s="435">
        <v>100</v>
      </c>
      <c r="AF34" s="398">
        <f t="shared" si="18"/>
        <v>100</v>
      </c>
      <c r="AG34" s="5" t="s">
        <v>367</v>
      </c>
    </row>
    <row r="35" spans="1:34">
      <c r="A35" s="64" t="s">
        <v>196</v>
      </c>
      <c r="B35" s="64"/>
      <c r="C35" s="381"/>
      <c r="D35" s="381"/>
      <c r="E35" s="381"/>
      <c r="F35" s="381"/>
      <c r="G35" s="381"/>
      <c r="H35" s="381"/>
      <c r="I35" s="381"/>
      <c r="J35" s="64"/>
      <c r="K35" s="381">
        <v>13</v>
      </c>
      <c r="L35" s="64"/>
      <c r="M35" s="381"/>
      <c r="N35" s="64"/>
      <c r="O35" s="381"/>
      <c r="P35" s="64"/>
      <c r="Q35" s="381">
        <v>8</v>
      </c>
      <c r="R35" s="64"/>
      <c r="S35" s="381"/>
      <c r="T35" s="64"/>
      <c r="U35" s="381"/>
      <c r="V35" s="64"/>
      <c r="W35" s="381">
        <v>13</v>
      </c>
      <c r="X35" s="381"/>
      <c r="Y35" s="381"/>
      <c r="Z35" s="381"/>
      <c r="AA35" s="381"/>
      <c r="AB35" s="381"/>
      <c r="AC35" s="381"/>
      <c r="AD35" s="381">
        <f t="shared" si="17"/>
        <v>34</v>
      </c>
      <c r="AE35" s="381">
        <v>34</v>
      </c>
      <c r="AF35" s="381">
        <f t="shared" si="18"/>
        <v>0</v>
      </c>
    </row>
    <row r="36" spans="1:34">
      <c r="A36" s="64" t="s">
        <v>57</v>
      </c>
      <c r="B36" s="64"/>
      <c r="C36" s="381">
        <f>SUM(C30:C35)</f>
        <v>107.25</v>
      </c>
      <c r="D36" s="64"/>
      <c r="E36" s="381">
        <f>SUM(E30:E35)</f>
        <v>65</v>
      </c>
      <c r="F36" s="64"/>
      <c r="G36" s="381">
        <f>SUM(G30:G35)</f>
        <v>65</v>
      </c>
      <c r="H36" s="381"/>
      <c r="I36" s="381">
        <f>SUM(I30:I35)</f>
        <v>68.25</v>
      </c>
      <c r="J36" s="64"/>
      <c r="K36" s="381">
        <f>SUM(K30:K35)</f>
        <v>71.5</v>
      </c>
      <c r="L36" s="64"/>
      <c r="M36" s="381">
        <f>SUM(M30:M35)</f>
        <v>58.5</v>
      </c>
      <c r="N36" s="64"/>
      <c r="O36" s="381">
        <f>SUM(O30:O35)</f>
        <v>87.75</v>
      </c>
      <c r="P36" s="64"/>
      <c r="Q36" s="381">
        <f>SUM(Q30:Q35)</f>
        <v>95.75</v>
      </c>
      <c r="R36" s="64"/>
      <c r="S36" s="381">
        <f>SUM(S30:S35)</f>
        <v>78</v>
      </c>
      <c r="T36" s="64"/>
      <c r="U36" s="381">
        <f>SUM(U30:U35)</f>
        <v>87.75</v>
      </c>
      <c r="V36" s="64"/>
      <c r="W36" s="381">
        <f>SUM(W30:W35)</f>
        <v>35.75</v>
      </c>
      <c r="X36" s="381"/>
      <c r="Y36" s="381"/>
      <c r="Z36" s="381"/>
      <c r="AA36" s="381"/>
      <c r="AB36" s="381"/>
      <c r="AC36" s="381"/>
      <c r="AD36" s="381"/>
      <c r="AE36" s="381"/>
      <c r="AF36" s="396">
        <f>SUM(AF30:AF35)</f>
        <v>47</v>
      </c>
    </row>
    <row r="37" spans="1:34" s="60" customFormat="1" ht="6" customHeight="1">
      <c r="A37" s="384"/>
      <c r="B37" s="384"/>
      <c r="C37" s="385"/>
      <c r="D37" s="384"/>
      <c r="E37" s="385"/>
      <c r="F37" s="384"/>
      <c r="G37" s="385"/>
      <c r="H37" s="385"/>
      <c r="I37" s="385"/>
      <c r="J37" s="384"/>
      <c r="K37" s="385"/>
      <c r="L37" s="384"/>
      <c r="M37" s="385"/>
      <c r="N37" s="384"/>
      <c r="O37" s="385"/>
      <c r="P37" s="384"/>
      <c r="Q37" s="385"/>
      <c r="R37" s="384"/>
      <c r="S37" s="385"/>
      <c r="T37" s="384"/>
      <c r="U37" s="385"/>
      <c r="V37" s="384"/>
      <c r="W37" s="385"/>
      <c r="X37" s="385"/>
      <c r="Y37" s="385"/>
      <c r="Z37" s="385"/>
      <c r="AA37" s="385"/>
      <c r="AB37" s="385"/>
      <c r="AC37" s="385"/>
      <c r="AD37" s="385"/>
      <c r="AE37" s="385"/>
      <c r="AF37" s="395"/>
      <c r="AG37" s="431"/>
      <c r="AH37" s="3"/>
    </row>
    <row r="38" spans="1:34" ht="30">
      <c r="A38" s="64" t="s">
        <v>375</v>
      </c>
      <c r="B38" s="384"/>
      <c r="C38" s="381">
        <v>0</v>
      </c>
      <c r="D38" s="381"/>
      <c r="E38" s="381">
        <v>0</v>
      </c>
      <c r="F38" s="381">
        <v>8</v>
      </c>
      <c r="G38" s="381" t="s">
        <v>376</v>
      </c>
      <c r="H38" s="381">
        <v>8</v>
      </c>
      <c r="I38" s="381">
        <f t="shared" si="4"/>
        <v>26</v>
      </c>
      <c r="J38" s="64">
        <v>6</v>
      </c>
      <c r="K38" s="381">
        <f t="shared" si="5"/>
        <v>19.5</v>
      </c>
      <c r="L38" s="64">
        <v>6</v>
      </c>
      <c r="M38" s="381">
        <f t="shared" si="6"/>
        <v>19.5</v>
      </c>
      <c r="N38" s="64">
        <v>9</v>
      </c>
      <c r="O38" s="381">
        <f t="shared" si="7"/>
        <v>29.25</v>
      </c>
      <c r="P38" s="64">
        <v>8</v>
      </c>
      <c r="Q38" s="381">
        <f t="shared" si="8"/>
        <v>26</v>
      </c>
      <c r="R38" s="64">
        <v>8</v>
      </c>
      <c r="S38" s="381">
        <f t="shared" si="9"/>
        <v>26</v>
      </c>
      <c r="T38" s="64">
        <v>9</v>
      </c>
      <c r="U38" s="381">
        <f t="shared" si="10"/>
        <v>29.25</v>
      </c>
      <c r="V38" s="64">
        <v>10</v>
      </c>
      <c r="W38" s="381">
        <f>SUM(V38*3.25)</f>
        <v>32.5</v>
      </c>
      <c r="X38" s="381"/>
      <c r="Y38" s="381">
        <v>8</v>
      </c>
      <c r="Z38" s="381"/>
      <c r="AA38" s="381">
        <v>8</v>
      </c>
      <c r="AB38" s="381"/>
      <c r="AC38" s="381">
        <v>8</v>
      </c>
      <c r="AD38" s="381">
        <f>SUM(C38,E38,G38,I38,K38,M38,O38,Q38,S38,U38,W38,Y38,AA38,AC38)</f>
        <v>232</v>
      </c>
      <c r="AE38" s="381">
        <v>281</v>
      </c>
      <c r="AF38" s="387">
        <f t="shared" ref="AF38:AF39" si="19">SUM(AE38-AD38)</f>
        <v>49</v>
      </c>
      <c r="AG38" s="5" t="s">
        <v>371</v>
      </c>
    </row>
    <row r="39" spans="1:34">
      <c r="A39" s="64" t="s">
        <v>187</v>
      </c>
      <c r="B39" s="384"/>
      <c r="C39" s="381">
        <v>0</v>
      </c>
      <c r="D39" s="381"/>
      <c r="E39" s="381">
        <v>0</v>
      </c>
      <c r="F39" s="381">
        <v>8</v>
      </c>
      <c r="G39" s="381">
        <f t="shared" si="3"/>
        <v>26</v>
      </c>
      <c r="H39" s="381">
        <v>8</v>
      </c>
      <c r="I39" s="381">
        <f t="shared" si="4"/>
        <v>26</v>
      </c>
      <c r="J39" s="64">
        <v>6</v>
      </c>
      <c r="K39" s="381">
        <f t="shared" si="5"/>
        <v>19.5</v>
      </c>
      <c r="L39" s="64">
        <v>6</v>
      </c>
      <c r="M39" s="381">
        <f t="shared" si="6"/>
        <v>19.5</v>
      </c>
      <c r="N39" s="64">
        <v>9</v>
      </c>
      <c r="O39" s="381">
        <f t="shared" si="7"/>
        <v>29.25</v>
      </c>
      <c r="P39" s="64">
        <v>8</v>
      </c>
      <c r="Q39" s="381">
        <f t="shared" si="8"/>
        <v>26</v>
      </c>
      <c r="R39" s="64">
        <v>8</v>
      </c>
      <c r="S39" s="381">
        <f t="shared" si="9"/>
        <v>26</v>
      </c>
      <c r="T39" s="64">
        <v>9</v>
      </c>
      <c r="U39" s="381">
        <f t="shared" si="10"/>
        <v>29.25</v>
      </c>
      <c r="V39" s="64">
        <v>10</v>
      </c>
      <c r="W39" s="381">
        <f>SUM(V39*3.25)</f>
        <v>32.5</v>
      </c>
      <c r="X39" s="381"/>
      <c r="Y39" s="381">
        <v>8</v>
      </c>
      <c r="Z39" s="381"/>
      <c r="AA39" s="381">
        <v>8</v>
      </c>
      <c r="AB39" s="381"/>
      <c r="AC39" s="381">
        <v>8</v>
      </c>
      <c r="AD39" s="381">
        <f>SUM(C39,E39,G39,I39,K39,M39,O39,Q39,S39,U39,W39,Y39,AA39,AC39)</f>
        <v>258</v>
      </c>
      <c r="AE39" s="381">
        <v>281</v>
      </c>
      <c r="AF39" s="387">
        <f t="shared" si="19"/>
        <v>23</v>
      </c>
    </row>
    <row r="40" spans="1:34">
      <c r="A40" s="64" t="s">
        <v>370</v>
      </c>
      <c r="B40" s="384"/>
      <c r="C40" s="381">
        <v>0</v>
      </c>
      <c r="D40" s="381"/>
      <c r="E40" s="381">
        <v>0</v>
      </c>
      <c r="F40" s="381"/>
      <c r="G40" s="381">
        <v>0</v>
      </c>
      <c r="H40" s="381"/>
      <c r="I40" s="381">
        <v>0</v>
      </c>
      <c r="J40" s="64"/>
      <c r="K40" s="381">
        <v>0</v>
      </c>
      <c r="L40" s="64"/>
      <c r="M40" s="381">
        <v>0</v>
      </c>
      <c r="N40" s="64"/>
      <c r="O40" s="381">
        <v>15</v>
      </c>
      <c r="P40" s="64">
        <v>8</v>
      </c>
      <c r="Q40" s="381">
        <f t="shared" si="8"/>
        <v>26</v>
      </c>
      <c r="R40" s="64">
        <v>8</v>
      </c>
      <c r="S40" s="381">
        <f t="shared" si="9"/>
        <v>26</v>
      </c>
      <c r="T40" s="64">
        <v>9</v>
      </c>
      <c r="U40" s="381">
        <f t="shared" si="10"/>
        <v>29.25</v>
      </c>
      <c r="V40" s="64">
        <v>10</v>
      </c>
      <c r="W40" s="381">
        <f>SUM(V40*3.25)</f>
        <v>32.5</v>
      </c>
      <c r="X40" s="381"/>
      <c r="Y40" s="381"/>
      <c r="Z40" s="381"/>
      <c r="AA40" s="381"/>
      <c r="AB40" s="381"/>
      <c r="AC40" s="381"/>
      <c r="AD40" s="381">
        <f>SUM(C40,E40,G40,I40,K40,M40,O40,Q40, S40, U40,W40)</f>
        <v>128.75</v>
      </c>
      <c r="AE40" s="381"/>
      <c r="AF40" s="387"/>
    </row>
    <row r="41" spans="1:34">
      <c r="A41" s="64" t="s">
        <v>57</v>
      </c>
      <c r="B41" s="62"/>
      <c r="C41" s="62">
        <f>SUM(C38:C40)</f>
        <v>0</v>
      </c>
      <c r="D41" s="62"/>
      <c r="E41" s="62">
        <f>SUM(E38:E40)</f>
        <v>0</v>
      </c>
      <c r="F41" s="62"/>
      <c r="G41" s="62">
        <f>SUM(G38:G40)</f>
        <v>26</v>
      </c>
      <c r="H41" s="62"/>
      <c r="I41" s="62">
        <f>SUM(I38:I40)</f>
        <v>52</v>
      </c>
      <c r="J41" s="62"/>
      <c r="K41" s="62">
        <f>SUM(K38:K40)</f>
        <v>39</v>
      </c>
      <c r="L41" s="62"/>
      <c r="M41" s="62">
        <f>SUM(M38:M40)</f>
        <v>39</v>
      </c>
      <c r="N41" s="62"/>
      <c r="O41" s="62">
        <f>SUM(O38:O40)</f>
        <v>73.5</v>
      </c>
      <c r="P41" s="62"/>
      <c r="Q41" s="62">
        <f>SUM(Q38:Q40)</f>
        <v>78</v>
      </c>
      <c r="R41" s="62"/>
      <c r="S41" s="62">
        <f>SUM(S38:S40)</f>
        <v>78</v>
      </c>
      <c r="T41" s="62"/>
      <c r="U41" s="62">
        <f>SUM(U38:U40)</f>
        <v>87.75</v>
      </c>
      <c r="V41" s="62"/>
      <c r="W41" s="62">
        <f>SUM(W38:W40)</f>
        <v>97.5</v>
      </c>
      <c r="X41" s="62"/>
      <c r="Y41" s="62"/>
      <c r="Z41" s="62"/>
      <c r="AA41" s="62"/>
      <c r="AB41" s="62"/>
      <c r="AC41" s="62"/>
      <c r="AD41" s="381"/>
      <c r="AE41" s="381"/>
      <c r="AF41" s="396">
        <f>SUM(AF38:AF39)</f>
        <v>72</v>
      </c>
    </row>
    <row r="46" spans="1:34">
      <c r="I46" s="7" t="s">
        <v>365</v>
      </c>
    </row>
    <row r="47" spans="1:34" ht="30">
      <c r="A47" s="499" t="s">
        <v>294</v>
      </c>
      <c r="B47" s="500"/>
      <c r="C47" s="507" t="s">
        <v>364</v>
      </c>
      <c r="D47" s="508"/>
      <c r="E47" s="508" t="s">
        <v>34</v>
      </c>
      <c r="F47" s="508"/>
      <c r="G47" s="508" t="s">
        <v>35</v>
      </c>
      <c r="H47" s="508"/>
      <c r="I47" s="508" t="s">
        <v>47</v>
      </c>
      <c r="J47" s="508"/>
      <c r="K47" s="508" t="s">
        <v>48</v>
      </c>
      <c r="L47" s="508"/>
      <c r="M47" s="508" t="s">
        <v>49</v>
      </c>
      <c r="N47" s="508"/>
      <c r="O47" s="508" t="s">
        <v>50</v>
      </c>
      <c r="P47" s="508"/>
      <c r="Q47" s="508" t="s">
        <v>51</v>
      </c>
      <c r="R47" s="508"/>
      <c r="S47" s="508" t="s">
        <v>292</v>
      </c>
      <c r="T47" s="508"/>
      <c r="U47" s="508" t="s">
        <v>44</v>
      </c>
      <c r="V47" s="508"/>
      <c r="W47" s="508" t="s">
        <v>293</v>
      </c>
      <c r="X47" s="499"/>
      <c r="Y47" s="499"/>
      <c r="Z47" s="499"/>
      <c r="AA47" s="499"/>
      <c r="AB47" s="499"/>
      <c r="AC47" s="499"/>
      <c r="AD47" s="520" t="s">
        <v>366</v>
      </c>
      <c r="AE47" s="518" t="s">
        <v>368</v>
      </c>
    </row>
    <row r="48" spans="1:34">
      <c r="A48" s="69" t="s">
        <v>206</v>
      </c>
      <c r="B48" t="e">
        <f>SUM(#REF!)</f>
        <v>#REF!</v>
      </c>
      <c r="C48" s="62">
        <f>SUM(TimesheetActuals!C:C)</f>
        <v>928.5</v>
      </c>
      <c r="D48" s="62"/>
      <c r="E48" s="62">
        <f>C11+E11+(C10+E10)</f>
        <v>290.75</v>
      </c>
      <c r="F48" s="62"/>
      <c r="G48" s="62">
        <f>C11+E11+G11+(C10+E10+G10)</f>
        <v>420.75</v>
      </c>
      <c r="H48" s="62"/>
      <c r="I48" s="62">
        <f>C11+E11+G11+I11+(C10+E10+G10+I10)</f>
        <v>541.5</v>
      </c>
      <c r="J48" s="62"/>
      <c r="K48" s="62">
        <f>C11+E11+G11+I11+K11+(C10+E10+G10+I10+K10)</f>
        <v>679.25</v>
      </c>
      <c r="L48" s="62"/>
      <c r="M48" s="62">
        <f>C11+E11+G11+I11+K11+M11+(C10+E10+G10+I10+K10+M10)</f>
        <v>779</v>
      </c>
      <c r="N48" s="62"/>
      <c r="O48" s="62">
        <f>C11+E11+G11+I11+K11+M11+O11+(C10+E10+G10+I10+K10+M10+O10)</f>
        <v>917.75</v>
      </c>
      <c r="P48" s="62"/>
      <c r="Q48" s="62">
        <f>C11+E11+G11+I11+K11+M11+O11+Q11 +(C10+E10+G10+I10+K10+M10+O10+Q10)</f>
        <v>1067.75</v>
      </c>
      <c r="R48" s="62"/>
      <c r="S48" s="62">
        <f>C11+E11+G11+I11+K11+M11+O11+Q11+S11+(C10+E10+G10+I10+K10+M10+O10+Q10+S10)</f>
        <v>1211.25</v>
      </c>
      <c r="T48" s="62"/>
      <c r="U48" s="62">
        <f>C11+E11+G11+I11+K11+M11+O11+Q11+S11+U11+(C10+E10+G10+I10+K10+M10+O10+Q10+S10+U10)</f>
        <v>1410.75</v>
      </c>
      <c r="V48" s="62"/>
      <c r="W48" s="62">
        <f>C11+E11+G11+I11+K11+M11+O11+Q11+S11+U11+W11+(C10+E10+G10+I10+K10+M10+O10+Q10+S10+U10+W10)</f>
        <v>1540</v>
      </c>
      <c r="AD48" s="519">
        <f>SUM(AE4:AE9)</f>
        <v>1552</v>
      </c>
      <c r="AE48" s="62"/>
    </row>
    <row r="49" spans="1:31">
      <c r="A49" s="501" t="s">
        <v>220</v>
      </c>
      <c r="B49" s="502" t="e">
        <f>SUM(#REF!)</f>
        <v>#REF!</v>
      </c>
      <c r="C49" s="442">
        <f>SUM(TimesheetActuals!D:D)</f>
        <v>2048</v>
      </c>
      <c r="D49" s="442"/>
      <c r="E49" s="442">
        <f>SUM(C24,E24) +SUM(C23,E23)</f>
        <v>581.75</v>
      </c>
      <c r="F49" s="442"/>
      <c r="G49" s="442">
        <f>C24+E24+G24+SUM(C23,E23,G23)</f>
        <v>893.75</v>
      </c>
      <c r="H49" s="442">
        <f t="shared" ref="H49" si="20">D24+D25+D26</f>
        <v>0</v>
      </c>
      <c r="I49" s="442">
        <f>C24+E24+G24+I24+SUM(C23,E23,G23,I23)</f>
        <v>1189.5</v>
      </c>
      <c r="J49" s="442"/>
      <c r="K49" s="442">
        <f>C24+E24+G24+I24+K24+SUM(C23,E23,G23,I23,K23)</f>
        <v>1446.25</v>
      </c>
      <c r="L49" s="442"/>
      <c r="M49" s="442">
        <f>C24+E24+G24+I24+K24+M24+SUM(C23,E23,G23,I23,K23,M23)</f>
        <v>1651</v>
      </c>
      <c r="N49" s="442"/>
      <c r="O49" s="442">
        <f>C24+E24+G24+I24+K24+M24+O24+SUM(C23,E23,G23,I23,K23,M23,O23)</f>
        <v>1982.5</v>
      </c>
      <c r="P49" s="442"/>
      <c r="Q49" s="442">
        <f>C24+E24+G24+I24+K24+M24+O24+Q24+SUM(C23,E23,G23,I23,K23,M23,O23,Q23)</f>
        <v>2333.5</v>
      </c>
      <c r="R49" s="442"/>
      <c r="S49" s="442">
        <f>C24+E24+G24+I24+K24+M24+O24+Q24+S24+SUM(C23,E23,G23,I23,K23,M23,O23,Q23,S23)</f>
        <v>2648.75</v>
      </c>
      <c r="T49" s="442"/>
      <c r="U49" s="442">
        <f>C24+E24+G24+I24+K24+M24+O24+Q24+S24+U24+SUM(C23,E23,G23,I23,K23,M23,O23,Q23,S23,U23)</f>
        <v>3039.25</v>
      </c>
      <c r="V49" s="442"/>
      <c r="W49" s="442">
        <f>C24+E24+G24+I24+K24+M24+O24+Q24+S24+U24+W24+SUM(C23,E23,G23,I23,K23,M23,O23,Q23,S23,U23,W23)</f>
        <v>3232.25</v>
      </c>
      <c r="X49" s="502"/>
      <c r="Y49" s="502"/>
      <c r="Z49" s="502"/>
      <c r="AA49" s="502"/>
      <c r="AB49" s="502"/>
      <c r="AC49" s="502"/>
      <c r="AD49" s="521">
        <f>SUM(AE13:AE22)</f>
        <v>3162.25</v>
      </c>
      <c r="AE49" s="62"/>
    </row>
    <row r="50" spans="1:31">
      <c r="A50" s="69" t="s">
        <v>207</v>
      </c>
      <c r="B50" t="e">
        <f>SUM(#REF!)</f>
        <v>#REF!</v>
      </c>
      <c r="C50" s="510">
        <f>SUM(TimesheetActuals!E:E)</f>
        <v>524.75</v>
      </c>
      <c r="D50" s="62"/>
      <c r="E50" s="62">
        <f>C30+E30+C31+E31+C32+E32</f>
        <v>172.25</v>
      </c>
      <c r="F50" s="62"/>
      <c r="G50" s="62">
        <f>C30+E30+C31+E31+C32+E32+G30+G31+G32</f>
        <v>237.25</v>
      </c>
      <c r="H50" s="62"/>
      <c r="I50" s="62">
        <f>C30+E30+C31+E31+C32+E32+G30+G31+G32+I30+I31+I32</f>
        <v>305.5</v>
      </c>
      <c r="J50" s="62"/>
      <c r="K50" s="62">
        <f>C30+E30+C31+E31+C32+E32+G30+G31+G32+I30+I31+I32+K30+K31+K32</f>
        <v>351</v>
      </c>
      <c r="L50" s="62"/>
      <c r="M50" s="62">
        <f>C30+E30+C31+E31+C32+E32+G30+G31+G32+I30+I31+I32+K30+K31+K32+M30+M31+M32</f>
        <v>409.5</v>
      </c>
      <c r="N50" s="62"/>
      <c r="O50" s="62">
        <f>C30+E30+C31+E31+C32+E32+G30+G31+G32+I30+I31+I32+K30+K31+K32+M30+M31+M32+O30+O31+O32</f>
        <v>497.25</v>
      </c>
      <c r="P50" s="62"/>
      <c r="Q50" s="62">
        <f>C30+E30+C31+E31+C32+E32+G30+G31+G32+I30+I31+I32+K30+K31+K32+M30+M31+M32+O30+O31+O32+Q30+Q31+Q32</f>
        <v>585</v>
      </c>
      <c r="R50" s="62"/>
      <c r="S50" s="62">
        <f>C30+E30+C31+E31+C32+E32+G30+G31+G32+I30+I31+I32+K30+K31+K32+M30+M31+M32+O30+O31+O32+Q30+Q31+Q32+S30+S31+S32</f>
        <v>663</v>
      </c>
      <c r="T50" s="62"/>
      <c r="U50" s="62">
        <f>C30+E30+C31+E31+C32+E32+G30+G31+G32+I30+I31+I32+K30+K31+K32+M30+M31+M32+O30+O31+O32+Q30+Q31+Q32+S30+S31+S32+T30+T31+T32</f>
        <v>690</v>
      </c>
      <c r="V50" s="62"/>
      <c r="W50" s="62">
        <f>C30+E30+C31+E31+C32+E32+G30+G31+G32+I30+I31+I32+K30+K31+K32+M30+M31+M32+O30+O31+O32+Q30+Q31+Q32+S30+S31+S32+T30+T31+T32+W30+W31+W32</f>
        <v>699.75</v>
      </c>
      <c r="AD50" s="519">
        <f>SUM(AE30,AE31,AE32,AE34)</f>
        <v>808.5</v>
      </c>
      <c r="AE50" s="62"/>
    </row>
    <row r="51" spans="1:31">
      <c r="A51" s="501" t="s">
        <v>286</v>
      </c>
      <c r="B51" s="502" t="e">
        <f>SUM(#REF!)</f>
        <v>#REF!</v>
      </c>
      <c r="C51" s="512">
        <f>SUM(TimesheetActuals!F:F)</f>
        <v>46.25</v>
      </c>
      <c r="D51" s="509"/>
      <c r="E51" s="609">
        <f>SUM(C26,E26)</f>
        <v>74.5</v>
      </c>
      <c r="F51" s="442"/>
      <c r="G51" s="609">
        <f>SUM(C26,E26,G26)</f>
        <v>106.25</v>
      </c>
      <c r="H51" s="442"/>
      <c r="I51" s="609">
        <f>SUM(C26,E26,G26,I26)</f>
        <v>141.25</v>
      </c>
      <c r="J51" s="442"/>
      <c r="K51" s="609">
        <f>SUM(C26,E26,G26,I26,K26)</f>
        <v>171.25</v>
      </c>
      <c r="L51" s="442"/>
      <c r="M51" s="609">
        <f>SUM(C26,E26,G26,I26,K26,M26)</f>
        <v>201</v>
      </c>
      <c r="N51" s="442"/>
      <c r="O51" s="609">
        <f>SUM(C26,E26,G26,I26,K26,M26,O26)</f>
        <v>230.75</v>
      </c>
      <c r="P51" s="442"/>
      <c r="Q51" s="609">
        <f>SUM(C26,E26,G26,I26,K26,M26,O26,Q26)</f>
        <v>260.25</v>
      </c>
      <c r="R51" s="442"/>
      <c r="S51" s="609">
        <f>SUM(C26,E26,G26,I26,K26,M26,O26,Q26,S26)</f>
        <v>289.75</v>
      </c>
      <c r="T51" s="442"/>
      <c r="U51" s="609">
        <f>SUM(C26,E26,G26,I26,K26,M26,O26,Q26,S26,U26)</f>
        <v>326.75</v>
      </c>
      <c r="V51" s="442"/>
      <c r="W51" s="609">
        <f>SUM(C26,E26,G26,I26,K26,M26,O26,Q26,S26,U26,W26,)</f>
        <v>346.75</v>
      </c>
      <c r="X51" s="502"/>
      <c r="Y51" s="502"/>
      <c r="Z51" s="502"/>
      <c r="AA51" s="502"/>
      <c r="AB51" s="502"/>
      <c r="AC51" s="502"/>
      <c r="AD51" s="522"/>
      <c r="AE51" s="62"/>
    </row>
    <row r="52" spans="1:31">
      <c r="A52" s="501" t="s">
        <v>287</v>
      </c>
      <c r="B52" s="502" t="e">
        <f>SUM(#REF!)</f>
        <v>#REF!</v>
      </c>
      <c r="C52" s="513">
        <f>SUM(TimesheetActuals!G:G)</f>
        <v>13.75</v>
      </c>
      <c r="D52" s="509"/>
      <c r="E52" s="609"/>
      <c r="F52" s="442"/>
      <c r="G52" s="609"/>
      <c r="H52" s="442"/>
      <c r="I52" s="609"/>
      <c r="J52" s="442"/>
      <c r="K52" s="609"/>
      <c r="L52" s="442"/>
      <c r="M52" s="609"/>
      <c r="N52" s="442"/>
      <c r="O52" s="609"/>
      <c r="P52" s="442"/>
      <c r="Q52" s="609"/>
      <c r="R52" s="442"/>
      <c r="S52" s="609"/>
      <c r="T52" s="442"/>
      <c r="U52" s="609"/>
      <c r="V52" s="442"/>
      <c r="W52" s="609"/>
      <c r="X52" s="502"/>
      <c r="Y52" s="502"/>
      <c r="Z52" s="502"/>
      <c r="AA52" s="502"/>
      <c r="AB52" s="502"/>
      <c r="AC52" s="502"/>
      <c r="AD52" s="503"/>
      <c r="AE52" s="62"/>
    </row>
    <row r="53" spans="1:31">
      <c r="A53" s="501" t="s">
        <v>288</v>
      </c>
      <c r="B53" s="502" t="e">
        <f>SUM(#REF!)</f>
        <v>#REF!</v>
      </c>
      <c r="C53" s="513">
        <f>SUM(TimesheetActuals!H:H)</f>
        <v>146.75</v>
      </c>
      <c r="D53" s="509"/>
      <c r="E53" s="609"/>
      <c r="F53" s="442"/>
      <c r="G53" s="609"/>
      <c r="H53" s="442"/>
      <c r="I53" s="609"/>
      <c r="J53" s="442"/>
      <c r="K53" s="609"/>
      <c r="L53" s="442"/>
      <c r="M53" s="609"/>
      <c r="N53" s="442"/>
      <c r="O53" s="609"/>
      <c r="P53" s="442"/>
      <c r="Q53" s="609"/>
      <c r="R53" s="442"/>
      <c r="S53" s="609"/>
      <c r="T53" s="442"/>
      <c r="U53" s="609"/>
      <c r="V53" s="442"/>
      <c r="W53" s="609"/>
      <c r="X53" s="502"/>
      <c r="Y53" s="502"/>
      <c r="Z53" s="502"/>
      <c r="AA53" s="502"/>
      <c r="AB53" s="502"/>
      <c r="AC53" s="502"/>
      <c r="AD53" s="503"/>
      <c r="AE53" s="62"/>
    </row>
    <row r="54" spans="1:31">
      <c r="A54" s="501" t="s">
        <v>289</v>
      </c>
      <c r="B54" s="502" t="e">
        <f>SUM(#REF!)</f>
        <v>#REF!</v>
      </c>
      <c r="C54" s="513">
        <f>SUM(TimesheetActuals!I:I)</f>
        <v>52</v>
      </c>
      <c r="D54" s="509"/>
      <c r="E54" s="609"/>
      <c r="F54" s="442"/>
      <c r="G54" s="609"/>
      <c r="H54" s="442"/>
      <c r="I54" s="609"/>
      <c r="J54" s="442"/>
      <c r="K54" s="609"/>
      <c r="L54" s="442"/>
      <c r="M54" s="609"/>
      <c r="N54" s="442"/>
      <c r="O54" s="609"/>
      <c r="P54" s="442"/>
      <c r="Q54" s="609"/>
      <c r="R54" s="442"/>
      <c r="S54" s="609"/>
      <c r="T54" s="442"/>
      <c r="U54" s="609"/>
      <c r="V54" s="442"/>
      <c r="W54" s="609"/>
      <c r="X54" s="502"/>
      <c r="Y54" s="502"/>
      <c r="Z54" s="502"/>
      <c r="AA54" s="502"/>
      <c r="AB54" s="502"/>
      <c r="AC54" s="502"/>
      <c r="AD54" s="505">
        <v>346.75</v>
      </c>
      <c r="AE54" s="62"/>
    </row>
    <row r="55" spans="1:31">
      <c r="A55" s="69" t="s">
        <v>290</v>
      </c>
      <c r="B55" t="e">
        <f>SUM(#REF!)</f>
        <v>#REF!</v>
      </c>
      <c r="C55" s="510">
        <f>SUM(TimesheetActuals!J:J)</f>
        <v>6.5</v>
      </c>
      <c r="D55" s="514"/>
      <c r="E55" s="610">
        <f>C35+E35</f>
        <v>0</v>
      </c>
      <c r="F55" s="62"/>
      <c r="G55" s="610">
        <f>C35+E35+G35</f>
        <v>0</v>
      </c>
      <c r="H55" s="62"/>
      <c r="I55" s="610">
        <f>C35+E35+G35+I35</f>
        <v>0</v>
      </c>
      <c r="J55" s="62"/>
      <c r="K55" s="610">
        <f>C35+E35+G35+I35+K35</f>
        <v>13</v>
      </c>
      <c r="L55" s="62"/>
      <c r="M55" s="610">
        <f>C35+E35+G35+I35+K35+M35</f>
        <v>13</v>
      </c>
      <c r="N55" s="62"/>
      <c r="O55" s="610">
        <f>C35+E35+G35+I35+K35+M35+O35</f>
        <v>13</v>
      </c>
      <c r="P55" s="62"/>
      <c r="Q55" s="610">
        <f>C35+E35+G35+I35+K35+M35+O35+Q35</f>
        <v>21</v>
      </c>
      <c r="R55" s="62"/>
      <c r="S55" s="610">
        <f>C35+E35+G35+I35+K35+M35+O35+Q35+S35</f>
        <v>21</v>
      </c>
      <c r="T55" s="62"/>
      <c r="U55" s="610">
        <f>C35+E35+G35+I35+K35+M35+O35+Q35+S35+U35</f>
        <v>21</v>
      </c>
      <c r="V55" s="62"/>
      <c r="W55" s="610">
        <f>C35+E35+G35+I35+K35+M35+O35+Q35+S35+U35+W35</f>
        <v>34</v>
      </c>
      <c r="AD55" s="607">
        <v>26</v>
      </c>
      <c r="AE55" s="62"/>
    </row>
    <row r="56" spans="1:31">
      <c r="A56" s="69" t="s">
        <v>291</v>
      </c>
      <c r="B56" t="e">
        <f>SUM(#REF!)</f>
        <v>#REF!</v>
      </c>
      <c r="C56" s="511">
        <f>SUM(TimesheetActuals!K:K)</f>
        <v>3.25</v>
      </c>
      <c r="D56" s="514"/>
      <c r="E56" s="610"/>
      <c r="F56" s="62"/>
      <c r="G56" s="610"/>
      <c r="H56" s="62"/>
      <c r="I56" s="610"/>
      <c r="J56" s="62"/>
      <c r="K56" s="610"/>
      <c r="L56" s="62"/>
      <c r="M56" s="610"/>
      <c r="N56" s="62"/>
      <c r="O56" s="610"/>
      <c r="P56" s="62"/>
      <c r="Q56" s="610"/>
      <c r="R56" s="62"/>
      <c r="S56" s="610"/>
      <c r="T56" s="62"/>
      <c r="U56" s="610"/>
      <c r="V56" s="62"/>
      <c r="W56" s="610"/>
      <c r="AD56" s="608"/>
      <c r="AE56" s="62"/>
    </row>
    <row r="57" spans="1:31">
      <c r="A57" s="69" t="s">
        <v>208</v>
      </c>
      <c r="B57" t="e">
        <f>SUM(#REF!)</f>
        <v>#REF!</v>
      </c>
      <c r="C57" s="515">
        <f>SUM(TimesheetActuals!L:L)</f>
        <v>0</v>
      </c>
      <c r="D57" s="384"/>
      <c r="E57" s="384"/>
      <c r="F57" s="384"/>
      <c r="G57" s="384"/>
      <c r="H57" s="384"/>
      <c r="I57" s="384"/>
      <c r="J57" s="384"/>
      <c r="K57" s="384"/>
      <c r="L57" s="384"/>
      <c r="M57" s="384"/>
      <c r="N57" s="384"/>
      <c r="O57" s="384"/>
      <c r="P57" s="384"/>
      <c r="Q57" s="384"/>
      <c r="R57" s="384"/>
      <c r="S57" s="384"/>
      <c r="T57" s="384"/>
      <c r="U57" s="384"/>
      <c r="V57" s="384"/>
      <c r="W57" s="384"/>
      <c r="AD57" s="60"/>
      <c r="AE57" s="62"/>
    </row>
    <row r="58" spans="1:31">
      <c r="A58" s="69" t="s">
        <v>209</v>
      </c>
      <c r="B58" t="e">
        <f>SUM(#REF!)</f>
        <v>#REF!</v>
      </c>
      <c r="C58" s="516">
        <f>SUM(TimesheetActuals!M:M)</f>
        <v>0</v>
      </c>
      <c r="D58" s="384"/>
      <c r="E58" s="384"/>
      <c r="F58" s="384"/>
      <c r="G58" s="384"/>
      <c r="H58" s="384"/>
      <c r="I58" s="384"/>
      <c r="J58" s="384"/>
      <c r="K58" s="384"/>
      <c r="L58" s="384"/>
      <c r="M58" s="384"/>
      <c r="N58" s="384"/>
      <c r="O58" s="384"/>
      <c r="P58" s="384"/>
      <c r="Q58" s="384"/>
      <c r="R58" s="384"/>
      <c r="S58" s="384"/>
      <c r="T58" s="384"/>
      <c r="U58" s="384"/>
      <c r="V58" s="384"/>
      <c r="W58" s="384"/>
      <c r="AD58" s="60"/>
      <c r="AE58" s="62"/>
    </row>
    <row r="59" spans="1:31">
      <c r="A59" s="69" t="s">
        <v>210</v>
      </c>
      <c r="B59" t="e">
        <f>SUM(#REF!)</f>
        <v>#REF!</v>
      </c>
      <c r="C59" s="510">
        <f>SUM(TimesheetActuals!N:N)</f>
        <v>911.25</v>
      </c>
      <c r="D59" s="514"/>
      <c r="E59" s="610">
        <f>C25+C27+E25+E27</f>
        <v>306.5</v>
      </c>
      <c r="F59" s="62"/>
      <c r="G59" s="610">
        <f>C25+C27+E25+E27+G25+G27</f>
        <v>460.5</v>
      </c>
      <c r="H59" s="62"/>
      <c r="I59" s="610">
        <f>C25+C27+E25+E27+G25+G27+I25+I27</f>
        <v>647.5</v>
      </c>
      <c r="J59" s="62"/>
      <c r="K59" s="610">
        <f>C25+C27+E25+E27+G25+G27+I25+I27+K25+K27</f>
        <v>771.5</v>
      </c>
      <c r="L59" s="62"/>
      <c r="M59" s="610">
        <f>C25+C27+E25+E27+G25+G27+I25+I27+K25+K27+M25+M27</f>
        <v>949.5</v>
      </c>
      <c r="N59" s="62"/>
      <c r="O59" s="610">
        <f>C25+C27+E25+E27+G25+G27+I25+I27+K25+K27+M25+M27+O25+O27</f>
        <v>1148.5</v>
      </c>
      <c r="P59" s="62"/>
      <c r="Q59" s="610">
        <f>C25+C27+E25+E27+G25+G27+I25+I27+K25+K27+M25+M27+O25+O27+Q25+Q27</f>
        <v>1366.5</v>
      </c>
      <c r="R59" s="62"/>
      <c r="S59" s="610">
        <f>C25+C27+E25+E27+G25+G27+I25+I27+K25+K27+M25+M27+O25+O27+Q25+Q27+S25+S27</f>
        <v>1550.5</v>
      </c>
      <c r="T59" s="62"/>
      <c r="U59" s="610">
        <f>C25+C27+E25+E27+G25+G27+I25+I27+K25+K27+M25+M27+O25+O27+Q25+Q27+S25+S27+U25+U27</f>
        <v>1734.5</v>
      </c>
      <c r="V59" s="62"/>
      <c r="W59" s="610">
        <f>C25+C27+E25+E27+G25+G27+I25+I27+K25+K27+M25+M27+O25+O27+Q25+Q27+S25+S27+U25+U27+W25+W27</f>
        <v>1951.5</v>
      </c>
      <c r="AD59" s="607">
        <f>SUM(AD25,AD27)</f>
        <v>1951.5</v>
      </c>
      <c r="AE59" s="62"/>
    </row>
    <row r="60" spans="1:31">
      <c r="A60" s="69" t="s">
        <v>211</v>
      </c>
      <c r="B60" t="e">
        <f>SUM(#REF!)</f>
        <v>#REF!</v>
      </c>
      <c r="C60" s="511">
        <f>SUM(TimesheetActuals!O:O)</f>
        <v>313.25</v>
      </c>
      <c r="D60" s="514"/>
      <c r="E60" s="610"/>
      <c r="F60" s="62"/>
      <c r="G60" s="610"/>
      <c r="H60" s="62"/>
      <c r="I60" s="610"/>
      <c r="J60" s="62"/>
      <c r="K60" s="610"/>
      <c r="L60" s="62"/>
      <c r="M60" s="610"/>
      <c r="N60" s="62"/>
      <c r="O60" s="610"/>
      <c r="P60" s="62"/>
      <c r="Q60" s="610"/>
      <c r="R60" s="62"/>
      <c r="S60" s="610"/>
      <c r="T60" s="62"/>
      <c r="U60" s="610"/>
      <c r="V60" s="62"/>
      <c r="W60" s="610"/>
      <c r="AD60" s="608"/>
      <c r="AE60" s="62"/>
    </row>
    <row r="61" spans="1:31">
      <c r="A61" s="504" t="s">
        <v>212</v>
      </c>
      <c r="B61" s="42" t="e">
        <f>SUM(#REF!)</f>
        <v>#REF!</v>
      </c>
      <c r="C61" s="517">
        <f>SUM(TimesheetActuals!P:P)</f>
        <v>9.75</v>
      </c>
      <c r="D61" s="506"/>
      <c r="E61" s="506"/>
      <c r="F61" s="506"/>
      <c r="G61" s="506"/>
      <c r="H61" s="506"/>
      <c r="I61" s="506"/>
      <c r="J61" s="506"/>
      <c r="K61" s="506"/>
      <c r="L61" s="506"/>
      <c r="M61" s="506"/>
      <c r="N61" s="506"/>
      <c r="O61" s="506"/>
      <c r="P61" s="506"/>
      <c r="Q61" s="506"/>
      <c r="R61" s="506"/>
      <c r="S61" s="506"/>
      <c r="T61" s="506"/>
      <c r="U61" s="506"/>
      <c r="V61" s="506"/>
      <c r="W61" s="506"/>
      <c r="X61" s="42"/>
      <c r="Y61" s="42"/>
      <c r="Z61" s="42"/>
      <c r="AA61" s="42"/>
      <c r="AB61" s="42"/>
      <c r="AC61" s="42"/>
      <c r="AD61" s="523">
        <v>26</v>
      </c>
      <c r="AE61" s="62"/>
    </row>
    <row r="62" spans="1:31">
      <c r="A62" s="69" t="s">
        <v>213</v>
      </c>
      <c r="B62" t="e">
        <f>SUM(#REF!)</f>
        <v>#REF!</v>
      </c>
      <c r="C62" s="62">
        <f>SUM(TimesheetActuals!Q:Q)</f>
        <v>378.5</v>
      </c>
      <c r="D62" s="62"/>
      <c r="E62" s="62">
        <f>SUM(C41, E41)</f>
        <v>0</v>
      </c>
      <c r="F62" s="62"/>
      <c r="G62" s="62">
        <f>SUM(C41, E41,G41)</f>
        <v>26</v>
      </c>
      <c r="H62" s="62"/>
      <c r="I62" s="62">
        <f>SUM(C41, E41,G41, I41)</f>
        <v>78</v>
      </c>
      <c r="J62" s="62"/>
      <c r="K62" s="62">
        <f>SUM(C41, E41, G41, I41,K41)</f>
        <v>117</v>
      </c>
      <c r="L62" s="62"/>
      <c r="M62" s="62">
        <f>SUM(C41, E41,G41, I41,K41,M41)</f>
        <v>156</v>
      </c>
      <c r="N62" s="62"/>
      <c r="O62" s="62">
        <f>SUM(C41, E41,G41, I41,K41,M41,O41)</f>
        <v>229.5</v>
      </c>
      <c r="P62" s="62"/>
      <c r="Q62" s="62">
        <f>SUM(C41, E41,G41, I41,K41,M41,O41,Q41)</f>
        <v>307.5</v>
      </c>
      <c r="R62" s="62"/>
      <c r="S62" s="62">
        <f>SUM(C41, E41,G41, I41,K41,M41,O41,Q41,S41)</f>
        <v>385.5</v>
      </c>
      <c r="T62" s="62"/>
      <c r="U62" s="62">
        <f>SUM(C41, E41,G41, I41,K41,M41,O41,Q41,S41,U41)</f>
        <v>473.25</v>
      </c>
      <c r="V62" s="62"/>
      <c r="W62" s="62">
        <f>SUM(C41, E41,G41, I41,K41,M41,O41,Q41,S41,U41,W41)</f>
        <v>570.75</v>
      </c>
      <c r="AD62" s="519">
        <v>562</v>
      </c>
      <c r="AE62" s="62"/>
    </row>
    <row r="63" spans="1:31">
      <c r="A63" s="504" t="s">
        <v>222</v>
      </c>
      <c r="B63" s="42" t="e">
        <f>SUM(#REF!)</f>
        <v>#REF!</v>
      </c>
      <c r="C63" s="506">
        <f>SUM(TimesheetActuals!R:R)</f>
        <v>111.25</v>
      </c>
      <c r="D63" s="506"/>
      <c r="E63" s="506">
        <f>SUM(C9,E9)</f>
        <v>11.25</v>
      </c>
      <c r="F63" s="506"/>
      <c r="G63" s="506">
        <f>SUM(C9,E9,G9)</f>
        <v>11.25</v>
      </c>
      <c r="H63" s="506"/>
      <c r="I63" s="506">
        <f>SUM(C9,E9,G9,I9)</f>
        <v>31.25</v>
      </c>
      <c r="J63" s="506"/>
      <c r="K63" s="506">
        <f>SUM(C9,E9,G9,I9,K9)</f>
        <v>81.25</v>
      </c>
      <c r="L63" s="506"/>
      <c r="M63" s="506">
        <f>SUM(C9,E9,G9,I9,K9,M9)</f>
        <v>106.25</v>
      </c>
      <c r="N63" s="506"/>
      <c r="O63" s="506">
        <f>SUM(C9,E9,G9,I9,K9,M9,O9)</f>
        <v>131.25</v>
      </c>
      <c r="P63" s="506"/>
      <c r="Q63" s="506">
        <f>SUM(C9,E9,G9,I9,K9,M9,O9,Q9)</f>
        <v>151.25</v>
      </c>
      <c r="R63" s="506"/>
      <c r="S63" s="506">
        <f>SUM(C9,E9,G9,I9,K9,M9,O9,Q9,S9)</f>
        <v>171.25</v>
      </c>
      <c r="T63" s="506"/>
      <c r="U63" s="506">
        <f>SUM(C9,E9,G9,I9,K9,M9,O9,Q9,S9,U9)</f>
        <v>191.25</v>
      </c>
      <c r="V63" s="506"/>
      <c r="W63" s="506">
        <f>SUM(C9,E9,G9,I9,K9,M9,O9,Q9,S9,U9,W9)</f>
        <v>201.25</v>
      </c>
      <c r="X63" s="42"/>
      <c r="Y63" s="42"/>
      <c r="Z63" s="42"/>
      <c r="AA63" s="42"/>
      <c r="AB63" s="42"/>
      <c r="AC63" s="42"/>
      <c r="AD63" s="523">
        <f>SUM(AE9)</f>
        <v>200</v>
      </c>
      <c r="AE63" s="62"/>
    </row>
  </sheetData>
  <mergeCells count="32">
    <mergeCell ref="W51:W54"/>
    <mergeCell ref="S55:S56"/>
    <mergeCell ref="U55:U56"/>
    <mergeCell ref="W55:W56"/>
    <mergeCell ref="Q55:Q56"/>
    <mergeCell ref="S59:S60"/>
    <mergeCell ref="U59:U60"/>
    <mergeCell ref="W59:W60"/>
    <mergeCell ref="AD59:AD60"/>
    <mergeCell ref="E59:E60"/>
    <mergeCell ref="G59:G60"/>
    <mergeCell ref="I59:I60"/>
    <mergeCell ref="K59:K60"/>
    <mergeCell ref="M59:M60"/>
    <mergeCell ref="O59:O60"/>
    <mergeCell ref="Q59:Q60"/>
    <mergeCell ref="AD55:AD56"/>
    <mergeCell ref="O51:O54"/>
    <mergeCell ref="E55:E56"/>
    <mergeCell ref="G55:G56"/>
    <mergeCell ref="I55:I56"/>
    <mergeCell ref="K55:K56"/>
    <mergeCell ref="M55:M56"/>
    <mergeCell ref="O55:O56"/>
    <mergeCell ref="E51:E54"/>
    <mergeCell ref="G51:G54"/>
    <mergeCell ref="I51:I54"/>
    <mergeCell ref="K51:K54"/>
    <mergeCell ref="M51:M54"/>
    <mergeCell ref="Q51:Q54"/>
    <mergeCell ref="S51:S54"/>
    <mergeCell ref="U51:U54"/>
  </mergeCells>
  <pageMargins left="0.25" right="0.25" top="0.75" bottom="0.75" header="0.3" footer="0.3"/>
  <pageSetup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7"/>
  <sheetViews>
    <sheetView topLeftCell="A51" zoomScale="80" zoomScaleNormal="80" workbookViewId="0">
      <selection activeCell="L76" sqref="L76"/>
    </sheetView>
  </sheetViews>
  <sheetFormatPr defaultRowHeight="15"/>
  <cols>
    <col min="2" max="2" width="22.5703125" bestFit="1" customWidth="1"/>
    <col min="6" max="6" width="13.42578125" bestFit="1" customWidth="1"/>
    <col min="8" max="9" width="14.85546875" bestFit="1" customWidth="1"/>
    <col min="13" max="13" width="32" bestFit="1" customWidth="1"/>
    <col min="17" max="17" width="11.85546875" bestFit="1" customWidth="1"/>
    <col min="19" max="19" width="13.5703125" bestFit="1" customWidth="1"/>
    <col min="20" max="20" width="14.28515625" bestFit="1" customWidth="1"/>
    <col min="25" max="25" width="15.85546875" customWidth="1"/>
  </cols>
  <sheetData>
    <row r="1" spans="1:20" ht="23.25">
      <c r="A1" s="144"/>
      <c r="B1" s="144"/>
      <c r="C1" s="144"/>
      <c r="D1" s="283" t="s">
        <v>114</v>
      </c>
      <c r="E1" s="144"/>
      <c r="F1" s="144"/>
      <c r="G1" s="144"/>
      <c r="H1" s="144"/>
      <c r="I1" s="282"/>
      <c r="L1" s="271">
        <v>500</v>
      </c>
      <c r="M1" s="295" t="s">
        <v>131</v>
      </c>
      <c r="N1" s="144"/>
      <c r="O1" s="144"/>
      <c r="P1" s="144"/>
      <c r="Q1" s="144"/>
      <c r="R1" s="144"/>
      <c r="S1" s="144"/>
      <c r="T1" s="270">
        <f>SUM(T3,T34,T54,T69,T80,T94,T103,T124,T140)</f>
        <v>15833</v>
      </c>
    </row>
    <row r="2" spans="1:20" ht="15.75">
      <c r="A2" s="144">
        <v>501</v>
      </c>
      <c r="B2" s="281" t="s">
        <v>113</v>
      </c>
      <c r="C2" s="144"/>
      <c r="D2" s="144"/>
      <c r="E2" s="271"/>
      <c r="F2" s="271"/>
      <c r="G2" s="271"/>
      <c r="H2" s="144"/>
      <c r="I2" s="280">
        <f>H4+[1]Sheet1!H72+[1]Sheet1!H87</f>
        <v>171467</v>
      </c>
      <c r="L2" s="144"/>
      <c r="M2" s="144"/>
      <c r="N2" s="144"/>
      <c r="O2" s="144"/>
      <c r="P2" s="144"/>
      <c r="Q2" s="144"/>
      <c r="R2" s="144"/>
      <c r="S2" s="144"/>
      <c r="T2" s="282"/>
    </row>
    <row r="3" spans="1:20" ht="15.75">
      <c r="A3" s="144"/>
      <c r="B3" s="271"/>
      <c r="C3" s="144"/>
      <c r="D3" s="144"/>
      <c r="E3" s="279"/>
      <c r="F3" s="279"/>
      <c r="G3" s="278"/>
      <c r="H3" s="277"/>
      <c r="I3" s="276"/>
      <c r="L3" s="144">
        <v>501</v>
      </c>
      <c r="M3" s="281" t="s">
        <v>113</v>
      </c>
      <c r="N3" s="144"/>
      <c r="O3" s="144"/>
      <c r="P3" s="144"/>
      <c r="Q3" s="144"/>
      <c r="R3" s="144"/>
      <c r="S3" s="144"/>
      <c r="T3" s="280">
        <f>SUM(T11:T30)</f>
        <v>15833</v>
      </c>
    </row>
    <row r="4" spans="1:20" ht="15.75">
      <c r="A4" s="144"/>
      <c r="B4" s="271"/>
      <c r="C4" s="144"/>
      <c r="D4" s="144"/>
      <c r="E4" s="275"/>
      <c r="F4" s="274"/>
      <c r="G4" s="273"/>
      <c r="H4" s="270">
        <f>SUM(I10:I74)</f>
        <v>171467</v>
      </c>
      <c r="I4" s="272">
        <f>H4-165657</f>
        <v>5810</v>
      </c>
      <c r="L4" s="144"/>
      <c r="M4" s="271"/>
      <c r="N4" s="144"/>
      <c r="O4" s="144"/>
      <c r="P4" s="144"/>
      <c r="Q4" s="144"/>
      <c r="R4" s="144"/>
      <c r="S4" s="277"/>
      <c r="T4" s="276"/>
    </row>
    <row r="5" spans="1:20" ht="16.5" thickBot="1">
      <c r="A5" s="144"/>
      <c r="B5" s="271"/>
      <c r="C5" s="144"/>
      <c r="D5" s="144"/>
      <c r="E5" s="144"/>
      <c r="F5" s="144"/>
      <c r="G5" s="144"/>
      <c r="H5" s="144"/>
      <c r="I5" s="270"/>
      <c r="L5" s="144"/>
      <c r="M5" s="271"/>
      <c r="N5" s="144"/>
      <c r="O5" s="144"/>
      <c r="P5" s="275"/>
      <c r="Q5" s="274"/>
      <c r="R5" s="273"/>
      <c r="S5" s="270">
        <f>SUM(T11:T30)</f>
        <v>15833</v>
      </c>
      <c r="T5" s="276"/>
    </row>
    <row r="6" spans="1:20" ht="80.25" thickTop="1" thickBot="1">
      <c r="A6" s="264"/>
      <c r="B6" s="268"/>
      <c r="C6" s="269" t="s">
        <v>112</v>
      </c>
      <c r="D6" s="268" t="s">
        <v>111</v>
      </c>
      <c r="E6" s="268"/>
      <c r="F6" s="268"/>
      <c r="G6" s="268"/>
      <c r="H6" s="268" t="s">
        <v>110</v>
      </c>
      <c r="I6" s="268"/>
      <c r="L6" s="144"/>
      <c r="M6" s="271"/>
      <c r="N6" s="144"/>
      <c r="O6" s="144"/>
      <c r="P6" s="144"/>
      <c r="Q6" s="144"/>
      <c r="R6" s="144"/>
      <c r="S6" s="144"/>
      <c r="T6" s="270"/>
    </row>
    <row r="7" spans="1:20" ht="16.5" thickTop="1">
      <c r="A7" s="267"/>
      <c r="B7" s="265"/>
      <c r="C7" s="266"/>
      <c r="D7" s="265" t="s">
        <v>109</v>
      </c>
      <c r="E7" s="265" t="s">
        <v>108</v>
      </c>
      <c r="F7" s="265" t="s">
        <v>107</v>
      </c>
      <c r="G7" s="265" t="s">
        <v>106</v>
      </c>
      <c r="H7" s="265" t="s">
        <v>105</v>
      </c>
      <c r="I7" s="265" t="s">
        <v>104</v>
      </c>
      <c r="L7" s="144"/>
      <c r="M7" s="268"/>
      <c r="N7" s="614" t="s">
        <v>112</v>
      </c>
      <c r="O7" s="268" t="s">
        <v>111</v>
      </c>
      <c r="P7" s="268"/>
      <c r="Q7" s="268"/>
      <c r="R7" s="268"/>
      <c r="S7" s="268" t="s">
        <v>110</v>
      </c>
      <c r="T7" s="268"/>
    </row>
    <row r="8" spans="1:20" ht="15.75">
      <c r="A8" s="264"/>
      <c r="B8" s="265" t="s">
        <v>103</v>
      </c>
      <c r="C8" s="266"/>
      <c r="D8" s="265" t="s">
        <v>102</v>
      </c>
      <c r="E8" s="265" t="s">
        <v>101</v>
      </c>
      <c r="F8" s="265" t="s">
        <v>101</v>
      </c>
      <c r="G8" s="265" t="s">
        <v>100</v>
      </c>
      <c r="H8" s="265"/>
      <c r="I8" s="265" t="s">
        <v>33</v>
      </c>
      <c r="L8" s="270"/>
      <c r="M8" s="265"/>
      <c r="N8" s="615"/>
      <c r="O8" s="265" t="s">
        <v>109</v>
      </c>
      <c r="P8" s="265" t="s">
        <v>108</v>
      </c>
      <c r="Q8" s="265" t="s">
        <v>107</v>
      </c>
      <c r="R8" s="265" t="s">
        <v>106</v>
      </c>
      <c r="S8" s="265" t="s">
        <v>105</v>
      </c>
      <c r="T8" s="265" t="s">
        <v>104</v>
      </c>
    </row>
    <row r="9" spans="1:20" ht="16.5" thickBot="1">
      <c r="A9" s="264"/>
      <c r="B9" s="262" t="s">
        <v>99</v>
      </c>
      <c r="C9" s="263"/>
      <c r="D9" s="262"/>
      <c r="E9" s="262" t="s">
        <v>98</v>
      </c>
      <c r="F9" s="262" t="s">
        <v>98</v>
      </c>
      <c r="G9" s="262" t="s">
        <v>97</v>
      </c>
      <c r="H9" s="262"/>
      <c r="I9" s="262" t="s">
        <v>96</v>
      </c>
      <c r="J9" s="542" t="s">
        <v>389</v>
      </c>
      <c r="L9" s="144"/>
      <c r="M9" s="265" t="s">
        <v>103</v>
      </c>
      <c r="N9" s="615"/>
      <c r="O9" s="265" t="s">
        <v>102</v>
      </c>
      <c r="P9" s="265" t="s">
        <v>101</v>
      </c>
      <c r="Q9" s="265" t="s">
        <v>101</v>
      </c>
      <c r="R9" s="265" t="s">
        <v>100</v>
      </c>
      <c r="S9" s="265"/>
      <c r="T9" s="265" t="s">
        <v>33</v>
      </c>
    </row>
    <row r="10" spans="1:20" ht="17.25" thickTop="1" thickBot="1">
      <c r="A10" s="211" t="s">
        <v>85</v>
      </c>
      <c r="B10" s="261" t="s">
        <v>70</v>
      </c>
      <c r="C10" s="172">
        <v>1</v>
      </c>
      <c r="D10" s="171">
        <v>1</v>
      </c>
      <c r="E10" s="170">
        <v>17.5</v>
      </c>
      <c r="F10" s="260" t="s">
        <v>95</v>
      </c>
      <c r="G10" s="259">
        <v>9.75</v>
      </c>
      <c r="H10" s="258">
        <v>42</v>
      </c>
      <c r="I10" s="212">
        <f>ROUND(C10*D10*E10*G10*H10,0)</f>
        <v>7166</v>
      </c>
      <c r="J10" s="544">
        <f>SUM(G10*H10)</f>
        <v>409.5</v>
      </c>
      <c r="L10" s="144"/>
      <c r="M10" s="262" t="s">
        <v>99</v>
      </c>
      <c r="N10" s="616"/>
      <c r="O10" s="262"/>
      <c r="P10" s="262" t="s">
        <v>98</v>
      </c>
      <c r="Q10" s="262" t="s">
        <v>98</v>
      </c>
      <c r="R10" s="262" t="s">
        <v>97</v>
      </c>
      <c r="S10" s="262"/>
      <c r="T10" s="262" t="s">
        <v>96</v>
      </c>
    </row>
    <row r="11" spans="1:20" ht="17.25" thickTop="1" thickBot="1">
      <c r="A11" s="257"/>
      <c r="B11" s="256" t="s">
        <v>17</v>
      </c>
      <c r="C11" s="163"/>
      <c r="D11" s="163"/>
      <c r="E11" s="162"/>
      <c r="F11" s="255"/>
      <c r="G11" s="161" t="s">
        <v>68</v>
      </c>
      <c r="H11" s="160" t="s">
        <v>67</v>
      </c>
      <c r="I11" s="159"/>
      <c r="J11" s="13"/>
      <c r="L11" s="158">
        <v>1</v>
      </c>
      <c r="M11" s="296" t="s">
        <v>70</v>
      </c>
      <c r="N11" s="231">
        <v>1</v>
      </c>
      <c r="O11" s="230">
        <v>1</v>
      </c>
      <c r="P11" s="232">
        <v>18</v>
      </c>
      <c r="Q11" s="154"/>
      <c r="R11" s="532">
        <v>6.5</v>
      </c>
      <c r="S11" s="237">
        <v>37</v>
      </c>
      <c r="T11" s="151">
        <f>ROUND(N11*O11*P11*R11*S11,0)</f>
        <v>4329</v>
      </c>
    </row>
    <row r="12" spans="1:20" ht="17.25" hidden="1" thickTop="1" thickBot="1">
      <c r="A12" s="254" t="s">
        <v>0</v>
      </c>
      <c r="B12" s="253" t="s">
        <v>70</v>
      </c>
      <c r="C12" s="252">
        <v>0</v>
      </c>
      <c r="D12" s="251">
        <v>0</v>
      </c>
      <c r="E12" s="184">
        <v>17.5</v>
      </c>
      <c r="F12" s="250"/>
      <c r="G12" s="182">
        <v>6.5</v>
      </c>
      <c r="H12" s="208">
        <v>40</v>
      </c>
      <c r="I12" s="166">
        <f>ROUND(C12*D12*E12*G12*H12,0)</f>
        <v>0</v>
      </c>
      <c r="J12" s="13"/>
      <c r="L12" s="222" t="s">
        <v>132</v>
      </c>
      <c r="M12" s="297" t="s">
        <v>41</v>
      </c>
      <c r="N12" s="226"/>
      <c r="O12" s="226"/>
      <c r="P12" s="189"/>
      <c r="Q12" s="189"/>
      <c r="R12" s="225" t="s">
        <v>68</v>
      </c>
      <c r="S12" s="146" t="s">
        <v>67</v>
      </c>
      <c r="T12" s="189"/>
    </row>
    <row r="13" spans="1:20" ht="17.25" hidden="1" thickTop="1" thickBot="1">
      <c r="A13" s="180"/>
      <c r="B13" s="235" t="s">
        <v>76</v>
      </c>
      <c r="C13" s="249"/>
      <c r="D13" s="178"/>
      <c r="E13" s="177"/>
      <c r="F13" s="248"/>
      <c r="G13" s="176" t="s">
        <v>68</v>
      </c>
      <c r="H13" s="234" t="s">
        <v>67</v>
      </c>
      <c r="I13" s="174"/>
      <c r="J13" s="13"/>
      <c r="L13" s="150">
        <v>1</v>
      </c>
      <c r="M13" s="296" t="s">
        <v>70</v>
      </c>
      <c r="N13" s="231">
        <v>1</v>
      </c>
      <c r="O13" s="230">
        <v>1</v>
      </c>
      <c r="P13" s="238">
        <v>17.5</v>
      </c>
      <c r="Q13" s="154"/>
      <c r="R13" s="228">
        <v>0</v>
      </c>
      <c r="S13" s="152">
        <v>32</v>
      </c>
      <c r="T13" s="151">
        <f>ROUND(N13*O13*P13*R13*S13,0)</f>
        <v>0</v>
      </c>
    </row>
    <row r="14" spans="1:20" ht="17.25" thickTop="1" thickBot="1">
      <c r="A14" s="197" t="s">
        <v>3</v>
      </c>
      <c r="B14" s="247" t="s">
        <v>70</v>
      </c>
      <c r="C14" s="246">
        <v>1</v>
      </c>
      <c r="D14" s="245">
        <v>1</v>
      </c>
      <c r="E14" s="143">
        <v>18</v>
      </c>
      <c r="F14" s="244"/>
      <c r="G14" s="153">
        <v>3.25</v>
      </c>
      <c r="H14" s="196">
        <v>42</v>
      </c>
      <c r="I14" s="151">
        <f>ROUND(C14*D14*E14*G14*H14,0)</f>
        <v>2457</v>
      </c>
      <c r="J14" s="13">
        <f>SUM(G14*H14)</f>
        <v>136.5</v>
      </c>
      <c r="L14" s="150" t="s">
        <v>132</v>
      </c>
      <c r="M14" s="297" t="s">
        <v>41</v>
      </c>
      <c r="N14" s="226"/>
      <c r="O14" s="226"/>
      <c r="P14" s="189"/>
      <c r="Q14" s="189"/>
      <c r="R14" s="225" t="s">
        <v>68</v>
      </c>
      <c r="S14" s="146" t="s">
        <v>67</v>
      </c>
      <c r="T14" s="189"/>
    </row>
    <row r="15" spans="1:20" ht="17.25" thickTop="1" thickBot="1">
      <c r="A15" s="222"/>
      <c r="B15" s="221" t="s">
        <v>9</v>
      </c>
      <c r="C15" s="243"/>
      <c r="D15" s="148"/>
      <c r="E15" s="145"/>
      <c r="F15" s="242"/>
      <c r="G15" s="147" t="s">
        <v>68</v>
      </c>
      <c r="H15" s="194" t="s">
        <v>67</v>
      </c>
      <c r="I15" s="189"/>
      <c r="J15" s="13"/>
      <c r="L15" s="158">
        <v>2</v>
      </c>
      <c r="M15" s="296" t="s">
        <v>70</v>
      </c>
      <c r="N15" s="231">
        <v>1</v>
      </c>
      <c r="O15" s="230">
        <v>1</v>
      </c>
      <c r="P15" s="238">
        <v>17.5</v>
      </c>
      <c r="Q15" s="154"/>
      <c r="R15" s="532">
        <v>6.5</v>
      </c>
      <c r="S15" s="237">
        <v>36</v>
      </c>
      <c r="T15" s="151">
        <f>ROUND(N15*O15*P15*R15*S15,0)</f>
        <v>4095</v>
      </c>
    </row>
    <row r="16" spans="1:20" ht="17.25" thickTop="1" thickBot="1">
      <c r="A16" s="197" t="s">
        <v>94</v>
      </c>
      <c r="B16" s="241" t="s">
        <v>70</v>
      </c>
      <c r="C16" s="240">
        <v>1</v>
      </c>
      <c r="D16" s="239">
        <v>1</v>
      </c>
      <c r="E16" s="143">
        <v>17.5</v>
      </c>
      <c r="F16" s="183"/>
      <c r="G16" s="153">
        <v>9.75</v>
      </c>
      <c r="H16" s="196">
        <v>42</v>
      </c>
      <c r="I16" s="151">
        <f>ROUND(C16*D16*E16*G16*H16,0)</f>
        <v>7166</v>
      </c>
      <c r="J16" s="13">
        <f>SUM(G16*H16)</f>
        <v>409.5</v>
      </c>
      <c r="L16" s="222" t="s">
        <v>36</v>
      </c>
      <c r="M16" s="297" t="s">
        <v>52</v>
      </c>
      <c r="N16" s="226"/>
      <c r="O16" s="226"/>
      <c r="P16" s="189"/>
      <c r="Q16" s="189"/>
      <c r="R16" s="225" t="s">
        <v>68</v>
      </c>
      <c r="S16" s="146" t="s">
        <v>67</v>
      </c>
      <c r="T16" s="189"/>
    </row>
    <row r="17" spans="1:20" ht="17.25" thickTop="1" thickBot="1">
      <c r="A17" s="222"/>
      <c r="B17" s="227" t="s">
        <v>92</v>
      </c>
      <c r="C17" s="148"/>
      <c r="D17" s="148"/>
      <c r="E17" s="145"/>
      <c r="F17" s="174"/>
      <c r="G17" s="147" t="s">
        <v>68</v>
      </c>
      <c r="H17" s="194" t="s">
        <v>67</v>
      </c>
      <c r="I17" s="189"/>
      <c r="J17" s="13"/>
      <c r="L17" s="158">
        <v>2</v>
      </c>
      <c r="M17" s="296" t="s">
        <v>70</v>
      </c>
      <c r="N17" s="231">
        <v>1</v>
      </c>
      <c r="O17" s="230">
        <v>1</v>
      </c>
      <c r="P17" s="238">
        <v>17.5</v>
      </c>
      <c r="Q17" s="154"/>
      <c r="R17" s="532">
        <v>6.5</v>
      </c>
      <c r="S17" s="237">
        <v>36</v>
      </c>
      <c r="T17" s="151">
        <f>ROUND(N17*O17*P17*R17*S17,0)</f>
        <v>4095</v>
      </c>
    </row>
    <row r="18" spans="1:20" ht="17.25" thickTop="1" thickBot="1">
      <c r="A18" s="197" t="s">
        <v>59</v>
      </c>
      <c r="B18" s="241" t="s">
        <v>70</v>
      </c>
      <c r="C18" s="240">
        <v>1</v>
      </c>
      <c r="D18" s="239">
        <v>1</v>
      </c>
      <c r="E18" s="143">
        <v>18</v>
      </c>
      <c r="F18" s="183"/>
      <c r="G18" s="153">
        <v>9.75</v>
      </c>
      <c r="H18" s="196">
        <v>42</v>
      </c>
      <c r="I18" s="151">
        <f>ROUND(C18*D18*E18*G18*H18,0)</f>
        <v>7371</v>
      </c>
      <c r="J18" s="13">
        <f>SUM(G18*H18)</f>
        <v>409.5</v>
      </c>
      <c r="L18" s="222" t="s">
        <v>133</v>
      </c>
      <c r="M18" s="149" t="s">
        <v>52</v>
      </c>
      <c r="N18" s="226"/>
      <c r="O18" s="226"/>
      <c r="P18" s="189"/>
      <c r="Q18" s="189"/>
      <c r="R18" s="225" t="s">
        <v>68</v>
      </c>
      <c r="S18" s="146" t="s">
        <v>67</v>
      </c>
      <c r="T18" s="189"/>
    </row>
    <row r="19" spans="1:20" ht="17.25" thickTop="1" thickBot="1">
      <c r="A19" s="222"/>
      <c r="B19" s="221" t="s">
        <v>9</v>
      </c>
      <c r="C19" s="148"/>
      <c r="D19" s="148"/>
      <c r="E19" s="145"/>
      <c r="F19" s="189"/>
      <c r="G19" s="147" t="s">
        <v>68</v>
      </c>
      <c r="H19" s="194" t="s">
        <v>67</v>
      </c>
      <c r="I19" s="189"/>
      <c r="J19" s="13"/>
      <c r="L19" s="150"/>
      <c r="M19" s="528" t="s">
        <v>70</v>
      </c>
      <c r="N19" s="529">
        <v>1</v>
      </c>
      <c r="O19" s="530">
        <v>1</v>
      </c>
      <c r="P19" s="232">
        <v>17.5</v>
      </c>
      <c r="Q19" s="531"/>
      <c r="R19" s="532">
        <v>0</v>
      </c>
      <c r="S19" s="237">
        <v>2</v>
      </c>
      <c r="T19" s="533">
        <f>ROUND(N19*O19*P19*R19*S19,0)</f>
        <v>0</v>
      </c>
    </row>
    <row r="20" spans="1:20" ht="17.25" hidden="1" thickTop="1" thickBot="1">
      <c r="A20" s="197" t="s">
        <v>93</v>
      </c>
      <c r="B20" s="241" t="s">
        <v>70</v>
      </c>
      <c r="C20" s="240">
        <v>0</v>
      </c>
      <c r="D20" s="239">
        <v>0</v>
      </c>
      <c r="E20" s="143">
        <v>18</v>
      </c>
      <c r="F20" s="183"/>
      <c r="G20" s="153">
        <v>9.75</v>
      </c>
      <c r="H20" s="196">
        <v>24</v>
      </c>
      <c r="I20" s="151">
        <f>ROUND(C20*D20*E20*G20*H20,0)</f>
        <v>0</v>
      </c>
      <c r="J20" s="13"/>
      <c r="L20" s="150"/>
      <c r="M20" s="534" t="s">
        <v>134</v>
      </c>
      <c r="N20" s="535"/>
      <c r="O20" s="535"/>
      <c r="P20" s="536"/>
      <c r="Q20" s="536"/>
      <c r="R20" s="537" t="s">
        <v>68</v>
      </c>
      <c r="S20" s="538" t="s">
        <v>67</v>
      </c>
      <c r="T20" s="536"/>
    </row>
    <row r="21" spans="1:20" ht="17.25" hidden="1" thickTop="1" thickBot="1">
      <c r="A21" s="197" t="s">
        <v>62</v>
      </c>
      <c r="B21" s="221" t="s">
        <v>9</v>
      </c>
      <c r="C21" s="148"/>
      <c r="D21" s="148"/>
      <c r="E21" s="145"/>
      <c r="F21" s="189"/>
      <c r="G21" s="147" t="s">
        <v>68</v>
      </c>
      <c r="H21" s="194" t="s">
        <v>67</v>
      </c>
      <c r="I21" s="189"/>
      <c r="J21" s="13"/>
      <c r="L21" s="150" t="s">
        <v>29</v>
      </c>
      <c r="M21" s="539" t="s">
        <v>135</v>
      </c>
      <c r="N21" s="529">
        <v>1</v>
      </c>
      <c r="O21" s="530">
        <v>1</v>
      </c>
      <c r="P21" s="232"/>
      <c r="Q21" s="531"/>
      <c r="R21" s="532">
        <v>14</v>
      </c>
      <c r="S21" s="237">
        <v>1</v>
      </c>
      <c r="T21" s="533">
        <f>ROUND(N21*O21*P21*R21*S21,0)</f>
        <v>0</v>
      </c>
    </row>
    <row r="22" spans="1:20" ht="17.25" thickTop="1" thickBot="1">
      <c r="A22" s="222"/>
      <c r="B22" s="224" t="s">
        <v>70</v>
      </c>
      <c r="C22" s="156">
        <v>1</v>
      </c>
      <c r="D22" s="155">
        <v>1</v>
      </c>
      <c r="E22" s="238">
        <v>17.5</v>
      </c>
      <c r="F22" s="183"/>
      <c r="G22" s="153">
        <v>6.5</v>
      </c>
      <c r="H22" s="196">
        <v>42</v>
      </c>
      <c r="I22" s="151">
        <f>ROUND(C22*D22*E22*G22*H22,0)</f>
        <v>4778</v>
      </c>
      <c r="J22" s="13">
        <f>SUM(G22*H22)</f>
        <v>273</v>
      </c>
      <c r="L22" s="150"/>
      <c r="M22" s="538"/>
      <c r="N22" s="535"/>
      <c r="O22" s="535"/>
      <c r="P22" s="536"/>
      <c r="Q22" s="536"/>
      <c r="R22" s="537" t="s">
        <v>68</v>
      </c>
      <c r="S22" s="538" t="s">
        <v>67</v>
      </c>
      <c r="T22" s="536"/>
    </row>
    <row r="23" spans="1:20" ht="17.25" thickTop="1" thickBot="1">
      <c r="A23" s="197" t="s">
        <v>3</v>
      </c>
      <c r="B23" s="221" t="s">
        <v>10</v>
      </c>
      <c r="C23" s="148"/>
      <c r="D23" s="148"/>
      <c r="E23" s="189"/>
      <c r="F23" s="189"/>
      <c r="G23" s="147" t="s">
        <v>68</v>
      </c>
      <c r="H23" s="194" t="s">
        <v>67</v>
      </c>
      <c r="I23" s="189"/>
      <c r="J23" s="13"/>
      <c r="L23" s="150"/>
      <c r="M23" s="298" t="s">
        <v>136</v>
      </c>
      <c r="N23" s="231">
        <v>1</v>
      </c>
      <c r="O23" s="230">
        <v>1</v>
      </c>
      <c r="P23" s="238">
        <v>17.5</v>
      </c>
      <c r="Q23" s="154"/>
      <c r="R23" s="228">
        <v>1</v>
      </c>
      <c r="S23" s="152">
        <v>34</v>
      </c>
      <c r="T23" s="151">
        <f>ROUND(N23*O23*P23*R23*S23,0)</f>
        <v>595</v>
      </c>
    </row>
    <row r="24" spans="1:20" ht="17.25" hidden="1" thickTop="1" thickBot="1">
      <c r="A24" s="222"/>
      <c r="B24" s="224" t="s">
        <v>70</v>
      </c>
      <c r="C24" s="156">
        <v>0</v>
      </c>
      <c r="D24" s="155">
        <v>0</v>
      </c>
      <c r="E24" s="143">
        <v>17.5</v>
      </c>
      <c r="F24" s="183"/>
      <c r="G24" s="153">
        <v>3.25</v>
      </c>
      <c r="H24" s="196">
        <v>40</v>
      </c>
      <c r="I24" s="151">
        <f>ROUND(C24*D24*E24*G24*H24,0)</f>
        <v>0</v>
      </c>
      <c r="J24" s="13"/>
      <c r="L24" s="150"/>
      <c r="M24" s="149" t="s">
        <v>52</v>
      </c>
      <c r="N24" s="226"/>
      <c r="O24" s="226"/>
      <c r="P24" s="189"/>
      <c r="Q24" s="189"/>
      <c r="R24" s="225" t="s">
        <v>68</v>
      </c>
      <c r="S24" s="146" t="s">
        <v>67</v>
      </c>
      <c r="T24" s="189"/>
    </row>
    <row r="25" spans="1:20" ht="17.25" hidden="1" thickTop="1" thickBot="1">
      <c r="A25" s="222"/>
      <c r="B25" s="221" t="s">
        <v>76</v>
      </c>
      <c r="C25" s="148"/>
      <c r="D25" s="148"/>
      <c r="E25" s="145"/>
      <c r="F25" s="189"/>
      <c r="G25" s="147" t="s">
        <v>68</v>
      </c>
      <c r="H25" s="194" t="s">
        <v>67</v>
      </c>
      <c r="I25" s="189"/>
      <c r="J25" s="13"/>
      <c r="L25" s="150"/>
      <c r="M25" s="298" t="s">
        <v>137</v>
      </c>
      <c r="N25" s="231">
        <v>1</v>
      </c>
      <c r="O25" s="230">
        <v>1</v>
      </c>
      <c r="P25" s="238">
        <v>17.5</v>
      </c>
      <c r="Q25" s="154"/>
      <c r="R25" s="228">
        <v>48</v>
      </c>
      <c r="S25" s="152">
        <v>1</v>
      </c>
      <c r="T25" s="151">
        <f>ROUND(N25*O25*P25*R25*S25,0)</f>
        <v>840</v>
      </c>
    </row>
    <row r="26" spans="1:20" ht="17.25" thickTop="1" thickBot="1">
      <c r="A26" s="222"/>
      <c r="B26" s="224" t="s">
        <v>70</v>
      </c>
      <c r="C26" s="156">
        <v>1</v>
      </c>
      <c r="D26" s="155">
        <v>1</v>
      </c>
      <c r="E26" s="232">
        <v>18</v>
      </c>
      <c r="F26" s="183"/>
      <c r="G26" s="153">
        <v>3.25</v>
      </c>
      <c r="H26" s="237">
        <v>25</v>
      </c>
      <c r="I26" s="151">
        <f>ROUND(C26*D26*E26*G26*H26,0)</f>
        <v>1463</v>
      </c>
      <c r="J26" s="13">
        <f>SUM(G26*H26)</f>
        <v>81.25</v>
      </c>
      <c r="L26" s="150"/>
      <c r="M26" s="149" t="s">
        <v>41</v>
      </c>
      <c r="N26" s="226"/>
      <c r="O26" s="226"/>
      <c r="P26" s="189"/>
      <c r="Q26" s="189"/>
      <c r="R26" s="225" t="s">
        <v>68</v>
      </c>
      <c r="S26" s="146" t="s">
        <v>67</v>
      </c>
      <c r="T26" s="189"/>
    </row>
    <row r="27" spans="1:20" ht="17.25" thickTop="1" thickBot="1">
      <c r="A27" s="197" t="s">
        <v>64</v>
      </c>
      <c r="B27" s="221" t="s">
        <v>9</v>
      </c>
      <c r="C27" s="148"/>
      <c r="D27" s="148"/>
      <c r="E27" s="189"/>
      <c r="F27" s="189"/>
      <c r="G27" s="147" t="s">
        <v>68</v>
      </c>
      <c r="H27" s="194" t="s">
        <v>67</v>
      </c>
      <c r="I27" s="189"/>
      <c r="J27" s="13"/>
      <c r="L27" s="150"/>
      <c r="M27" s="142" t="s">
        <v>138</v>
      </c>
      <c r="N27" s="299">
        <v>1</v>
      </c>
      <c r="O27" s="300">
        <v>0.02</v>
      </c>
      <c r="P27" s="301"/>
      <c r="Q27" s="302">
        <f>(71002*1.015)/12</f>
        <v>6005.5858333333335</v>
      </c>
      <c r="R27" s="303"/>
      <c r="S27" s="304">
        <v>12</v>
      </c>
      <c r="T27" s="303">
        <f>ROUND(SUM(N27)*(O27)*(Q27)*(S27),0)</f>
        <v>1441</v>
      </c>
    </row>
    <row r="28" spans="1:20" ht="17.25" thickTop="1" thickBot="1">
      <c r="A28" s="222"/>
      <c r="B28" s="547" t="s">
        <v>70</v>
      </c>
      <c r="C28" s="529">
        <v>1</v>
      </c>
      <c r="D28" s="530">
        <v>1</v>
      </c>
      <c r="E28" s="232">
        <v>17.5</v>
      </c>
      <c r="F28" s="548"/>
      <c r="G28" s="532">
        <v>6.5</v>
      </c>
      <c r="H28" s="237">
        <v>15</v>
      </c>
      <c r="I28" s="533">
        <f>ROUND(C28*D28*E28*G28*H28,0)</f>
        <v>1706</v>
      </c>
      <c r="J28" s="13">
        <f>SUM(G28*H28)</f>
        <v>97.5</v>
      </c>
      <c r="L28" s="150"/>
      <c r="M28" s="305" t="s">
        <v>139</v>
      </c>
      <c r="N28" s="306"/>
      <c r="O28" s="307"/>
      <c r="P28" s="308"/>
      <c r="Q28" s="309"/>
      <c r="R28" s="308"/>
      <c r="S28" s="310"/>
      <c r="T28" s="308"/>
    </row>
    <row r="29" spans="1:20" ht="17.25" thickTop="1" thickBot="1">
      <c r="A29" s="197" t="s">
        <v>420</v>
      </c>
      <c r="B29" s="549"/>
      <c r="C29" s="535"/>
      <c r="D29" s="535"/>
      <c r="E29" s="536"/>
      <c r="F29" s="536"/>
      <c r="G29" s="537" t="s">
        <v>68</v>
      </c>
      <c r="H29" s="538" t="s">
        <v>67</v>
      </c>
      <c r="I29" s="536"/>
      <c r="J29" s="13"/>
      <c r="L29" s="150"/>
      <c r="M29" s="540" t="s">
        <v>386</v>
      </c>
      <c r="N29" s="311">
        <v>1</v>
      </c>
      <c r="O29" s="312">
        <v>1</v>
      </c>
      <c r="P29" s="151">
        <v>17.5</v>
      </c>
      <c r="Q29" s="313"/>
      <c r="R29" s="314">
        <v>25</v>
      </c>
      <c r="S29" s="315">
        <v>1</v>
      </c>
      <c r="T29" s="151">
        <f>ROUND(N29*O29*P29*R29*S29,0)</f>
        <v>438</v>
      </c>
    </row>
    <row r="30" spans="1:20" ht="17.25" thickTop="1" thickBot="1">
      <c r="A30" s="222"/>
      <c r="B30" s="547" t="s">
        <v>70</v>
      </c>
      <c r="C30" s="529">
        <v>1</v>
      </c>
      <c r="D30" s="530">
        <v>1</v>
      </c>
      <c r="E30" s="232">
        <v>17.5</v>
      </c>
      <c r="F30" s="548"/>
      <c r="G30" s="532">
        <v>6.5</v>
      </c>
      <c r="H30" s="237">
        <v>15</v>
      </c>
      <c r="I30" s="533">
        <f>ROUND(C30*D30*E30*G30*H30,0)</f>
        <v>1706</v>
      </c>
      <c r="J30" s="13">
        <f>SUM(G30*H30)</f>
        <v>97.5</v>
      </c>
      <c r="L30" s="150"/>
      <c r="M30" s="149" t="s">
        <v>76</v>
      </c>
      <c r="N30" s="226"/>
      <c r="O30" s="226"/>
      <c r="P30" s="189"/>
      <c r="Q30" s="189"/>
      <c r="R30" s="225" t="s">
        <v>68</v>
      </c>
      <c r="S30" s="146" t="s">
        <v>67</v>
      </c>
      <c r="T30" s="189"/>
    </row>
    <row r="31" spans="1:20" ht="17.25" thickTop="1" thickBot="1">
      <c r="A31" s="197" t="s">
        <v>420</v>
      </c>
      <c r="B31" s="549"/>
      <c r="C31" s="535"/>
      <c r="D31" s="535"/>
      <c r="E31" s="536"/>
      <c r="F31" s="536"/>
      <c r="G31" s="537" t="s">
        <v>68</v>
      </c>
      <c r="H31" s="538" t="s">
        <v>67</v>
      </c>
      <c r="I31" s="536"/>
      <c r="J31" s="13"/>
      <c r="L31" s="144"/>
      <c r="M31" s="611" t="s">
        <v>66</v>
      </c>
      <c r="N31" s="612"/>
      <c r="O31" s="612"/>
      <c r="P31" s="612"/>
      <c r="Q31" s="613"/>
      <c r="R31" s="143"/>
      <c r="S31" s="142"/>
      <c r="T31" s="141"/>
    </row>
    <row r="32" spans="1:20" ht="16.5" thickTop="1">
      <c r="A32" s="222"/>
      <c r="B32" s="224" t="s">
        <v>70</v>
      </c>
      <c r="C32" s="156">
        <v>1</v>
      </c>
      <c r="D32" s="155">
        <v>1</v>
      </c>
      <c r="E32" s="238">
        <v>17.5</v>
      </c>
      <c r="F32" s="183"/>
      <c r="G32" s="153">
        <v>6.5</v>
      </c>
      <c r="H32" s="237">
        <v>20</v>
      </c>
      <c r="I32" s="151">
        <f>ROUND(C32*D32*E32*G32*H32,0)</f>
        <v>2275</v>
      </c>
      <c r="J32" s="13">
        <f>SUM(G32*H32)</f>
        <v>130</v>
      </c>
    </row>
    <row r="33" spans="1:25" ht="16.5" thickBot="1">
      <c r="A33" s="222" t="s">
        <v>62</v>
      </c>
      <c r="B33" s="221" t="s">
        <v>384</v>
      </c>
      <c r="C33" s="148"/>
      <c r="D33" s="148"/>
      <c r="E33" s="189"/>
      <c r="F33" s="189"/>
      <c r="G33" s="147" t="s">
        <v>68</v>
      </c>
      <c r="H33" s="194" t="s">
        <v>67</v>
      </c>
      <c r="I33" s="189"/>
      <c r="J33" s="13"/>
    </row>
    <row r="34" spans="1:25" ht="16.5" thickTop="1">
      <c r="A34" s="180"/>
      <c r="B34" s="236" t="s">
        <v>91</v>
      </c>
      <c r="C34" s="186">
        <v>1</v>
      </c>
      <c r="D34" s="185">
        <v>1</v>
      </c>
      <c r="E34" s="524">
        <v>18</v>
      </c>
      <c r="F34" s="183"/>
      <c r="G34" s="526">
        <v>6</v>
      </c>
      <c r="H34" s="527">
        <v>40</v>
      </c>
      <c r="I34" s="525">
        <f>ROUND(C34*D34*E34*G34*H34,0)</f>
        <v>4320</v>
      </c>
      <c r="J34" s="545">
        <f>SUM(G34*H34)</f>
        <v>240</v>
      </c>
    </row>
    <row r="35" spans="1:25" ht="16.5" thickBot="1">
      <c r="A35" s="180" t="s">
        <v>31</v>
      </c>
      <c r="B35" s="235" t="s">
        <v>41</v>
      </c>
      <c r="C35" s="178"/>
      <c r="D35" s="178"/>
      <c r="E35" s="174"/>
      <c r="F35" s="174"/>
      <c r="G35" s="176" t="s">
        <v>68</v>
      </c>
      <c r="H35" s="234" t="s">
        <v>67</v>
      </c>
      <c r="I35" s="174"/>
      <c r="J35" s="13"/>
    </row>
    <row r="36" spans="1:25" ht="16.5" thickTop="1">
      <c r="A36" s="222"/>
      <c r="B36" s="224" t="s">
        <v>70</v>
      </c>
      <c r="C36" s="156">
        <v>1</v>
      </c>
      <c r="D36" s="155">
        <v>1</v>
      </c>
      <c r="E36" s="143">
        <v>17.5</v>
      </c>
      <c r="F36" s="183"/>
      <c r="G36" s="153"/>
      <c r="H36" s="196"/>
      <c r="I36" s="151">
        <f>875+875+875+875+900+875+950+900+875+875+875</f>
        <v>9750</v>
      </c>
      <c r="J36" s="13">
        <v>551.4</v>
      </c>
    </row>
    <row r="37" spans="1:25" ht="16.5" thickBot="1">
      <c r="A37" s="222"/>
      <c r="B37" s="227" t="s">
        <v>90</v>
      </c>
      <c r="C37" s="148"/>
      <c r="D37" s="148"/>
      <c r="E37" s="145"/>
      <c r="F37" s="189"/>
      <c r="G37" s="147" t="s">
        <v>68</v>
      </c>
      <c r="H37" s="194" t="s">
        <v>67</v>
      </c>
      <c r="I37" s="189"/>
      <c r="J37" s="13"/>
    </row>
    <row r="38" spans="1:25" ht="16.5" thickTop="1">
      <c r="A38" s="222"/>
      <c r="B38" s="224" t="s">
        <v>88</v>
      </c>
      <c r="C38" s="156">
        <v>1</v>
      </c>
      <c r="D38" s="155">
        <v>1</v>
      </c>
      <c r="E38" s="143">
        <v>17.5</v>
      </c>
      <c r="F38" s="183"/>
      <c r="G38" s="153">
        <v>3</v>
      </c>
      <c r="H38" s="196">
        <v>10</v>
      </c>
      <c r="I38" s="151">
        <f>ROUND(C38*D38*E38*G38*H38,0)</f>
        <v>525</v>
      </c>
      <c r="J38" s="13">
        <f>SUM(G38*H38)</f>
        <v>30</v>
      </c>
      <c r="M38" t="s">
        <v>277</v>
      </c>
      <c r="N38" s="446">
        <f>AVERAGE(E10,E14,E16,E18,E22,E26,E32,E34,E36,E38,E40,E42,E44,E48,E50,E54,E56,E58,E60,E62,E66,E68)</f>
        <v>17.727272727272727</v>
      </c>
      <c r="Q38" t="s">
        <v>279</v>
      </c>
      <c r="R38">
        <v>10</v>
      </c>
    </row>
    <row r="39" spans="1:25" ht="16.5" thickBot="1">
      <c r="A39" s="222"/>
      <c r="B39" s="227" t="s">
        <v>140</v>
      </c>
      <c r="C39" s="148"/>
      <c r="D39" s="148"/>
      <c r="E39" s="145"/>
      <c r="F39" s="189"/>
      <c r="G39" s="147" t="s">
        <v>68</v>
      </c>
      <c r="H39" s="194" t="s">
        <v>67</v>
      </c>
      <c r="I39" s="189"/>
      <c r="J39" s="13"/>
      <c r="M39" t="s">
        <v>278</v>
      </c>
      <c r="N39">
        <f>SUM(J10:J33,J36:J44,J50:J74)</f>
        <v>5626.15</v>
      </c>
    </row>
    <row r="40" spans="1:25" ht="16.5" thickTop="1">
      <c r="A40" s="222"/>
      <c r="B40" s="224" t="s">
        <v>88</v>
      </c>
      <c r="C40" s="156">
        <v>1</v>
      </c>
      <c r="D40" s="155">
        <v>1</v>
      </c>
      <c r="E40" s="232">
        <v>17.5</v>
      </c>
      <c r="F40" s="183"/>
      <c r="G40" s="153">
        <v>5</v>
      </c>
      <c r="H40" s="196">
        <v>20</v>
      </c>
      <c r="I40" s="151">
        <f>ROUND(C40*D40*E40*G40*H40,0)</f>
        <v>1750</v>
      </c>
      <c r="J40" s="13">
        <f>SUM(G40*H40)</f>
        <v>100</v>
      </c>
      <c r="M40" t="s">
        <v>280</v>
      </c>
      <c r="N40">
        <f>SUM(J10,J50,J54,J68)</f>
        <v>1254.5</v>
      </c>
      <c r="Q40" t="s">
        <v>385</v>
      </c>
      <c r="R40">
        <f>SUM(J38,J40,J42,J44)</f>
        <v>463</v>
      </c>
    </row>
    <row r="41" spans="1:25" ht="16.5" thickBot="1">
      <c r="A41" s="222"/>
      <c r="B41" s="227" t="s">
        <v>10</v>
      </c>
      <c r="C41" s="148"/>
      <c r="D41" s="148"/>
      <c r="E41" s="145"/>
      <c r="F41" s="189"/>
      <c r="G41" s="147" t="s">
        <v>68</v>
      </c>
      <c r="H41" s="194" t="s">
        <v>67</v>
      </c>
      <c r="I41" s="189"/>
      <c r="J41" s="13"/>
      <c r="M41" t="s">
        <v>281</v>
      </c>
      <c r="N41">
        <f>SUM(J14:J32,J37:J44,J56:J66)</f>
        <v>3820.25</v>
      </c>
    </row>
    <row r="42" spans="1:25" ht="16.5" thickTop="1">
      <c r="A42" s="222"/>
      <c r="B42" s="224" t="s">
        <v>88</v>
      </c>
      <c r="C42" s="156">
        <v>1</v>
      </c>
      <c r="D42" s="155">
        <v>1</v>
      </c>
      <c r="E42" s="232">
        <v>18</v>
      </c>
      <c r="F42" s="183"/>
      <c r="G42" s="153">
        <v>3</v>
      </c>
      <c r="H42" s="196">
        <v>20</v>
      </c>
      <c r="I42" s="151">
        <f>ROUND(C42*D42*E42*G42*H42,0)</f>
        <v>1080</v>
      </c>
      <c r="J42" s="13">
        <f>SUM(G42*H42)</f>
        <v>60</v>
      </c>
      <c r="M42" t="s">
        <v>120</v>
      </c>
      <c r="N42">
        <f>J36</f>
        <v>551.4</v>
      </c>
    </row>
    <row r="43" spans="1:25" ht="16.5" thickBot="1">
      <c r="A43" s="222"/>
      <c r="B43" s="233" t="s">
        <v>89</v>
      </c>
      <c r="C43" s="148"/>
      <c r="D43" s="148"/>
      <c r="E43" s="145"/>
      <c r="F43" s="189"/>
      <c r="G43" s="147" t="s">
        <v>68</v>
      </c>
      <c r="H43" s="194" t="s">
        <v>67</v>
      </c>
      <c r="I43" s="189"/>
      <c r="J43" s="13"/>
    </row>
    <row r="44" spans="1:25" ht="16.5" thickTop="1">
      <c r="A44" s="222"/>
      <c r="B44" s="224" t="s">
        <v>88</v>
      </c>
      <c r="C44" s="156">
        <v>1</v>
      </c>
      <c r="D44" s="155">
        <v>1</v>
      </c>
      <c r="E44" s="232">
        <v>17.5</v>
      </c>
      <c r="F44" s="183"/>
      <c r="G44" s="153">
        <v>6.5</v>
      </c>
      <c r="H44" s="196">
        <v>42</v>
      </c>
      <c r="I44" s="151">
        <f>ROUND(C44*D44*E44*G44*H44,0)</f>
        <v>4778</v>
      </c>
      <c r="J44" s="13">
        <f>SUM(G44*H44)</f>
        <v>273</v>
      </c>
    </row>
    <row r="45" spans="1:25" ht="16.5" thickBot="1">
      <c r="A45" s="222"/>
      <c r="B45" s="227" t="s">
        <v>87</v>
      </c>
      <c r="C45" s="148"/>
      <c r="D45" s="148"/>
      <c r="E45" s="145"/>
      <c r="F45" s="189"/>
      <c r="G45" s="147" t="s">
        <v>68</v>
      </c>
      <c r="H45" s="194" t="s">
        <v>67</v>
      </c>
      <c r="I45" s="145"/>
      <c r="J45" s="13"/>
      <c r="M45" s="541" t="s">
        <v>387</v>
      </c>
      <c r="Y45" s="546" t="s">
        <v>393</v>
      </c>
    </row>
    <row r="46" spans="1:25" ht="16.5" thickTop="1">
      <c r="A46" s="222"/>
      <c r="B46" s="224" t="s">
        <v>14</v>
      </c>
      <c r="C46" s="231">
        <v>1</v>
      </c>
      <c r="D46" s="230">
        <v>1</v>
      </c>
      <c r="E46" s="229">
        <v>15</v>
      </c>
      <c r="F46" s="154"/>
      <c r="G46" s="228">
        <v>25</v>
      </c>
      <c r="H46" s="152">
        <v>50</v>
      </c>
      <c r="I46" s="223">
        <f>ROUND(C46*D46*E46*G46*H46,0)</f>
        <v>18750</v>
      </c>
      <c r="J46" s="3">
        <f>SUM(G46*H46)</f>
        <v>1250</v>
      </c>
      <c r="L46" s="4" t="s">
        <v>167</v>
      </c>
      <c r="M46" t="s">
        <v>382</v>
      </c>
      <c r="Y46" t="s">
        <v>394</v>
      </c>
    </row>
    <row r="47" spans="1:25" ht="16.5" thickBot="1">
      <c r="A47" s="222"/>
      <c r="B47" s="227"/>
      <c r="C47" s="226"/>
      <c r="D47" s="226"/>
      <c r="E47" s="189"/>
      <c r="F47" s="189"/>
      <c r="G47" s="225" t="s">
        <v>68</v>
      </c>
      <c r="H47" s="146" t="s">
        <v>67</v>
      </c>
      <c r="I47" s="189"/>
      <c r="J47" s="13"/>
      <c r="M47" t="s">
        <v>383</v>
      </c>
      <c r="Y47">
        <v>144</v>
      </c>
    </row>
    <row r="48" spans="1:25" ht="17.25" hidden="1" thickTop="1" thickBot="1">
      <c r="A48" s="222"/>
      <c r="B48" s="224" t="s">
        <v>86</v>
      </c>
      <c r="C48" s="156">
        <v>1</v>
      </c>
      <c r="D48" s="155">
        <v>1</v>
      </c>
      <c r="E48" s="143">
        <v>18</v>
      </c>
      <c r="F48" s="154"/>
      <c r="G48" s="153">
        <v>17</v>
      </c>
      <c r="H48" s="152">
        <v>50</v>
      </c>
      <c r="I48" s="223">
        <f>ROUND(C48*D48*E48*G48*H48,0)</f>
        <v>15300</v>
      </c>
      <c r="J48" s="3">
        <f>SUM(G48*H48)</f>
        <v>850</v>
      </c>
      <c r="Y48">
        <v>2625</v>
      </c>
    </row>
    <row r="49" spans="1:25" ht="17.25" hidden="1" thickTop="1" thickBot="1">
      <c r="A49" s="222"/>
      <c r="B49" s="221" t="s">
        <v>13</v>
      </c>
      <c r="C49" s="148"/>
      <c r="D49" s="148"/>
      <c r="E49" s="145"/>
      <c r="F49" s="189"/>
      <c r="G49" s="147" t="s">
        <v>68</v>
      </c>
      <c r="H49" s="194" t="s">
        <v>67</v>
      </c>
      <c r="I49" s="145"/>
      <c r="J49" s="13"/>
    </row>
    <row r="50" spans="1:25" ht="16.5" thickTop="1">
      <c r="A50" s="220">
        <v>1</v>
      </c>
      <c r="B50" s="219" t="s">
        <v>70</v>
      </c>
      <c r="C50" s="218">
        <v>1</v>
      </c>
      <c r="D50" s="217">
        <v>1</v>
      </c>
      <c r="E50" s="216">
        <v>17.5</v>
      </c>
      <c r="F50" s="215"/>
      <c r="G50" s="214">
        <v>9.75</v>
      </c>
      <c r="H50" s="213">
        <v>42</v>
      </c>
      <c r="I50" s="212">
        <f>ROUND(C50*D50*E50*G50*H50,0)</f>
        <v>7166</v>
      </c>
      <c r="J50" s="544">
        <f>SUM(G50*H50)</f>
        <v>409.5</v>
      </c>
    </row>
    <row r="51" spans="1:25" ht="16.5" thickBot="1">
      <c r="A51" s="211" t="s">
        <v>85</v>
      </c>
      <c r="B51" s="164" t="s">
        <v>17</v>
      </c>
      <c r="C51" s="163"/>
      <c r="D51" s="163"/>
      <c r="E51" s="162"/>
      <c r="F51" s="159"/>
      <c r="G51" s="161" t="s">
        <v>68</v>
      </c>
      <c r="H51" s="160" t="s">
        <v>67</v>
      </c>
      <c r="I51" s="159"/>
      <c r="J51" s="544"/>
      <c r="L51" s="4" t="s">
        <v>388</v>
      </c>
    </row>
    <row r="52" spans="1:25" ht="16.5" thickTop="1">
      <c r="A52" s="144">
        <v>1</v>
      </c>
      <c r="B52" s="187" t="s">
        <v>70</v>
      </c>
      <c r="C52" s="186">
        <v>0</v>
      </c>
      <c r="D52" s="185">
        <v>0</v>
      </c>
      <c r="E52" s="184">
        <v>17.5</v>
      </c>
      <c r="F52" s="183"/>
      <c r="G52" s="182">
        <v>6.5</v>
      </c>
      <c r="H52" s="208">
        <v>40</v>
      </c>
      <c r="I52" s="166">
        <f>ROUND(C52*D52*E52*G52*H52,0)</f>
        <v>0</v>
      </c>
      <c r="J52" s="544"/>
      <c r="M52" t="s">
        <v>392</v>
      </c>
      <c r="V52">
        <v>1050</v>
      </c>
      <c r="Y52">
        <v>1050</v>
      </c>
    </row>
    <row r="53" spans="1:25" ht="16.5" thickBot="1">
      <c r="A53" s="210" t="s">
        <v>0</v>
      </c>
      <c r="B53" s="206" t="s">
        <v>84</v>
      </c>
      <c r="C53" s="205"/>
      <c r="D53" s="205"/>
      <c r="E53" s="204"/>
      <c r="F53" s="174"/>
      <c r="G53" s="203" t="s">
        <v>68</v>
      </c>
      <c r="H53" s="202" t="s">
        <v>67</v>
      </c>
      <c r="I53" s="174"/>
      <c r="J53" s="544"/>
      <c r="M53" t="s">
        <v>391</v>
      </c>
      <c r="V53">
        <v>2625</v>
      </c>
      <c r="Y53">
        <v>2625</v>
      </c>
    </row>
    <row r="54" spans="1:25" ht="16.5" thickTop="1">
      <c r="A54" s="209">
        <v>1</v>
      </c>
      <c r="B54" s="187" t="s">
        <v>70</v>
      </c>
      <c r="C54" s="186">
        <v>1</v>
      </c>
      <c r="D54" s="185">
        <v>1</v>
      </c>
      <c r="E54" s="184">
        <v>17.5</v>
      </c>
      <c r="F54" s="183"/>
      <c r="G54" s="182">
        <v>6.5</v>
      </c>
      <c r="H54" s="208">
        <v>42</v>
      </c>
      <c r="I54" s="166">
        <f>ROUND(C54*D54*E54*G54*H54,0)</f>
        <v>4778</v>
      </c>
      <c r="J54" s="544">
        <f>SUM(G54*H54)</f>
        <v>273</v>
      </c>
    </row>
    <row r="55" spans="1:25" ht="16.5" thickBot="1">
      <c r="A55" s="207" t="s">
        <v>83</v>
      </c>
      <c r="B55" s="206" t="s">
        <v>52</v>
      </c>
      <c r="C55" s="205"/>
      <c r="D55" s="205"/>
      <c r="E55" s="204"/>
      <c r="F55" s="174"/>
      <c r="G55" s="203" t="s">
        <v>68</v>
      </c>
      <c r="H55" s="202" t="s">
        <v>67</v>
      </c>
      <c r="I55" s="174"/>
      <c r="J55" s="13"/>
    </row>
    <row r="56" spans="1:25" ht="16.5" thickTop="1">
      <c r="A56" s="158">
        <v>1</v>
      </c>
      <c r="B56" s="192" t="s">
        <v>70</v>
      </c>
      <c r="C56" s="156">
        <v>1</v>
      </c>
      <c r="D56" s="155">
        <v>1</v>
      </c>
      <c r="E56" s="143">
        <v>19</v>
      </c>
      <c r="F56" s="183"/>
      <c r="G56" s="153">
        <v>9.75</v>
      </c>
      <c r="H56" s="196">
        <v>42</v>
      </c>
      <c r="I56" s="151">
        <f>ROUND(C56*D56*E56*G56*H56,0)</f>
        <v>7781</v>
      </c>
      <c r="J56" s="13">
        <f>SUM(G56*H56)</f>
        <v>409.5</v>
      </c>
      <c r="M56" s="7" t="s">
        <v>395</v>
      </c>
      <c r="P56" s="7" t="s">
        <v>402</v>
      </c>
    </row>
    <row r="57" spans="1:25" ht="16.5" thickBot="1">
      <c r="A57" s="197" t="s">
        <v>6</v>
      </c>
      <c r="B57" s="149" t="s">
        <v>53</v>
      </c>
      <c r="C57" s="201"/>
      <c r="D57" s="201"/>
      <c r="E57" s="200"/>
      <c r="F57" s="189"/>
      <c r="G57" s="199" t="s">
        <v>68</v>
      </c>
      <c r="H57" s="198" t="s">
        <v>67</v>
      </c>
      <c r="I57" s="189"/>
      <c r="J57" s="13"/>
      <c r="M57" t="s">
        <v>396</v>
      </c>
      <c r="N57">
        <v>26513</v>
      </c>
      <c r="P57" t="s">
        <v>403</v>
      </c>
      <c r="R57">
        <v>84692</v>
      </c>
    </row>
    <row r="58" spans="1:25" ht="16.5" thickTop="1">
      <c r="A58" s="158">
        <v>1</v>
      </c>
      <c r="B58" s="192" t="s">
        <v>70</v>
      </c>
      <c r="C58" s="156">
        <v>1</v>
      </c>
      <c r="D58" s="155">
        <v>1</v>
      </c>
      <c r="E58" s="143">
        <v>18</v>
      </c>
      <c r="F58" s="183"/>
      <c r="G58" s="153">
        <v>9.75</v>
      </c>
      <c r="H58" s="196">
        <v>42</v>
      </c>
      <c r="I58" s="151">
        <f>ROUND(C58*D58*E58*G58*H58,0)</f>
        <v>7371</v>
      </c>
      <c r="J58" s="13">
        <f>SUM(G58*H58)</f>
        <v>409.5</v>
      </c>
      <c r="M58" t="s">
        <v>397</v>
      </c>
      <c r="N58">
        <v>4550</v>
      </c>
      <c r="P58" t="s">
        <v>404</v>
      </c>
      <c r="R58">
        <v>1750</v>
      </c>
    </row>
    <row r="59" spans="1:25" ht="16.5" thickBot="1">
      <c r="A59" s="197" t="s">
        <v>82</v>
      </c>
      <c r="B59" s="190" t="s">
        <v>12</v>
      </c>
      <c r="C59" s="148"/>
      <c r="D59" s="148"/>
      <c r="E59" s="145"/>
      <c r="F59" s="189"/>
      <c r="G59" s="147" t="s">
        <v>68</v>
      </c>
      <c r="H59" s="194" t="s">
        <v>67</v>
      </c>
      <c r="I59" s="189"/>
      <c r="J59" s="13"/>
      <c r="M59" t="s">
        <v>398</v>
      </c>
      <c r="N59">
        <v>4688</v>
      </c>
      <c r="P59" t="s">
        <v>405</v>
      </c>
      <c r="R59">
        <v>14063</v>
      </c>
    </row>
    <row r="60" spans="1:25" ht="17.25" hidden="1" thickTop="1" thickBot="1">
      <c r="A60" s="158">
        <v>2</v>
      </c>
      <c r="B60" s="192" t="s">
        <v>70</v>
      </c>
      <c r="C60" s="156">
        <v>1</v>
      </c>
      <c r="D60" s="155">
        <v>1</v>
      </c>
      <c r="E60" s="143">
        <v>17.5</v>
      </c>
      <c r="F60" s="154"/>
      <c r="G60" s="153">
        <v>9.75</v>
      </c>
      <c r="H60" s="196">
        <v>42</v>
      </c>
      <c r="I60" s="151">
        <f>ROUND(C60*D60*E60*G60*H60,0)</f>
        <v>7166</v>
      </c>
      <c r="J60" s="13">
        <f>SUM(G60*H60)</f>
        <v>409.5</v>
      </c>
    </row>
    <row r="61" spans="1:25" ht="17.25" hidden="1" thickTop="1" thickBot="1">
      <c r="A61" s="191" t="s">
        <v>81</v>
      </c>
      <c r="B61" s="190" t="s">
        <v>52</v>
      </c>
      <c r="C61" s="148"/>
      <c r="D61" s="148"/>
      <c r="E61" s="145"/>
      <c r="F61" s="189"/>
      <c r="G61" s="147" t="s">
        <v>68</v>
      </c>
      <c r="H61" s="194" t="s">
        <v>67</v>
      </c>
      <c r="I61" s="189"/>
      <c r="J61" s="13"/>
    </row>
    <row r="62" spans="1:25" ht="16.5" thickTop="1">
      <c r="A62" s="158">
        <v>2</v>
      </c>
      <c r="B62" s="192" t="s">
        <v>70</v>
      </c>
      <c r="C62" s="156">
        <v>1</v>
      </c>
      <c r="D62" s="155">
        <v>1</v>
      </c>
      <c r="E62" s="143">
        <v>17.5</v>
      </c>
      <c r="F62" s="183"/>
      <c r="G62" s="153">
        <v>6.5</v>
      </c>
      <c r="H62" s="196">
        <v>38</v>
      </c>
      <c r="I62" s="151">
        <f>ROUND(C62*D62*E62*G62*H62,0)</f>
        <v>4323</v>
      </c>
      <c r="J62" s="13">
        <f>SUM(G62*H62)</f>
        <v>247</v>
      </c>
      <c r="M62" t="s">
        <v>399</v>
      </c>
      <c r="N62">
        <v>1632</v>
      </c>
      <c r="P62" t="s">
        <v>406</v>
      </c>
      <c r="R62">
        <v>4896</v>
      </c>
    </row>
    <row r="63" spans="1:25" ht="16.5" thickBot="1">
      <c r="A63" s="195" t="s">
        <v>80</v>
      </c>
      <c r="B63" s="190" t="s">
        <v>140</v>
      </c>
      <c r="C63" s="163"/>
      <c r="D63" s="163"/>
      <c r="E63" s="162"/>
      <c r="F63" s="159"/>
      <c r="G63" s="147" t="s">
        <v>68</v>
      </c>
      <c r="H63" s="194" t="s">
        <v>67</v>
      </c>
      <c r="I63" s="159"/>
      <c r="J63" s="13"/>
      <c r="M63" t="s">
        <v>400</v>
      </c>
      <c r="N63">
        <v>401</v>
      </c>
      <c r="P63" t="s">
        <v>407</v>
      </c>
      <c r="R63">
        <v>1204</v>
      </c>
    </row>
    <row r="64" spans="1:25" ht="16.5" thickTop="1">
      <c r="A64" s="188">
        <v>2</v>
      </c>
      <c r="B64" s="187" t="s">
        <v>70</v>
      </c>
      <c r="C64" s="186">
        <v>1</v>
      </c>
      <c r="D64" s="185">
        <v>1</v>
      </c>
      <c r="E64" s="184">
        <v>17.5</v>
      </c>
      <c r="F64" s="183"/>
      <c r="G64" s="182">
        <v>0</v>
      </c>
      <c r="H64" s="181">
        <v>0</v>
      </c>
      <c r="I64" s="166">
        <f>ROUND(C64*D64*E64*G64*H64,0)</f>
        <v>0</v>
      </c>
      <c r="J64" s="13"/>
      <c r="M64" t="s">
        <v>401</v>
      </c>
      <c r="N64">
        <v>3825</v>
      </c>
      <c r="P64" t="s">
        <v>408</v>
      </c>
      <c r="R64">
        <v>11475</v>
      </c>
    </row>
    <row r="65" spans="1:10" ht="16.5" thickBot="1">
      <c r="A65" s="193" t="s">
        <v>79</v>
      </c>
      <c r="B65" s="179" t="s">
        <v>78</v>
      </c>
      <c r="C65" s="178"/>
      <c r="D65" s="178"/>
      <c r="E65" s="177"/>
      <c r="F65" s="174"/>
      <c r="G65" s="176" t="s">
        <v>68</v>
      </c>
      <c r="H65" s="175" t="s">
        <v>67</v>
      </c>
      <c r="I65" s="174"/>
      <c r="J65" s="13"/>
    </row>
    <row r="66" spans="1:10" ht="17.25" thickTop="1" thickBot="1">
      <c r="A66" s="158">
        <v>2</v>
      </c>
      <c r="B66" s="192" t="s">
        <v>70</v>
      </c>
      <c r="C66" s="156">
        <v>1</v>
      </c>
      <c r="D66" s="155">
        <v>1</v>
      </c>
      <c r="E66" s="143">
        <v>17.5</v>
      </c>
      <c r="F66" s="154"/>
      <c r="G66" s="153">
        <v>6.5</v>
      </c>
      <c r="H66" s="152">
        <v>38</v>
      </c>
      <c r="I66" s="151">
        <f>ROUND(C66*D66*E66*G66*H66,0)</f>
        <v>4323</v>
      </c>
      <c r="J66" s="13">
        <f>SUM(G66*H66)</f>
        <v>247</v>
      </c>
    </row>
    <row r="67" spans="1:10" ht="17.25" thickTop="1" thickBot="1">
      <c r="A67" s="191" t="s">
        <v>77</v>
      </c>
      <c r="B67" s="190" t="s">
        <v>140</v>
      </c>
      <c r="C67" s="148"/>
      <c r="D67" s="148"/>
      <c r="E67" s="145"/>
      <c r="F67" s="189"/>
      <c r="G67" s="147" t="s">
        <v>68</v>
      </c>
      <c r="H67" s="146" t="s">
        <v>67</v>
      </c>
      <c r="I67" s="151"/>
      <c r="J67" s="13"/>
    </row>
    <row r="68" spans="1:10" ht="16.5" thickTop="1">
      <c r="A68" s="188">
        <v>2</v>
      </c>
      <c r="B68" s="187" t="s">
        <v>70</v>
      </c>
      <c r="C68" s="186">
        <v>1</v>
      </c>
      <c r="D68" s="185">
        <v>1</v>
      </c>
      <c r="E68" s="184">
        <v>17.5</v>
      </c>
      <c r="F68" s="183"/>
      <c r="G68" s="182">
        <v>6.5</v>
      </c>
      <c r="H68" s="527">
        <v>25</v>
      </c>
      <c r="I68" s="525">
        <f t="shared" ref="I68" si="0">ROUND(C68*D68*E68*G68*H68,0)</f>
        <v>2844</v>
      </c>
      <c r="J68" s="544">
        <f>SUM(G68*H68)</f>
        <v>162.5</v>
      </c>
    </row>
    <row r="69" spans="1:10" ht="27" thickBot="1">
      <c r="A69" s="180" t="s">
        <v>75</v>
      </c>
      <c r="B69" s="543" t="s">
        <v>390</v>
      </c>
      <c r="C69" s="178"/>
      <c r="D69" s="178"/>
      <c r="E69" s="177"/>
      <c r="F69" s="174"/>
      <c r="G69" s="176" t="s">
        <v>68</v>
      </c>
      <c r="H69" s="175" t="s">
        <v>67</v>
      </c>
      <c r="I69" s="174"/>
    </row>
    <row r="70" spans="1:10" ht="16.5" thickTop="1">
      <c r="A70" s="158" t="s">
        <v>71</v>
      </c>
      <c r="B70" s="173" t="s">
        <v>73</v>
      </c>
      <c r="C70" s="172">
        <v>1</v>
      </c>
      <c r="D70" s="171">
        <v>0.25</v>
      </c>
      <c r="E70" s="170"/>
      <c r="F70" s="169">
        <f>(30873)/12</f>
        <v>2572.75</v>
      </c>
      <c r="G70" s="168"/>
      <c r="H70" s="167">
        <v>12</v>
      </c>
      <c r="I70" s="166">
        <f>ROUND(SUM(C70)*(D70)*(F70)*(H70),0)</f>
        <v>7718</v>
      </c>
    </row>
    <row r="71" spans="1:10" ht="16.5" thickBot="1">
      <c r="A71" s="165" t="s">
        <v>4</v>
      </c>
      <c r="B71" s="164" t="s">
        <v>30</v>
      </c>
      <c r="C71" s="163"/>
      <c r="D71" s="163"/>
      <c r="E71" s="162"/>
      <c r="F71" s="162"/>
      <c r="G71" s="161"/>
      <c r="H71" s="160" t="s">
        <v>72</v>
      </c>
      <c r="I71" s="159"/>
    </row>
    <row r="72" spans="1:10" ht="16.5" thickTop="1">
      <c r="A72" s="158" t="s">
        <v>71</v>
      </c>
      <c r="B72" s="157" t="s">
        <v>70</v>
      </c>
      <c r="C72" s="156">
        <v>1</v>
      </c>
      <c r="D72" s="155">
        <v>1</v>
      </c>
      <c r="E72" s="143">
        <v>21.65</v>
      </c>
      <c r="F72" s="154"/>
      <c r="G72" s="153">
        <v>22.5</v>
      </c>
      <c r="H72" s="152">
        <v>46</v>
      </c>
      <c r="I72" s="151">
        <f>ROUND(C72*D72*E72*G72*H72,0)</f>
        <v>22408</v>
      </c>
      <c r="J72" t="s">
        <v>69</v>
      </c>
    </row>
    <row r="73" spans="1:10" ht="16.5" thickBot="1">
      <c r="A73" s="150" t="s">
        <v>1</v>
      </c>
      <c r="B73" s="149" t="s">
        <v>16</v>
      </c>
      <c r="C73" s="148"/>
      <c r="D73" s="148"/>
      <c r="E73" s="145"/>
      <c r="F73" s="145"/>
      <c r="G73" s="147" t="s">
        <v>68</v>
      </c>
      <c r="H73" s="146" t="s">
        <v>67</v>
      </c>
      <c r="I73" s="145"/>
    </row>
    <row r="74" spans="1:10" ht="16.5" thickTop="1">
      <c r="A74" s="158" t="s">
        <v>71</v>
      </c>
      <c r="B74" s="157" t="s">
        <v>70</v>
      </c>
      <c r="C74" s="156">
        <v>1</v>
      </c>
      <c r="D74" s="155">
        <v>1</v>
      </c>
      <c r="E74" s="143">
        <v>21.65</v>
      </c>
      <c r="F74" s="154"/>
      <c r="G74" s="153">
        <v>10</v>
      </c>
      <c r="H74" s="152">
        <v>15</v>
      </c>
      <c r="I74" s="151">
        <f>ROUND(C74*D74*E74*G74*H74,0)</f>
        <v>3248</v>
      </c>
      <c r="J74" t="s">
        <v>421</v>
      </c>
    </row>
    <row r="75" spans="1:10" ht="16.5" thickBot="1">
      <c r="A75" s="150" t="s">
        <v>1</v>
      </c>
      <c r="B75" s="149"/>
      <c r="C75" s="148"/>
      <c r="D75" s="148"/>
      <c r="E75" s="145"/>
      <c r="F75" s="145"/>
      <c r="G75" s="147" t="s">
        <v>68</v>
      </c>
      <c r="H75" s="146" t="s">
        <v>67</v>
      </c>
      <c r="I75" s="145"/>
    </row>
    <row r="76" spans="1:10" ht="16.5" thickTop="1">
      <c r="A76" s="144"/>
      <c r="B76" s="611" t="s">
        <v>66</v>
      </c>
      <c r="C76" s="612"/>
      <c r="D76" s="612"/>
      <c r="E76" s="612"/>
      <c r="F76" s="613"/>
      <c r="G76" s="143"/>
      <c r="H76" s="142"/>
      <c r="I76" s="141"/>
    </row>
    <row r="77" spans="1:10">
      <c r="F77">
        <v>0</v>
      </c>
    </row>
  </sheetData>
  <mergeCells count="3">
    <mergeCell ref="B76:F76"/>
    <mergeCell ref="N7:N10"/>
    <mergeCell ref="M31:Q31"/>
  </mergeCells>
  <printOptions horizontalCentered="1" verticalCentered="1"/>
  <pageMargins left="0.25" right="0.25" top="0.25" bottom="0.25" header="0" footer="0"/>
  <pageSetup scale="86" orientation="portrait" r:id="rId1"/>
  <rowBreaks count="1" manualBreakCount="1">
    <brk id="7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topLeftCell="I1" zoomScaleNormal="100" workbookViewId="0">
      <selection activeCell="M3" sqref="M3:M17"/>
    </sheetView>
  </sheetViews>
  <sheetFormatPr defaultRowHeight="15"/>
  <cols>
    <col min="1" max="1" width="18" bestFit="1" customWidth="1"/>
    <col min="2" max="2" width="19.42578125" bestFit="1" customWidth="1"/>
    <col min="3" max="3" width="11.42578125" style="380" customWidth="1"/>
    <col min="4" max="4" width="72.85546875" hidden="1" customWidth="1"/>
    <col min="5" max="5" width="17.5703125" style="468" customWidth="1"/>
    <col min="6" max="6" width="14.5703125" bestFit="1" customWidth="1"/>
    <col min="7" max="7" width="10.140625" bestFit="1" customWidth="1"/>
    <col min="8" max="8" width="29.5703125" customWidth="1"/>
    <col min="9" max="9" width="7.85546875" style="469" bestFit="1" customWidth="1"/>
    <col min="10" max="10" width="18.28515625" style="67" bestFit="1" customWidth="1"/>
    <col min="11" max="11" width="9.5703125" bestFit="1" customWidth="1"/>
    <col min="12" max="12" width="10.85546875" style="476" bestFit="1" customWidth="1"/>
    <col min="13" max="13" width="8.140625" bestFit="1" customWidth="1"/>
    <col min="14" max="14" width="18.7109375" style="469" bestFit="1" customWidth="1"/>
    <col min="15" max="15" width="16.5703125" style="67" customWidth="1"/>
    <col min="16" max="16" width="9.85546875" customWidth="1"/>
    <col min="17" max="17" width="9.7109375" customWidth="1"/>
    <col min="18" max="18" width="12.42578125" customWidth="1"/>
  </cols>
  <sheetData>
    <row r="1" spans="1:25" s="445" customFormat="1" ht="33.75">
      <c r="A1" s="617" t="s">
        <v>40</v>
      </c>
      <c r="B1" s="617"/>
      <c r="C1" s="617"/>
      <c r="D1" s="617"/>
      <c r="E1" s="617"/>
      <c r="F1" s="617"/>
      <c r="G1" s="617"/>
      <c r="H1" s="618"/>
      <c r="I1" s="619" t="s">
        <v>200</v>
      </c>
      <c r="J1" s="620"/>
      <c r="K1" s="620"/>
      <c r="L1" s="620"/>
      <c r="M1" s="620"/>
      <c r="N1" s="620"/>
      <c r="O1" s="620"/>
      <c r="P1" s="620"/>
      <c r="Q1" s="620"/>
      <c r="R1" s="620"/>
    </row>
    <row r="2" spans="1:25" s="5" customFormat="1" ht="31.5" customHeight="1">
      <c r="A2" s="69" t="s">
        <v>164</v>
      </c>
      <c r="B2" s="69" t="s">
        <v>42</v>
      </c>
      <c r="C2" s="477" t="s">
        <v>165</v>
      </c>
      <c r="D2" s="69" t="s">
        <v>5</v>
      </c>
      <c r="E2" s="478"/>
      <c r="F2" s="69" t="s">
        <v>264</v>
      </c>
      <c r="G2" s="69" t="s">
        <v>265</v>
      </c>
      <c r="H2" s="69" t="s">
        <v>351</v>
      </c>
      <c r="I2" s="478" t="s">
        <v>5</v>
      </c>
      <c r="J2" s="479" t="s">
        <v>266</v>
      </c>
      <c r="K2" s="69"/>
      <c r="L2" s="480" t="s">
        <v>42</v>
      </c>
      <c r="M2" s="69" t="s">
        <v>165</v>
      </c>
      <c r="N2" s="481" t="s">
        <v>339</v>
      </c>
      <c r="O2" s="482"/>
      <c r="P2" s="69" t="s">
        <v>264</v>
      </c>
      <c r="Q2" s="69" t="s">
        <v>265</v>
      </c>
      <c r="R2" s="69" t="s">
        <v>295</v>
      </c>
    </row>
    <row r="3" spans="1:25">
      <c r="A3" s="67" t="s">
        <v>166</v>
      </c>
      <c r="B3" s="471">
        <v>42186</v>
      </c>
      <c r="C3" s="472">
        <v>25.88</v>
      </c>
      <c r="D3" s="67" t="s">
        <v>167</v>
      </c>
      <c r="E3" s="468" t="s">
        <v>171</v>
      </c>
      <c r="F3">
        <v>500</v>
      </c>
      <c r="I3" s="469">
        <v>209</v>
      </c>
      <c r="J3" s="67" t="s">
        <v>331</v>
      </c>
      <c r="K3" s="465" t="s">
        <v>311</v>
      </c>
      <c r="L3" s="476" t="s">
        <v>321</v>
      </c>
      <c r="M3" s="316">
        <v>437</v>
      </c>
      <c r="N3" s="469" t="s">
        <v>267</v>
      </c>
      <c r="O3" s="67" t="s">
        <v>341</v>
      </c>
      <c r="P3">
        <v>337</v>
      </c>
      <c r="Q3">
        <v>293.93</v>
      </c>
      <c r="R3">
        <f>SUM(P3)-Q3</f>
        <v>43.069999999999993</v>
      </c>
      <c r="Y3" s="399"/>
    </row>
    <row r="4" spans="1:25">
      <c r="A4" s="67" t="s">
        <v>168</v>
      </c>
      <c r="B4" s="471">
        <v>42186</v>
      </c>
      <c r="C4" s="472">
        <v>25.88</v>
      </c>
      <c r="D4" s="67" t="s">
        <v>167</v>
      </c>
      <c r="E4" s="468" t="s">
        <v>275</v>
      </c>
      <c r="F4">
        <v>1080</v>
      </c>
      <c r="I4" s="469">
        <v>209</v>
      </c>
      <c r="J4" s="67" t="s">
        <v>331</v>
      </c>
      <c r="K4" s="465" t="s">
        <v>312</v>
      </c>
      <c r="L4" s="476" t="s">
        <v>322</v>
      </c>
      <c r="M4" s="316">
        <v>201.79</v>
      </c>
      <c r="N4" s="469" t="s">
        <v>268</v>
      </c>
      <c r="O4" s="67" t="s">
        <v>342</v>
      </c>
      <c r="P4">
        <v>300</v>
      </c>
      <c r="R4">
        <f t="shared" ref="R4:R17" si="0">SUM(P4)-Q4</f>
        <v>300</v>
      </c>
      <c r="Y4" s="399"/>
    </row>
    <row r="5" spans="1:25">
      <c r="A5" s="67" t="s">
        <v>52</v>
      </c>
      <c r="B5" s="471">
        <v>42186</v>
      </c>
      <c r="C5" s="472">
        <v>28.18</v>
      </c>
      <c r="D5" s="67" t="s">
        <v>167</v>
      </c>
      <c r="E5" s="468" t="s">
        <v>300</v>
      </c>
      <c r="F5">
        <v>545</v>
      </c>
      <c r="I5" s="495">
        <v>209</v>
      </c>
      <c r="J5" s="428" t="s">
        <v>353</v>
      </c>
      <c r="K5" s="496" t="s">
        <v>313</v>
      </c>
      <c r="L5" s="497" t="s">
        <v>323</v>
      </c>
      <c r="M5" s="489">
        <v>625</v>
      </c>
      <c r="N5" s="469" t="s">
        <v>269</v>
      </c>
      <c r="O5" s="11" t="s">
        <v>340</v>
      </c>
      <c r="P5">
        <v>100</v>
      </c>
      <c r="R5">
        <f t="shared" si="0"/>
        <v>100</v>
      </c>
      <c r="Y5" s="399"/>
    </row>
    <row r="6" spans="1:25">
      <c r="A6" s="67" t="s">
        <v>37</v>
      </c>
      <c r="B6" s="471">
        <v>42186</v>
      </c>
      <c r="C6" s="472">
        <v>11.5</v>
      </c>
      <c r="D6" s="67" t="s">
        <v>171</v>
      </c>
      <c r="E6" s="468" t="s">
        <v>301</v>
      </c>
      <c r="F6">
        <v>100</v>
      </c>
      <c r="I6" s="469">
        <v>209</v>
      </c>
      <c r="J6" s="67" t="s">
        <v>331</v>
      </c>
      <c r="K6" s="465" t="s">
        <v>314</v>
      </c>
      <c r="L6" s="476" t="s">
        <v>324</v>
      </c>
      <c r="M6" s="316">
        <v>172.79</v>
      </c>
      <c r="N6" s="470" t="s">
        <v>338</v>
      </c>
      <c r="R6">
        <f t="shared" si="0"/>
        <v>0</v>
      </c>
    </row>
    <row r="7" spans="1:25">
      <c r="A7" s="67" t="s">
        <v>37</v>
      </c>
      <c r="B7" s="67" t="s">
        <v>169</v>
      </c>
      <c r="C7" s="472">
        <v>403.61</v>
      </c>
      <c r="D7" s="67" t="s">
        <v>171</v>
      </c>
      <c r="E7" s="473" t="s">
        <v>167</v>
      </c>
      <c r="F7">
        <v>119</v>
      </c>
      <c r="I7" s="495">
        <v>209</v>
      </c>
      <c r="J7" s="428" t="s">
        <v>357</v>
      </c>
      <c r="K7" s="496" t="s">
        <v>315</v>
      </c>
      <c r="L7" s="497" t="s">
        <v>325</v>
      </c>
      <c r="M7" s="489">
        <v>193.8</v>
      </c>
      <c r="N7" s="469" t="s">
        <v>270</v>
      </c>
      <c r="O7" s="11" t="s">
        <v>345</v>
      </c>
      <c r="P7">
        <v>1326</v>
      </c>
      <c r="Q7">
        <v>634.26</v>
      </c>
      <c r="R7">
        <f t="shared" si="0"/>
        <v>691.74</v>
      </c>
    </row>
    <row r="8" spans="1:25">
      <c r="A8" s="67" t="s">
        <v>37</v>
      </c>
      <c r="B8" s="67" t="s">
        <v>170</v>
      </c>
      <c r="C8" s="472" t="s">
        <v>274</v>
      </c>
      <c r="D8" s="67" t="s">
        <v>171</v>
      </c>
      <c r="E8" s="474" t="s">
        <v>302</v>
      </c>
      <c r="F8">
        <v>100</v>
      </c>
      <c r="I8" s="495">
        <v>209</v>
      </c>
      <c r="J8" s="428" t="s">
        <v>357</v>
      </c>
      <c r="K8" s="496" t="s">
        <v>316</v>
      </c>
      <c r="L8" s="497" t="s">
        <v>326</v>
      </c>
      <c r="M8" s="489">
        <v>179.8</v>
      </c>
      <c r="N8" s="469" t="s">
        <v>271</v>
      </c>
      <c r="O8" s="11" t="s">
        <v>346</v>
      </c>
      <c r="P8">
        <v>280</v>
      </c>
      <c r="R8">
        <f t="shared" si="0"/>
        <v>280</v>
      </c>
    </row>
    <row r="9" spans="1:25">
      <c r="A9" s="67" t="s">
        <v>38</v>
      </c>
      <c r="B9" s="471">
        <v>42217</v>
      </c>
      <c r="C9" s="472">
        <v>6.33</v>
      </c>
      <c r="D9" s="67" t="s">
        <v>167</v>
      </c>
      <c r="E9" s="474" t="s">
        <v>350</v>
      </c>
      <c r="F9">
        <v>672</v>
      </c>
      <c r="I9" s="484">
        <v>209</v>
      </c>
      <c r="J9" s="485" t="s">
        <v>332</v>
      </c>
      <c r="K9" s="486" t="s">
        <v>317</v>
      </c>
      <c r="L9" s="487" t="s">
        <v>327</v>
      </c>
      <c r="M9" s="488">
        <v>754.28</v>
      </c>
      <c r="N9" s="469" t="s">
        <v>272</v>
      </c>
      <c r="O9" s="67" t="s">
        <v>347</v>
      </c>
      <c r="P9">
        <v>400</v>
      </c>
      <c r="R9">
        <f t="shared" si="0"/>
        <v>400</v>
      </c>
    </row>
    <row r="10" spans="1:25">
      <c r="A10" s="67" t="s">
        <v>37</v>
      </c>
      <c r="B10" s="471">
        <v>42217</v>
      </c>
      <c r="C10" s="472">
        <v>43.7</v>
      </c>
      <c r="D10" s="67" t="s">
        <v>171</v>
      </c>
      <c r="I10" s="490">
        <v>209</v>
      </c>
      <c r="J10" s="2" t="s">
        <v>331</v>
      </c>
      <c r="K10" s="491" t="s">
        <v>309</v>
      </c>
      <c r="L10" s="492" t="s">
        <v>328</v>
      </c>
      <c r="M10" s="493">
        <v>149.96</v>
      </c>
      <c r="N10" s="469" t="s">
        <v>273</v>
      </c>
      <c r="O10" s="11" t="s">
        <v>348</v>
      </c>
      <c r="P10">
        <v>400</v>
      </c>
      <c r="Q10">
        <v>191.53</v>
      </c>
      <c r="R10">
        <f t="shared" si="0"/>
        <v>208.47</v>
      </c>
    </row>
    <row r="11" spans="1:25">
      <c r="A11" s="67" t="s">
        <v>52</v>
      </c>
      <c r="B11" s="471">
        <v>42217</v>
      </c>
      <c r="C11" s="472">
        <v>25</v>
      </c>
      <c r="D11" s="67" t="s">
        <v>167</v>
      </c>
      <c r="I11" s="490">
        <v>209</v>
      </c>
      <c r="J11" s="2" t="s">
        <v>331</v>
      </c>
      <c r="K11" s="491" t="s">
        <v>318</v>
      </c>
      <c r="L11" s="492" t="s">
        <v>329</v>
      </c>
      <c r="M11" s="493">
        <v>96</v>
      </c>
      <c r="N11" s="470" t="s">
        <v>343</v>
      </c>
      <c r="R11">
        <f t="shared" si="0"/>
        <v>0</v>
      </c>
    </row>
    <row r="12" spans="1:25">
      <c r="A12" s="67" t="s">
        <v>172</v>
      </c>
      <c r="B12" s="67" t="s">
        <v>173</v>
      </c>
      <c r="C12" s="472">
        <v>127.36</v>
      </c>
      <c r="D12" s="67" t="s">
        <v>171</v>
      </c>
      <c r="I12" s="490">
        <v>966</v>
      </c>
      <c r="J12" s="2" t="s">
        <v>333</v>
      </c>
      <c r="K12" s="491" t="s">
        <v>318</v>
      </c>
      <c r="L12" s="492" t="s">
        <v>329</v>
      </c>
      <c r="M12" s="493">
        <v>96</v>
      </c>
      <c r="N12" s="469" t="s">
        <v>296</v>
      </c>
      <c r="P12">
        <v>2511</v>
      </c>
      <c r="Q12">
        <v>2490.35</v>
      </c>
      <c r="R12">
        <f t="shared" si="0"/>
        <v>20.650000000000091</v>
      </c>
    </row>
    <row r="13" spans="1:25">
      <c r="A13" s="67" t="s">
        <v>37</v>
      </c>
      <c r="B13" s="67" t="s">
        <v>173</v>
      </c>
      <c r="C13" s="472">
        <v>342.83</v>
      </c>
      <c r="D13" s="67" t="s">
        <v>171</v>
      </c>
      <c r="I13" s="490">
        <v>209</v>
      </c>
      <c r="J13" s="2" t="s">
        <v>331</v>
      </c>
      <c r="K13" s="491" t="s">
        <v>310</v>
      </c>
      <c r="L13" s="492" t="s">
        <v>329</v>
      </c>
      <c r="M13" s="493">
        <v>63.98</v>
      </c>
      <c r="N13" s="469" t="s">
        <v>297</v>
      </c>
      <c r="P13">
        <v>455</v>
      </c>
      <c r="R13">
        <f t="shared" si="0"/>
        <v>455</v>
      </c>
    </row>
    <row r="14" spans="1:25">
      <c r="A14" s="67" t="s">
        <v>52</v>
      </c>
      <c r="B14" s="471">
        <v>42248</v>
      </c>
      <c r="C14" s="472">
        <v>27.03</v>
      </c>
      <c r="D14" s="67" t="s">
        <v>167</v>
      </c>
      <c r="I14" s="490">
        <v>210</v>
      </c>
      <c r="J14" s="2" t="s">
        <v>352</v>
      </c>
      <c r="K14" s="491" t="s">
        <v>319</v>
      </c>
      <c r="L14" s="492" t="s">
        <v>330</v>
      </c>
      <c r="M14" s="493">
        <v>191.53</v>
      </c>
      <c r="N14" s="469" t="s">
        <v>298</v>
      </c>
      <c r="P14">
        <v>800</v>
      </c>
      <c r="Q14">
        <v>754.28</v>
      </c>
      <c r="R14">
        <f t="shared" si="0"/>
        <v>45.720000000000027</v>
      </c>
    </row>
    <row r="15" spans="1:25">
      <c r="A15" s="67" t="s">
        <v>199</v>
      </c>
      <c r="B15" s="471">
        <v>42248</v>
      </c>
      <c r="C15" s="472">
        <v>21.28</v>
      </c>
      <c r="D15" s="67" t="s">
        <v>171</v>
      </c>
      <c r="I15" s="490">
        <v>241</v>
      </c>
      <c r="J15" s="2" t="s">
        <v>331</v>
      </c>
      <c r="K15" s="491" t="s">
        <v>320</v>
      </c>
      <c r="L15" s="492" t="s">
        <v>330</v>
      </c>
      <c r="M15" s="493">
        <v>293.93</v>
      </c>
      <c r="N15" s="469" t="s">
        <v>356</v>
      </c>
      <c r="P15">
        <v>500</v>
      </c>
      <c r="R15">
        <f t="shared" si="0"/>
        <v>500</v>
      </c>
    </row>
    <row r="16" spans="1:25">
      <c r="A16" s="67" t="s">
        <v>37</v>
      </c>
      <c r="B16" s="471">
        <v>42248</v>
      </c>
      <c r="C16" s="472">
        <v>66.7</v>
      </c>
      <c r="D16" s="67" t="s">
        <v>171</v>
      </c>
      <c r="I16" s="490">
        <v>209</v>
      </c>
      <c r="J16" s="2" t="s">
        <v>333</v>
      </c>
      <c r="K16" s="491" t="s">
        <v>349</v>
      </c>
      <c r="L16" s="494">
        <v>42017</v>
      </c>
      <c r="M16" s="493">
        <v>1368.83</v>
      </c>
      <c r="N16" s="470" t="s">
        <v>344</v>
      </c>
      <c r="R16">
        <f t="shared" si="0"/>
        <v>0</v>
      </c>
    </row>
    <row r="17" spans="1:18">
      <c r="A17" s="67" t="s">
        <v>38</v>
      </c>
      <c r="B17" s="471">
        <v>42248</v>
      </c>
      <c r="C17" s="472">
        <v>5.75</v>
      </c>
      <c r="D17" s="67" t="s">
        <v>167</v>
      </c>
      <c r="I17" s="490">
        <v>210</v>
      </c>
      <c r="J17" s="2" t="s">
        <v>333</v>
      </c>
      <c r="K17" s="491" t="s">
        <v>349</v>
      </c>
      <c r="L17" s="494">
        <v>42017</v>
      </c>
      <c r="M17" s="493">
        <v>634.26</v>
      </c>
      <c r="N17" s="469" t="s">
        <v>299</v>
      </c>
      <c r="O17" s="67">
        <v>966</v>
      </c>
      <c r="P17">
        <v>3600</v>
      </c>
      <c r="Q17">
        <v>96</v>
      </c>
      <c r="R17">
        <f t="shared" si="0"/>
        <v>3504</v>
      </c>
    </row>
    <row r="18" spans="1:18">
      <c r="A18" s="67" t="s">
        <v>38</v>
      </c>
      <c r="B18" s="471">
        <v>42278</v>
      </c>
      <c r="C18" s="472">
        <v>9.1999999999999993</v>
      </c>
      <c r="D18" s="67" t="s">
        <v>167</v>
      </c>
    </row>
    <row r="19" spans="1:18">
      <c r="A19" s="67" t="s">
        <v>37</v>
      </c>
      <c r="B19" s="471">
        <v>42278</v>
      </c>
      <c r="C19" s="472">
        <v>47.15</v>
      </c>
      <c r="D19" s="67" t="s">
        <v>171</v>
      </c>
    </row>
    <row r="20" spans="1:18">
      <c r="A20" s="67" t="s">
        <v>199</v>
      </c>
      <c r="B20" s="471">
        <v>42278</v>
      </c>
      <c r="C20" s="472">
        <v>50.6</v>
      </c>
      <c r="D20" s="67" t="s">
        <v>171</v>
      </c>
      <c r="I20" s="469" t="s">
        <v>358</v>
      </c>
    </row>
    <row r="21" spans="1:18">
      <c r="A21" s="67" t="s">
        <v>52</v>
      </c>
      <c r="B21" s="471">
        <v>42278</v>
      </c>
      <c r="C21" s="472">
        <v>16.68</v>
      </c>
      <c r="D21" s="67" t="s">
        <v>167</v>
      </c>
      <c r="I21" s="469" t="s">
        <v>359</v>
      </c>
    </row>
    <row r="22" spans="1:18">
      <c r="A22" s="67" t="s">
        <v>276</v>
      </c>
      <c r="B22" s="471">
        <v>42278</v>
      </c>
      <c r="C22" s="472"/>
      <c r="D22" s="67" t="s">
        <v>167</v>
      </c>
    </row>
    <row r="23" spans="1:18">
      <c r="A23" s="67" t="s">
        <v>37</v>
      </c>
      <c r="B23" s="471">
        <v>42309</v>
      </c>
      <c r="C23" s="472">
        <v>27.63</v>
      </c>
      <c r="D23" s="67" t="s">
        <v>171</v>
      </c>
      <c r="E23" s="475"/>
    </row>
    <row r="24" spans="1:18">
      <c r="A24" s="67" t="s">
        <v>52</v>
      </c>
      <c r="B24" s="471">
        <v>42309</v>
      </c>
      <c r="C24" s="472"/>
      <c r="D24" s="67" t="s">
        <v>167</v>
      </c>
      <c r="E24" s="475"/>
      <c r="K24" s="465"/>
      <c r="L24" s="465"/>
      <c r="M24" s="465"/>
      <c r="N24" s="465"/>
      <c r="O24" s="465"/>
      <c r="P24" s="465"/>
      <c r="Q24" s="316"/>
    </row>
    <row r="25" spans="1:18">
      <c r="A25" s="67" t="s">
        <v>199</v>
      </c>
      <c r="B25" s="471">
        <v>42309</v>
      </c>
      <c r="C25" s="472">
        <v>44.28</v>
      </c>
      <c r="D25" s="67" t="s">
        <v>171</v>
      </c>
      <c r="E25" s="475"/>
      <c r="K25" s="465"/>
      <c r="L25" s="465"/>
      <c r="M25" s="465"/>
      <c r="N25" s="465"/>
      <c r="O25" s="465"/>
      <c r="P25" s="465"/>
      <c r="Q25" s="316"/>
    </row>
    <row r="26" spans="1:18">
      <c r="A26" s="67" t="s">
        <v>276</v>
      </c>
      <c r="B26" s="471">
        <v>42309</v>
      </c>
      <c r="C26" s="472"/>
      <c r="D26" s="67" t="s">
        <v>167</v>
      </c>
      <c r="K26" s="465"/>
      <c r="L26" s="465"/>
      <c r="M26" s="465"/>
      <c r="N26" s="465"/>
      <c r="O26" s="465"/>
      <c r="P26" s="465"/>
      <c r="Q26" s="316"/>
    </row>
    <row r="27" spans="1:18">
      <c r="A27" s="67" t="s">
        <v>37</v>
      </c>
      <c r="B27" s="483">
        <v>42339</v>
      </c>
      <c r="K27" s="465"/>
      <c r="L27" s="465"/>
      <c r="M27" s="465"/>
      <c r="N27" s="465"/>
      <c r="O27" s="465"/>
      <c r="P27" s="465"/>
      <c r="Q27" s="316"/>
    </row>
    <row r="28" spans="1:18">
      <c r="A28" s="67" t="s">
        <v>52</v>
      </c>
      <c r="B28" s="483">
        <v>42339</v>
      </c>
      <c r="K28" s="465"/>
      <c r="L28" s="465"/>
      <c r="M28" s="465"/>
      <c r="N28" s="465"/>
      <c r="O28" s="465"/>
      <c r="P28" s="465"/>
      <c r="Q28" s="316"/>
    </row>
    <row r="29" spans="1:18">
      <c r="A29" s="67" t="s">
        <v>199</v>
      </c>
      <c r="B29" s="483">
        <v>42339</v>
      </c>
      <c r="K29" s="465"/>
      <c r="L29" s="465"/>
      <c r="M29" s="465"/>
      <c r="N29" s="465"/>
      <c r="O29" s="465"/>
      <c r="P29" s="465"/>
      <c r="Q29" s="316"/>
    </row>
    <row r="30" spans="1:18">
      <c r="A30" s="67" t="s">
        <v>276</v>
      </c>
      <c r="B30" s="483">
        <v>42339</v>
      </c>
      <c r="K30" s="465"/>
      <c r="L30" s="465"/>
      <c r="M30" s="465"/>
      <c r="N30" s="465"/>
      <c r="O30" s="465"/>
      <c r="P30" s="465"/>
      <c r="Q30" s="316"/>
    </row>
    <row r="31" spans="1:18">
      <c r="A31" s="11" t="s">
        <v>354</v>
      </c>
      <c r="B31" t="s">
        <v>355</v>
      </c>
      <c r="C31" s="380">
        <v>25</v>
      </c>
      <c r="K31" s="465"/>
      <c r="L31" s="465"/>
      <c r="M31" s="465"/>
      <c r="N31" s="465"/>
      <c r="O31" s="465"/>
      <c r="P31" s="465"/>
      <c r="Q31" s="316"/>
    </row>
    <row r="32" spans="1:18">
      <c r="K32" s="465"/>
      <c r="L32" s="465"/>
      <c r="M32" s="465"/>
      <c r="N32" s="465"/>
      <c r="O32" s="465"/>
      <c r="P32" s="465"/>
      <c r="Q32" s="316"/>
    </row>
    <row r="33" spans="11:17">
      <c r="K33" s="465"/>
      <c r="L33" s="465"/>
      <c r="M33" s="465"/>
      <c r="N33" s="465"/>
      <c r="O33" s="465"/>
      <c r="P33" s="465"/>
      <c r="Q33" s="316"/>
    </row>
    <row r="34" spans="11:17">
      <c r="K34" s="465"/>
      <c r="L34" s="465"/>
      <c r="M34" s="465"/>
      <c r="N34" s="465"/>
      <c r="O34" s="465"/>
      <c r="P34" s="465"/>
      <c r="Q34" s="316"/>
    </row>
    <row r="35" spans="11:17">
      <c r="K35" s="465"/>
      <c r="L35" s="465"/>
      <c r="M35" s="465"/>
      <c r="N35" s="465"/>
      <c r="O35" s="465"/>
      <c r="P35" s="465"/>
      <c r="Q35" s="316"/>
    </row>
    <row r="36" spans="11:17">
      <c r="K36" s="465"/>
      <c r="L36" s="465"/>
      <c r="M36" s="465"/>
      <c r="N36" s="465"/>
      <c r="O36" s="465"/>
      <c r="P36" s="465"/>
      <c r="Q36" s="316"/>
    </row>
    <row r="37" spans="11:17">
      <c r="K37" s="465"/>
      <c r="L37" s="465"/>
      <c r="M37" s="465"/>
      <c r="N37" s="465"/>
      <c r="O37" s="465"/>
      <c r="P37" s="465"/>
      <c r="Q37" s="316"/>
    </row>
    <row r="38" spans="11:17">
      <c r="K38" s="465"/>
      <c r="L38" s="465"/>
      <c r="M38" s="465"/>
      <c r="N38" s="465"/>
      <c r="O38" s="465"/>
      <c r="P38" s="465"/>
      <c r="Q38" s="316"/>
    </row>
    <row r="39" spans="11:17">
      <c r="K39" s="465"/>
      <c r="L39" s="465"/>
      <c r="M39" s="465"/>
      <c r="N39" s="465"/>
      <c r="O39" s="465"/>
      <c r="P39" s="465"/>
      <c r="Q39" s="316"/>
    </row>
    <row r="40" spans="11:17">
      <c r="K40" s="465"/>
      <c r="L40" s="465"/>
      <c r="M40" s="465"/>
      <c r="N40" s="465"/>
      <c r="O40" s="465"/>
      <c r="P40" s="465"/>
      <c r="Q40" s="316"/>
    </row>
    <row r="41" spans="11:17">
      <c r="K41" s="465"/>
      <c r="L41" s="465"/>
      <c r="M41" s="465"/>
      <c r="N41" s="465"/>
      <c r="O41" s="465"/>
      <c r="P41" s="465"/>
      <c r="Q41" s="316"/>
    </row>
  </sheetData>
  <sortState ref="J1:J18">
    <sortCondition ref="J1"/>
  </sortState>
  <mergeCells count="2">
    <mergeCell ref="A1:H1"/>
    <mergeCell ref="I1:R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PYCitizenshipCalendar</vt:lpstr>
      <vt:lpstr>PYOverflowCalendar </vt:lpstr>
      <vt:lpstr>PYCCACCalendar </vt:lpstr>
      <vt:lpstr>PYDUQNSCalendar</vt:lpstr>
      <vt:lpstr>PYCivicsCalendar</vt:lpstr>
      <vt:lpstr>PYCalendar</vt:lpstr>
      <vt:lpstr>Planning HoursClass</vt:lpstr>
      <vt:lpstr>Salaries Staff</vt:lpstr>
      <vt:lpstr>Travel_Supplies</vt:lpstr>
      <vt:lpstr>TimesheetActuals</vt:lpstr>
      <vt:lpstr>Time and Effort cheat sheet</vt:lpstr>
      <vt:lpstr>MatchPlanning</vt:lpstr>
      <vt:lpstr>State Breakdown</vt:lpstr>
      <vt:lpstr>Federal BreakDown</vt:lpstr>
      <vt:lpstr>'Planning HoursClass'!Print_Area</vt:lpstr>
      <vt:lpstr>PYCalendar!Print_Area</vt:lpstr>
      <vt:lpstr>'PYCCACCalendar '!Print_Area</vt:lpstr>
      <vt:lpstr>PYCitizenshipCalendar!Print_Area</vt:lpstr>
      <vt:lpstr>PYCivicsCalendar!Print_Area</vt:lpstr>
      <vt:lpstr>PYDUQNSCalendar!Print_Area</vt:lpstr>
      <vt:lpstr>'PYOverflowCalendar '!Print_Area</vt:lpstr>
      <vt:lpstr>'Salaries Staff'!Print_Area</vt:lpstr>
      <vt:lpstr>TimesheetActuals!Print_Area</vt:lpstr>
      <vt:lpstr>TimesheetActuals!Print_Titles</vt:lpstr>
    </vt:vector>
  </TitlesOfParts>
  <Company>Allegheny Intermediate Unit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staff</dc:creator>
  <cp:lastModifiedBy>staff</cp:lastModifiedBy>
  <cp:lastPrinted>2016-03-08T13:23:43Z</cp:lastPrinted>
  <dcterms:created xsi:type="dcterms:W3CDTF">2014-03-21T14:01:53Z</dcterms:created>
  <dcterms:modified xsi:type="dcterms:W3CDTF">2016-03-08T18:38:30Z</dcterms:modified>
</cp:coreProperties>
</file>