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77C2083A-455D-40A0-A34B-659F237E5DA4}" xr6:coauthVersionLast="47" xr6:coauthVersionMax="47" xr10:uidLastSave="{00000000-0000-0000-0000-000000000000}"/>
  <bookViews>
    <workbookView xWindow="0" yWindow="0" windowWidth="14400" windowHeight="15600" activeTab="1" xr2:uid="{071414EE-D145-41C9-AE04-224A7CE52B17}"/>
  </bookViews>
  <sheets>
    <sheet name="inputs" sheetId="8" r:id="rId1"/>
    <sheet name="Reactions" sheetId="13" r:id="rId2"/>
    <sheet name="InitialGuess" sheetId="10" r:id="rId3"/>
    <sheet name="Iter 0" sheetId="9" r:id="rId4"/>
    <sheet name="Iter 1 (2)" sheetId="12" r:id="rId5"/>
    <sheet name="Iter 1" sheetId="11" r:id="rId6"/>
  </sheets>
  <definedNames>
    <definedName name="AqueousMC">inputs!$B$18</definedName>
    <definedName name="CompCharge">inputs!$B$10:$H$10</definedName>
    <definedName name="CompName">inputs!$B$5:$H$5</definedName>
    <definedName name="CompType">inputs!$B$6:$H$6</definedName>
    <definedName name="NComp">inputs!$B$1</definedName>
    <definedName name="NSpec">inputs!$B$2</definedName>
    <definedName name="SolHS">inputs!$B$23:$C$23</definedName>
    <definedName name="SpecActCorr">inputs!$B$11:$X$11</definedName>
    <definedName name="SpecCharge">inputs!$B$10:$X$10</definedName>
    <definedName name="SpecCtoM">inputs!$B$14:$X$14</definedName>
    <definedName name="SpecDeltaH">inputs!$B$12:$X$12</definedName>
    <definedName name="SpecK">inputs!$B$9:$X$9</definedName>
    <definedName name="SpecKTempAdj">inputs!$B$53:$X$53</definedName>
    <definedName name="SpecName">inputs!$B$7:$X$7</definedName>
    <definedName name="SpecStoich">inputs!$B$29:$H$51</definedName>
    <definedName name="SpecTempKelvin">inputs!$B$13:$X$13</definedName>
    <definedName name="SysTempKelvin">inputs!$B$17</definedName>
    <definedName name="TotConcKnown">inputs!$B$15:$H$15</definedName>
    <definedName name="wDLF">inputs!$B$19</definedName>
    <definedName name="wKZED">inputs!$B$20</definedName>
    <definedName name="wMolWt">inputs!$B$24:$C$24</definedName>
    <definedName name="wP">inputs!$B$26:$C$26</definedName>
    <definedName name="wRadius">inputs!$B$25:$C$25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3" l="1"/>
  <c r="B3" i="13" a="1"/>
  <c r="B3" i="13" s="1"/>
  <c r="D34" i="11" a="1"/>
  <c r="D34" i="11" s="1"/>
  <c r="B3" i="10" a="1"/>
  <c r="B3" i="10" s="1"/>
  <c r="C2" i="12" a="1"/>
  <c r="C2" i="12" s="1"/>
  <c r="B19" i="10" a="1"/>
  <c r="B19" i="10" s="1"/>
  <c r="B12" i="10" a="1"/>
  <c r="B12" i="10" s="1"/>
  <c r="B5" i="10" a="1"/>
  <c r="B5" i="10" s="1"/>
  <c r="C11" i="11" l="1" a="1"/>
  <c r="C3" i="11" a="1"/>
  <c r="C3" i="11" s="1"/>
  <c r="C2" i="11" a="1"/>
  <c r="C2" i="11" s="1"/>
  <c r="C4" i="9" a="1"/>
  <c r="C4" i="9" s="1"/>
  <c r="C3" i="9" a="1"/>
  <c r="C3" i="9" s="1"/>
  <c r="C2" i="9" a="1"/>
  <c r="C2" i="9" s="1"/>
  <c r="E13" i="8"/>
  <c r="D13" i="8"/>
  <c r="C13" i="8"/>
  <c r="B13" i="8"/>
  <c r="B8" i="8" a="1"/>
  <c r="B8" i="8" s="1"/>
  <c r="B5" i="8" a="1"/>
  <c r="B5" i="8" s="1"/>
  <c r="B4" i="8" a="1"/>
  <c r="B4" i="8" s="1"/>
  <c r="B3" i="8" a="1"/>
  <c r="B3" i="8" s="1"/>
  <c r="B2" i="10" l="1" a="1"/>
  <c r="B2" i="10" s="1"/>
  <c r="C5" i="9" a="1"/>
  <c r="C5" i="9" s="1"/>
  <c r="B53" i="8" a="1"/>
  <c r="B53" i="8" s="1"/>
  <c r="C3" i="13" s="1" a="1"/>
  <c r="B4" i="11" a="1"/>
  <c r="B4" i="11" s="1"/>
  <c r="C11" i="11"/>
  <c r="F25" i="13" l="1"/>
  <c r="F17" i="13"/>
  <c r="F24" i="13"/>
  <c r="F16" i="13"/>
  <c r="F11" i="13"/>
  <c r="F10" i="13"/>
  <c r="F23" i="13"/>
  <c r="F15" i="13"/>
  <c r="F22" i="13"/>
  <c r="F14" i="13"/>
  <c r="F21" i="13"/>
  <c r="F13" i="13"/>
  <c r="F20" i="13"/>
  <c r="F12" i="13"/>
  <c r="F18" i="13"/>
  <c r="F19" i="13"/>
  <c r="D15" i="13"/>
  <c r="D17" i="13"/>
  <c r="E17" i="13"/>
  <c r="E15" i="13"/>
  <c r="D25" i="13"/>
  <c r="E25" i="13"/>
  <c r="E24" i="13"/>
  <c r="E16" i="13"/>
  <c r="E23" i="13"/>
  <c r="E10" i="13"/>
  <c r="E22" i="13"/>
  <c r="E14" i="13"/>
  <c r="E21" i="13"/>
  <c r="E13" i="13"/>
  <c r="E20" i="13"/>
  <c r="E12" i="13"/>
  <c r="E19" i="13"/>
  <c r="E11" i="13"/>
  <c r="E18" i="13"/>
  <c r="D23" i="13"/>
  <c r="D24" i="13"/>
  <c r="D21" i="13"/>
  <c r="D22" i="13"/>
  <c r="D19" i="13"/>
  <c r="D20" i="13"/>
  <c r="D18" i="13"/>
  <c r="D16" i="13"/>
  <c r="D13" i="13"/>
  <c r="D14" i="13"/>
  <c r="D11" i="13"/>
  <c r="D12" i="13"/>
  <c r="D10" i="13"/>
  <c r="C3" i="13"/>
  <c r="B6" i="10" a="1"/>
  <c r="B6" i="10" s="1"/>
  <c r="B12" i="11" a="1"/>
  <c r="C7" i="10" l="1" a="1"/>
  <c r="C7" i="10" s="1"/>
  <c r="B8" i="10" s="1" a="1"/>
  <c r="B8" i="10" s="1"/>
  <c r="B7" i="10" a="1"/>
  <c r="B7" i="10" s="1"/>
  <c r="B12" i="11"/>
  <c r="B9" i="10" l="1" a="1"/>
  <c r="B9" i="10" s="1"/>
  <c r="B10" i="10" s="1" a="1"/>
  <c r="B10" i="10" s="1"/>
  <c r="B13" i="10" l="1" a="1"/>
  <c r="B13" i="10" s="1"/>
  <c r="J45" i="8" a="1"/>
  <c r="J45" i="8" s="1"/>
  <c r="R45" i="8" s="1"/>
  <c r="J36" i="8" a="1"/>
  <c r="J36" i="8" s="1"/>
  <c r="R36" i="8" s="1"/>
  <c r="J37" i="8" a="1"/>
  <c r="J37" i="8" s="1"/>
  <c r="R37" i="8" s="1"/>
  <c r="J48" i="8" a="1"/>
  <c r="J48" i="8" s="1"/>
  <c r="R48" i="8" s="1"/>
  <c r="J33" i="8" a="1"/>
  <c r="J33" i="8" s="1"/>
  <c r="R33" i="8" s="1"/>
  <c r="J35" i="8" a="1"/>
  <c r="J35" i="8" s="1"/>
  <c r="R35" i="8" s="1"/>
  <c r="J50" i="8" a="1"/>
  <c r="J50" i="8" s="1"/>
  <c r="R50" i="8" s="1"/>
  <c r="J51" i="8" a="1"/>
  <c r="J51" i="8" s="1"/>
  <c r="R51" i="8" s="1"/>
  <c r="J40" i="8" a="1"/>
  <c r="J40" i="8" s="1"/>
  <c r="R40" i="8" s="1"/>
  <c r="J44" i="8" a="1"/>
  <c r="J44" i="8" s="1"/>
  <c r="R44" i="8" s="1"/>
  <c r="J47" i="8" a="1"/>
  <c r="J47" i="8" s="1"/>
  <c r="R47" i="8" s="1"/>
  <c r="J49" i="8" a="1"/>
  <c r="J49" i="8" s="1"/>
  <c r="R49" i="8" s="1"/>
  <c r="J41" i="8" a="1"/>
  <c r="J41" i="8" s="1"/>
  <c r="R41" i="8" s="1"/>
  <c r="J32" i="8" a="1"/>
  <c r="J32" i="8" s="1"/>
  <c r="R32" i="8" s="1"/>
  <c r="J42" i="8" a="1"/>
  <c r="J42" i="8" s="1"/>
  <c r="R42" i="8" s="1"/>
  <c r="J31" i="8" a="1"/>
  <c r="J31" i="8" s="1"/>
  <c r="R31" i="8" s="1"/>
  <c r="J46" i="8" a="1"/>
  <c r="J46" i="8" s="1"/>
  <c r="R46" i="8" s="1"/>
  <c r="J30" i="8" a="1"/>
  <c r="J30" i="8" s="1"/>
  <c r="R30" i="8" s="1"/>
  <c r="J39" i="8" a="1"/>
  <c r="J39" i="8" s="1"/>
  <c r="R39" i="8" s="1"/>
  <c r="J38" i="8" a="1"/>
  <c r="J38" i="8" s="1"/>
  <c r="R38" i="8" s="1"/>
  <c r="J34" i="8" a="1"/>
  <c r="J34" i="8" s="1"/>
  <c r="R34" i="8" s="1"/>
  <c r="J43" i="8" a="1"/>
  <c r="J43" i="8" s="1"/>
  <c r="R43" i="8" s="1"/>
  <c r="J29" i="8" a="1"/>
  <c r="J29" i="8" s="1"/>
  <c r="R29" i="8" s="1"/>
  <c r="C14" i="10" l="1" a="1"/>
  <c r="C14" i="10" s="1"/>
  <c r="B15" i="10" s="1" a="1"/>
  <c r="B15" i="10" s="1"/>
  <c r="B16" i="10" s="1" a="1"/>
  <c r="B16" i="10" s="1"/>
  <c r="B17" i="10" s="1" a="1"/>
  <c r="B17" i="10" s="1"/>
  <c r="B20" i="10" s="1" a="1"/>
  <c r="B20" i="10" s="1"/>
  <c r="B14" i="10" a="1"/>
  <c r="B14" i="10" s="1"/>
  <c r="C21" i="10" l="1" a="1"/>
  <c r="C21" i="10" s="1"/>
  <c r="B22" i="10" s="1" a="1"/>
  <c r="B22" i="10" s="1"/>
  <c r="B23" i="10" s="1" a="1"/>
  <c r="B23" i="10" s="1"/>
  <c r="B21" i="10" a="1"/>
  <c r="B21" i="10" s="1"/>
  <c r="B24" i="10" l="1" a="1"/>
  <c r="B24" i="10" s="1"/>
  <c r="C28" i="12" a="1"/>
  <c r="C28" i="12" s="1"/>
  <c r="C31" i="12" l="1" a="1"/>
  <c r="C31" i="12" s="1"/>
  <c r="C33" i="12" s="1" a="1"/>
  <c r="C33" i="12" s="1"/>
  <c r="C29" i="12" a="1"/>
  <c r="C29" i="12" s="1"/>
  <c r="C30" i="12" s="1" a="1"/>
  <c r="C30" i="12" s="1"/>
  <c r="C34" i="12" s="1" a="1"/>
  <c r="C34" i="12" s="1"/>
  <c r="C6" i="9" a="1"/>
  <c r="C6" i="9" s="1"/>
  <c r="C27" i="12" a="1"/>
  <c r="C27" i="12" s="1"/>
  <c r="C9" i="9" l="1" a="1"/>
  <c r="C9" i="9" s="1"/>
  <c r="C11" i="9" s="1" a="1"/>
  <c r="C11" i="9" s="1"/>
  <c r="C7" i="9" a="1"/>
  <c r="C7" i="9" s="1"/>
  <c r="C8" i="9" s="1" a="1"/>
  <c r="C8" i="9" s="1"/>
  <c r="C12" i="9" s="1" a="1"/>
  <c r="C12" i="9" s="1"/>
  <c r="C10" i="9" l="1" a="1"/>
  <c r="C10" i="9" s="1"/>
  <c r="D12" i="9" s="1" a="1"/>
  <c r="D12" i="9" s="1"/>
  <c r="C17" i="9" s="1" a="1"/>
  <c r="C17" i="9" s="1"/>
  <c r="C13" i="9" l="1" a="1"/>
  <c r="C13" i="9" s="1"/>
  <c r="C19" i="9" a="1"/>
  <c r="C19" i="9" s="1"/>
  <c r="C14" i="9" a="1"/>
  <c r="C14" i="9" s="1"/>
  <c r="C15" i="9" s="1" a="1"/>
  <c r="C15" i="9" s="1"/>
  <c r="C16" i="9" s="1" a="1"/>
  <c r="C16" i="9" s="1"/>
  <c r="F104" i="8" l="1"/>
  <c r="C18" i="9" a="1"/>
  <c r="C18" i="9" s="1"/>
  <c r="C22" i="9" s="1" a="1"/>
  <c r="C22" i="9" s="1"/>
  <c r="C23" i="9" s="1" a="1"/>
  <c r="C23" i="9" s="1"/>
  <c r="C4" i="11" a="1"/>
  <c r="E14" i="11" s="1"/>
  <c r="C20" i="9" a="1"/>
  <c r="C20" i="9" s="1"/>
  <c r="C21" i="9" s="1" a="1"/>
  <c r="C21" i="9" s="1"/>
  <c r="H12" i="11" l="1"/>
  <c r="G12" i="11"/>
  <c r="E12" i="11"/>
  <c r="H16" i="11"/>
  <c r="H17" i="11"/>
  <c r="F12" i="11"/>
  <c r="C16" i="11"/>
  <c r="G16" i="11"/>
  <c r="C4" i="11"/>
  <c r="C12" i="11" s="1"/>
  <c r="H13" i="11"/>
  <c r="H14" i="11"/>
  <c r="G14" i="11"/>
  <c r="E13" i="11"/>
  <c r="C14" i="11"/>
  <c r="F15" i="11"/>
  <c r="E17" i="11"/>
  <c r="C17" i="11"/>
  <c r="C13" i="11"/>
  <c r="H15" i="11"/>
  <c r="E15" i="11"/>
  <c r="D16" i="11"/>
  <c r="D14" i="11"/>
  <c r="E16" i="11"/>
  <c r="F16" i="11"/>
  <c r="D13" i="11"/>
  <c r="D15" i="11"/>
  <c r="C15" i="11"/>
  <c r="D12" i="11"/>
  <c r="F14" i="11"/>
  <c r="D17" i="11"/>
  <c r="F13" i="11"/>
  <c r="G17" i="11"/>
  <c r="G13" i="11"/>
  <c r="F17" i="11"/>
  <c r="G15" i="11"/>
  <c r="C24" i="9" a="1"/>
  <c r="C24" i="9" s="1"/>
  <c r="C25" i="9" s="1" a="1"/>
  <c r="C25" i="9" s="1"/>
  <c r="C26" i="9" s="1"/>
  <c r="C32" i="12" a="1"/>
  <c r="C32" i="12" s="1"/>
  <c r="D34" i="12" s="1" a="1"/>
  <c r="D34" i="12" s="1"/>
  <c r="C39" i="12" l="1" a="1"/>
  <c r="C39" i="12" s="1"/>
  <c r="C35" i="12" a="1"/>
  <c r="C35" i="12" s="1"/>
  <c r="C18" i="11" a="1"/>
  <c r="C18" i="11" s="1"/>
  <c r="C24" i="11" a="1"/>
  <c r="C24" i="11" s="1"/>
  <c r="C36" i="12" a="1"/>
  <c r="C36" i="12" s="1"/>
  <c r="C37" i="12" s="1" a="1"/>
  <c r="C25" i="11" l="1" a="1"/>
  <c r="C25" i="11" s="1"/>
  <c r="C26" i="11" s="1" a="1"/>
  <c r="C26" i="11" s="1"/>
  <c r="C27" i="11" s="1" a="1"/>
  <c r="C27" i="11" s="1"/>
  <c r="C28" i="11" s="1" a="1"/>
  <c r="C28" i="11" s="1"/>
  <c r="C37" i="12"/>
  <c r="C38" i="12" a="1"/>
  <c r="C38" i="12" s="1"/>
  <c r="C31" i="11" l="1" a="1"/>
  <c r="C31" i="11" s="1"/>
  <c r="C29" i="11" a="1"/>
  <c r="C29" i="11" s="1"/>
  <c r="C30" i="11" s="1" a="1"/>
  <c r="C30" i="11" s="1"/>
  <c r="C34" i="11" s="1" a="1"/>
  <c r="C34" i="11" s="1"/>
  <c r="C41" i="11" a="1"/>
  <c r="C41" i="11" s="1"/>
  <c r="C40" i="12" a="1"/>
  <c r="C40" i="12" s="1"/>
  <c r="C44" i="12" s="1" a="1"/>
  <c r="C44" i="12" s="1"/>
  <c r="C41" i="12" a="1"/>
  <c r="C41" i="12" s="1"/>
  <c r="C42" i="12" s="1" a="1"/>
  <c r="C42" i="12" s="1"/>
  <c r="C43" i="12" s="1" a="1"/>
  <c r="C43" i="12" s="1"/>
  <c r="C33" i="11" l="1" a="1"/>
  <c r="C33" i="11" s="1"/>
  <c r="C35" i="11" s="1" a="1"/>
  <c r="C35" i="11" s="1"/>
  <c r="C39" i="11" a="1"/>
  <c r="C39" i="11" s="1"/>
  <c r="C45" i="12" a="1"/>
  <c r="C45" i="12" s="1"/>
  <c r="C46" i="12" a="1"/>
  <c r="C46" i="12" s="1"/>
  <c r="C47" i="12" s="1" a="1"/>
  <c r="C47" i="12" s="1"/>
  <c r="C48" i="12" s="1"/>
  <c r="C36" i="11" l="1" a="1"/>
  <c r="C36" i="11" s="1"/>
  <c r="C37" i="11" s="1" a="1"/>
  <c r="C37" i="11" s="1"/>
  <c r="C38" i="11" l="1" a="1"/>
  <c r="C38" i="11" s="1"/>
  <c r="C42" i="11" s="1" a="1"/>
  <c r="C42" i="11" s="1"/>
  <c r="C43" i="11" s="1" a="1"/>
  <c r="C43" i="11" s="1"/>
  <c r="C40" i="11" l="1" a="1"/>
  <c r="C40" i="11" s="1"/>
  <c r="C44" i="11" s="1" a="1"/>
  <c r="C44" i="11" s="1"/>
  <c r="C46" i="11" s="1" a="1"/>
  <c r="C46" i="11" s="1"/>
  <c r="C47" i="11" s="1" a="1"/>
  <c r="C47" i="11" s="1"/>
  <c r="C48" i="11" s="1"/>
  <c r="C45" i="11" l="1" a="1"/>
  <c r="C45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<sst xmlns="http://schemas.openxmlformats.org/spreadsheetml/2006/main" count="275" uniqueCount="103">
  <si>
    <t>H</t>
  </si>
  <si>
    <t>SpecLogK</t>
  </si>
  <si>
    <t>SpecK</t>
  </si>
  <si>
    <t>Cu</t>
  </si>
  <si>
    <t>MaxError</t>
  </si>
  <si>
    <t>CalcTotConc</t>
  </si>
  <si>
    <t>Resid</t>
  </si>
  <si>
    <t>TotConc</t>
  </si>
  <si>
    <t>SpecCharge</t>
  </si>
  <si>
    <t>IonicStrength</t>
  </si>
  <si>
    <t>DonnanFA-Cu</t>
  </si>
  <si>
    <t>DonnanFA-Na</t>
  </si>
  <si>
    <t>DonnanFA-Cl</t>
  </si>
  <si>
    <t>DonnanFA-H</t>
  </si>
  <si>
    <t>DonnanFA-OH</t>
  </si>
  <si>
    <t>DonnanFA-CuOH</t>
  </si>
  <si>
    <t>DonnanFA-CuCl</t>
  </si>
  <si>
    <t>DOC-FA_1</t>
  </si>
  <si>
    <t>DOC-FA_8</t>
  </si>
  <si>
    <t>DOC-FA_1-Cu</t>
  </si>
  <si>
    <t>DOC-FA_8-Cu</t>
  </si>
  <si>
    <t>DOC-FA_1-CuOH</t>
  </si>
  <si>
    <t>DOC-FA_8-CuOH</t>
  </si>
  <si>
    <t>SpecCtoM</t>
  </si>
  <si>
    <t>SpecName</t>
  </si>
  <si>
    <t>CompName</t>
  </si>
  <si>
    <t>SpecStoich</t>
  </si>
  <si>
    <t>R index</t>
  </si>
  <si>
    <t>C++ index</t>
  </si>
  <si>
    <t>Na</t>
  </si>
  <si>
    <t>Cl</t>
  </si>
  <si>
    <t>DonnanFA</t>
  </si>
  <si>
    <t>DOC-FA_1H</t>
  </si>
  <si>
    <t>DOC-FA_8H</t>
  </si>
  <si>
    <t>OH</t>
  </si>
  <si>
    <t>CuOH</t>
  </si>
  <si>
    <t>CuCl</t>
  </si>
  <si>
    <t>SpecActCorr</t>
  </si>
  <si>
    <t>Debye</t>
  </si>
  <si>
    <t>WHAMFA</t>
  </si>
  <si>
    <t>SpecDeltaH</t>
  </si>
  <si>
    <t>SpecTempKelvin</t>
  </si>
  <si>
    <t>CompType</t>
  </si>
  <si>
    <t>MassBal</t>
  </si>
  <si>
    <t>FixedAct</t>
  </si>
  <si>
    <t>DonnanChargeBal</t>
  </si>
  <si>
    <t>AqueousMC</t>
  </si>
  <si>
    <t>SolHS</t>
  </si>
  <si>
    <t>wMolWt</t>
  </si>
  <si>
    <t>wRadius</t>
  </si>
  <si>
    <t>wP</t>
  </si>
  <si>
    <t>wDLF</t>
  </si>
  <si>
    <t>wKZED</t>
  </si>
  <si>
    <t>SysTempKelvin</t>
  </si>
  <si>
    <t>HA</t>
  </si>
  <si>
    <t>FA</t>
  </si>
  <si>
    <t>TotMoles</t>
  </si>
  <si>
    <t>Iter 0</t>
  </si>
  <si>
    <t>SpecKTempAdj</t>
  </si>
  <si>
    <t>InitialGuess</t>
  </si>
  <si>
    <t>CompConc</t>
  </si>
  <si>
    <t>Round 1</t>
  </si>
  <si>
    <t>SpecConc</t>
  </si>
  <si>
    <t>ConcConc</t>
  </si>
  <si>
    <t>Round 2</t>
  </si>
  <si>
    <t>Round 3</t>
  </si>
  <si>
    <t>SpecActivityCoef</t>
  </si>
  <si>
    <t>WHAMSpecCharge</t>
  </si>
  <si>
    <t>SpecKISTempAdj</t>
  </si>
  <si>
    <t>SpecCtoMAdj</t>
  </si>
  <si>
    <t>VDP</t>
  </si>
  <si>
    <t>VD_CtoM</t>
  </si>
  <si>
    <t>SpecMoles</t>
  </si>
  <si>
    <t>CalcTotMoles</t>
  </si>
  <si>
    <t>CompError</t>
  </si>
  <si>
    <t>Jacobian</t>
  </si>
  <si>
    <t>CompConcStep</t>
  </si>
  <si>
    <t>JacobianSolve</t>
  </si>
  <si>
    <t>JacobianSolveInverse</t>
  </si>
  <si>
    <t>ResidSolve</t>
  </si>
  <si>
    <t>CompConcStepSolve</t>
  </si>
  <si>
    <t>CalcIonicStrength</t>
  </si>
  <si>
    <t>CalcSpecConc</t>
  </si>
  <si>
    <t>CalcWHAMSpecCharge</t>
  </si>
  <si>
    <t>CalcActivityCoef</t>
  </si>
  <si>
    <t>CalcIonicStrengthEffects</t>
  </si>
  <si>
    <t>CalcDonnanLayerVolume</t>
  </si>
  <si>
    <t>AdjustForWHAM</t>
  </si>
  <si>
    <t>UpdateTotals</t>
  </si>
  <si>
    <t>CalcIterationTotals</t>
  </si>
  <si>
    <t>CalcResidAndError</t>
  </si>
  <si>
    <t>MaxCompError</t>
  </si>
  <si>
    <t>JacobianMatrix</t>
  </si>
  <si>
    <t>CalcStep</t>
  </si>
  <si>
    <t>CompUpdate</t>
  </si>
  <si>
    <t>Iter</t>
  </si>
  <si>
    <t>TotMols</t>
  </si>
  <si>
    <t>NComp</t>
  </si>
  <si>
    <t>NSpec</t>
  </si>
  <si>
    <t>double DL</t>
  </si>
  <si>
    <t>double Cu</t>
  </si>
  <si>
    <t>WHAMSpecCharge[iFA]</t>
  </si>
  <si>
    <t>CalcTotMoles[4]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</si>
</sst>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1" applyNumberFormat="1" applyFont="1"/>
    <xf numFmtId="0" fontId="0" fillId="0" borderId="0" xfId="1" applyNumberFormat="1" applyFont="1"/>
    <xf numFmtId="0" fontId="4" fillId="0" borderId="0" xfId="1" applyNumberFormat="1" applyFont="1"/>
    <xf numFmtId="0" fontId="5" fillId="0" borderId="0" xfId="1" applyNumberFormat="1" applyFont="1"/>
    <xf numFmtId="0" fontId="6" fillId="0" borderId="0" xfId="1" applyNumberFormat="1" applyFont="1"/>
    <xf numFmtId="0" fontId="3" fillId="0" borderId="0" xfId="1" applyNumberFormat="1" applyFont="1"/>
    <xf numFmtId="0" fontId="1" fillId="0" borderId="0" xfId="1" applyNumberFormat="1" applyFont="1"/>
    <xf numFmtId="0" fontId="2" fillId="2" borderId="0" xfId="1" applyNumberFormat="1" applyFont="1" applyFill="1"/>
    <xf numFmtId="0" fontId="0" fillId="2" borderId="0" xfId="1" applyNumberFormat="1" applyFont="1" applyFill="1"/>
    <xf numFmtId="11" fontId="1" fillId="0" borderId="0" xfId="1" applyNumberFormat="1" applyFont="1"/>
    <xf numFmtId="11" fontId="0" fillId="2" borderId="0" xfId="1" applyNumberFormat="1" applyFont="1" applyFill="1"/>
    <xf numFmtId="11" fontId="0" fillId="0" borderId="0" xfId="1" applyNumberFormat="1" applyFont="1"/>
    <xf numFmtId="0" fontId="7" fillId="0" borderId="0" xfId="1" applyNumberFormat="1" applyFont="1"/>
    <xf numFmtId="0" fontId="6" fillId="0" borderId="0" xfId="0" applyFont="1" applyAlignment="1">
      <alignment horizontal="left"/>
    </xf>
    <xf numFmtId="0" fontId="6" fillId="0" borderId="0" xfId="1" applyNumberFormat="1" applyFont="1" applyAlignment="1">
      <alignment horizontal="right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1" applyNumberFormat="1" applyFont="1" applyBorder="1"/>
    <xf numFmtId="11" fontId="0" fillId="0" borderId="2" xfId="0" applyNumberFormat="1" applyBorder="1"/>
    <xf numFmtId="11" fontId="0" fillId="0" borderId="3" xfId="0" applyNumberFormat="1" applyBorder="1"/>
    <xf numFmtId="0" fontId="4" fillId="0" borderId="4" xfId="1" applyNumberFormat="1" applyFont="1" applyBorder="1"/>
    <xf numFmtId="0" fontId="0" fillId="0" borderId="0" xfId="1" applyNumberFormat="1" applyFont="1" applyBorder="1"/>
    <xf numFmtId="11" fontId="0" fillId="0" borderId="0" xfId="0" applyNumberFormat="1" applyBorder="1"/>
    <xf numFmtId="11" fontId="0" fillId="0" borderId="5" xfId="0" applyNumberFormat="1" applyBorder="1"/>
    <xf numFmtId="0" fontId="0" fillId="0" borderId="4" xfId="0" applyNumberFormat="1" applyFont="1" applyBorder="1"/>
    <xf numFmtId="0" fontId="0" fillId="0" borderId="0" xfId="0" applyNumberFormat="1" applyBorder="1"/>
    <xf numFmtId="0" fontId="0" fillId="0" borderId="6" xfId="0" applyNumberFormat="1" applyFont="1" applyBorder="1"/>
    <xf numFmtId="0" fontId="0" fillId="0" borderId="7" xfId="0" applyNumberFormat="1" applyBorder="1"/>
    <xf numFmtId="11" fontId="0" fillId="0" borderId="7" xfId="0" applyNumberFormat="1" applyBorder="1"/>
    <xf numFmtId="11" fontId="0" fillId="0" borderId="8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2E86-C025-449E-8295-CF31CA975259}">
  <dimension ref="A1:X440"/>
  <sheetViews>
    <sheetView workbookViewId="0">
      <selection activeCell="F6" sqref="F6"/>
    </sheetView>
  </sheetViews>
  <sheetFormatPr defaultRowHeight="15" x14ac:dyDescent="0.25"/>
  <cols>
    <col min="1" max="1" width="15.85546875" style="1" bestFit="1" customWidth="1"/>
    <col min="2" max="3" width="12.85546875" style="2" bestFit="1" customWidth="1"/>
    <col min="4" max="4" width="9.42578125" style="2" bestFit="1" customWidth="1"/>
    <col min="5" max="6" width="12" style="2" bestFit="1" customWidth="1"/>
    <col min="7" max="7" width="10" style="2" bestFit="1" customWidth="1"/>
    <col min="8" max="8" width="11" style="2" bestFit="1" customWidth="1"/>
    <col min="9" max="9" width="12.28515625" style="2" bestFit="1" customWidth="1"/>
    <col min="10" max="10" width="12.7109375" style="2" bestFit="1" customWidth="1"/>
    <col min="11" max="11" width="12" style="2" bestFit="1" customWidth="1"/>
    <col min="12" max="17" width="9.28515625" style="2" bestFit="1" customWidth="1"/>
    <col min="18" max="18" width="12" style="2" bestFit="1" customWidth="1"/>
    <col min="19" max="19" width="9.28515625" style="2" bestFit="1" customWidth="1"/>
    <col min="20" max="20" width="11" style="2" bestFit="1" customWidth="1"/>
    <col min="21" max="24" width="9.28515625" style="2" bestFit="1" customWidth="1"/>
    <col min="25" max="16384" width="9.140625" style="2"/>
  </cols>
  <sheetData>
    <row r="1" spans="1:24" x14ac:dyDescent="0.25">
      <c r="A1" s="1" t="s">
        <v>97</v>
      </c>
      <c r="B1" s="2">
        <v>7</v>
      </c>
    </row>
    <row r="2" spans="1:24" x14ac:dyDescent="0.25">
      <c r="A2" s="1" t="s">
        <v>98</v>
      </c>
      <c r="B2" s="2">
        <v>23</v>
      </c>
    </row>
    <row r="3" spans="1:24" x14ac:dyDescent="0.25">
      <c r="A3" s="1" t="s">
        <v>27</v>
      </c>
      <c r="B3" s="2" cm="1">
        <f t="array" ref="B3:X3">_xlfn.SEQUENCE(1,$B$2,1,1)</f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</row>
    <row r="4" spans="1:24" x14ac:dyDescent="0.25">
      <c r="A4" s="1" t="s">
        <v>28</v>
      </c>
      <c r="B4" s="2" cm="1">
        <f t="array" ref="B4:X4">_xlfn.SEQUENCE(1,$B$2,0,1)</f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</row>
    <row r="5" spans="1:24" x14ac:dyDescent="0.25">
      <c r="A5" s="1" t="s">
        <v>25</v>
      </c>
      <c r="B5" s="2" t="str" cm="1">
        <f t="array" aca="1" ref="B5:H5" ca="1">OFFSET(B7,0,0,1,B1)</f>
        <v>Cu</v>
      </c>
      <c r="C5" s="2" t="str">
        <f ca="1"/>
        <v>Na</v>
      </c>
      <c r="D5" s="2" t="str">
        <f ca="1"/>
        <v>Cl</v>
      </c>
      <c r="E5" s="2" t="str">
        <f ca="1"/>
        <v>H</v>
      </c>
      <c r="F5" s="2" t="str">
        <f ca="1"/>
        <v>DonnanFA</v>
      </c>
      <c r="G5" s="2" t="str">
        <f ca="1"/>
        <v>DOC-FA_1H</v>
      </c>
      <c r="H5" s="2" t="str">
        <f ca="1"/>
        <v>DOC-FA_8H</v>
      </c>
    </row>
    <row r="6" spans="1:24" x14ac:dyDescent="0.25">
      <c r="A6" s="1" t="s">
        <v>42</v>
      </c>
      <c r="B6" s="2" t="s">
        <v>43</v>
      </c>
      <c r="C6" s="2" t="s">
        <v>43</v>
      </c>
      <c r="D6" s="2" t="s">
        <v>43</v>
      </c>
      <c r="E6" s="2" t="s">
        <v>44</v>
      </c>
      <c r="F6" s="2" t="s">
        <v>45</v>
      </c>
      <c r="G6" s="2" t="s">
        <v>43</v>
      </c>
      <c r="H6" s="2" t="s">
        <v>43</v>
      </c>
    </row>
    <row r="7" spans="1:24" x14ac:dyDescent="0.25">
      <c r="A7" s="1" t="s">
        <v>24</v>
      </c>
      <c r="B7" s="2" t="s">
        <v>3</v>
      </c>
      <c r="C7" s="2" t="s">
        <v>29</v>
      </c>
      <c r="D7" s="2" t="s">
        <v>30</v>
      </c>
      <c r="E7" s="2" t="s">
        <v>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</row>
    <row r="8" spans="1:24" x14ac:dyDescent="0.25">
      <c r="A8" s="1" t="s">
        <v>1</v>
      </c>
      <c r="B8" s="2" cm="1">
        <f t="array" aca="1" ref="B8:X8" ca="1">LOG10(OFFSET($B$9,0,0,1,$B$2))</f>
        <v>0</v>
      </c>
      <c r="C8" s="2">
        <f ca="1"/>
        <v>0</v>
      </c>
      <c r="D8" s="2">
        <f ca="1"/>
        <v>0</v>
      </c>
      <c r="E8" s="2">
        <f ca="1"/>
        <v>0</v>
      </c>
      <c r="F8" s="2">
        <f ca="1"/>
        <v>0</v>
      </c>
      <c r="G8" s="2">
        <f ca="1"/>
        <v>0</v>
      </c>
      <c r="H8" s="2">
        <f ca="1"/>
        <v>0</v>
      </c>
      <c r="I8" s="2">
        <f ca="1"/>
        <v>-13.997000000000002</v>
      </c>
      <c r="J8" s="2">
        <f ca="1"/>
        <v>-7.52</v>
      </c>
      <c r="K8" s="2">
        <f ca="1"/>
        <v>0.4</v>
      </c>
      <c r="L8" s="2">
        <f ca="1"/>
        <v>0</v>
      </c>
      <c r="M8" s="2">
        <f ca="1"/>
        <v>0</v>
      </c>
      <c r="N8" s="2">
        <f ca="1"/>
        <v>0</v>
      </c>
      <c r="O8" s="2">
        <f ca="1"/>
        <v>0</v>
      </c>
      <c r="P8" s="2">
        <f ca="1"/>
        <v>-13.997000000000002</v>
      </c>
      <c r="Q8" s="2">
        <f ca="1"/>
        <v>-7.52</v>
      </c>
      <c r="R8" s="2">
        <f ca="1"/>
        <v>0.4</v>
      </c>
      <c r="S8" s="2">
        <f ca="1"/>
        <v>-1.5900000000000005</v>
      </c>
      <c r="T8" s="2">
        <f ca="1"/>
        <v>-12.4</v>
      </c>
      <c r="U8" s="2">
        <f ca="1"/>
        <v>-0.80000000000000093</v>
      </c>
      <c r="V8" s="2">
        <f ca="1"/>
        <v>-3.1680000000000001</v>
      </c>
      <c r="W8" s="2">
        <f ca="1"/>
        <v>-8.32</v>
      </c>
      <c r="X8" s="2">
        <f ca="1"/>
        <v>-10.687999999999999</v>
      </c>
    </row>
    <row r="9" spans="1:24" x14ac:dyDescent="0.25">
      <c r="A9" s="1" t="s">
        <v>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1.0069316688518E-14</v>
      </c>
      <c r="J9" s="2">
        <v>3.0199517204020201E-8</v>
      </c>
      <c r="K9" s="2">
        <v>2.5118864315095801</v>
      </c>
      <c r="L9" s="2">
        <v>1</v>
      </c>
      <c r="M9" s="2">
        <v>1</v>
      </c>
      <c r="N9" s="2">
        <v>1</v>
      </c>
      <c r="O9" s="2">
        <v>1</v>
      </c>
      <c r="P9" s="2">
        <v>1.0069316688518E-14</v>
      </c>
      <c r="Q9" s="2">
        <v>3.0199517204020201E-8</v>
      </c>
      <c r="R9" s="2">
        <v>2.5118864315095801</v>
      </c>
      <c r="S9" s="2">
        <v>2.5703957827688601E-2</v>
      </c>
      <c r="T9" s="2">
        <v>3.9810717055349702E-13</v>
      </c>
      <c r="U9" s="2">
        <v>0.15848931924611101</v>
      </c>
      <c r="V9" s="2">
        <v>6.7920363261718397E-4</v>
      </c>
      <c r="W9" s="2">
        <v>4.7863009232263802E-9</v>
      </c>
      <c r="X9" s="2">
        <v>2.0511621788255701E-11</v>
      </c>
    </row>
    <row r="10" spans="1:24" x14ac:dyDescent="0.25">
      <c r="A10" s="1" t="s">
        <v>8</v>
      </c>
      <c r="B10" s="2">
        <v>2</v>
      </c>
      <c r="C10" s="2">
        <v>1</v>
      </c>
      <c r="D10" s="2">
        <v>-1</v>
      </c>
      <c r="E10" s="2">
        <v>1</v>
      </c>
      <c r="F10" s="2">
        <v>0</v>
      </c>
      <c r="G10" s="2">
        <v>0</v>
      </c>
      <c r="H10" s="2">
        <v>0</v>
      </c>
      <c r="I10" s="2">
        <v>-1</v>
      </c>
      <c r="J10" s="2">
        <v>1</v>
      </c>
      <c r="K10" s="2">
        <v>1</v>
      </c>
      <c r="L10" s="2">
        <v>2</v>
      </c>
      <c r="M10" s="2">
        <v>1</v>
      </c>
      <c r="N10" s="2">
        <v>-1</v>
      </c>
      <c r="O10" s="2">
        <v>1</v>
      </c>
      <c r="P10" s="2">
        <v>-1</v>
      </c>
      <c r="Q10" s="2">
        <v>1</v>
      </c>
      <c r="R10" s="2">
        <v>1</v>
      </c>
      <c r="S10" s="2">
        <v>-1</v>
      </c>
      <c r="T10" s="2">
        <v>-1</v>
      </c>
      <c r="U10" s="2">
        <v>1</v>
      </c>
      <c r="V10" s="2">
        <v>1</v>
      </c>
      <c r="W10" s="2">
        <v>0</v>
      </c>
      <c r="X10" s="2">
        <v>0</v>
      </c>
    </row>
    <row r="11" spans="1:24" x14ac:dyDescent="0.25">
      <c r="A11" s="1" t="s">
        <v>37</v>
      </c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31</v>
      </c>
      <c r="G11" s="2" t="s">
        <v>39</v>
      </c>
      <c r="H11" s="2" t="s">
        <v>39</v>
      </c>
      <c r="I11" s="2" t="s">
        <v>38</v>
      </c>
      <c r="J11" s="2" t="s">
        <v>38</v>
      </c>
      <c r="K11" s="2" t="s">
        <v>38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</row>
    <row r="12" spans="1:24" x14ac:dyDescent="0.25">
      <c r="A12" s="1" t="s">
        <v>40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-55810</v>
      </c>
      <c r="J12" s="2">
        <v>50200</v>
      </c>
      <c r="K12" s="2">
        <v>8300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1" t="s">
        <v>41</v>
      </c>
      <c r="B13" s="2">
        <f>$B$17</f>
        <v>288.14999999999998</v>
      </c>
      <c r="C13" s="2">
        <f>$B$17</f>
        <v>288.14999999999998</v>
      </c>
      <c r="D13" s="2">
        <f>$B$17</f>
        <v>288.14999999999998</v>
      </c>
      <c r="E13" s="2">
        <f>$B$17</f>
        <v>288.14999999999998</v>
      </c>
      <c r="F13" s="2">
        <v>298.14999999999998</v>
      </c>
      <c r="G13" s="2">
        <v>298.14999999999998</v>
      </c>
      <c r="H13" s="2">
        <v>298.14999999999998</v>
      </c>
      <c r="I13" s="2">
        <v>298.14999999999998</v>
      </c>
      <c r="J13" s="2">
        <v>298.14999999999998</v>
      </c>
      <c r="K13" s="2">
        <v>298.14999999999998</v>
      </c>
      <c r="L13" s="2">
        <v>298.14999999999998</v>
      </c>
      <c r="M13" s="2">
        <v>298.14999999999998</v>
      </c>
      <c r="N13" s="2">
        <v>298.14999999999998</v>
      </c>
      <c r="O13" s="2">
        <v>298.14999999999998</v>
      </c>
      <c r="P13" s="2">
        <v>298.14999999999998</v>
      </c>
      <c r="Q13" s="2">
        <v>298.14999999999998</v>
      </c>
      <c r="R13" s="2">
        <v>298.14999999999998</v>
      </c>
      <c r="S13" s="2">
        <v>298.14999999999998</v>
      </c>
      <c r="T13" s="2">
        <v>298.14999999999998</v>
      </c>
      <c r="U13" s="2">
        <v>298.14999999999998</v>
      </c>
      <c r="V13" s="2">
        <v>298.14999999999998</v>
      </c>
      <c r="W13" s="2">
        <v>298.14999999999998</v>
      </c>
      <c r="X13" s="2">
        <v>298.14999999999998</v>
      </c>
    </row>
    <row r="14" spans="1:24" x14ac:dyDescent="0.25">
      <c r="A14" s="1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</row>
    <row r="15" spans="1:24" x14ac:dyDescent="0.25">
      <c r="A15" s="1" t="s">
        <v>7</v>
      </c>
      <c r="B15" s="2">
        <v>9.9999999999999995E-7</v>
      </c>
      <c r="C15" s="2">
        <v>1E-3</v>
      </c>
      <c r="D15" s="2">
        <v>2.9999999999999997E-4</v>
      </c>
      <c r="E15" s="2">
        <v>2.6915348039269101E-8</v>
      </c>
      <c r="F15" s="2">
        <v>1</v>
      </c>
      <c r="G15" s="2">
        <v>7.0949999999999997E-8</v>
      </c>
      <c r="H15" s="2">
        <v>3.5474999999999998E-8</v>
      </c>
    </row>
    <row r="17" spans="1:18" x14ac:dyDescent="0.25">
      <c r="A17" s="1" t="s">
        <v>53</v>
      </c>
      <c r="B17" s="2">
        <v>288.14999999999998</v>
      </c>
    </row>
    <row r="18" spans="1:18" x14ac:dyDescent="0.25">
      <c r="A18" s="1" t="s">
        <v>46</v>
      </c>
      <c r="B18" s="2">
        <v>1</v>
      </c>
    </row>
    <row r="19" spans="1:18" x14ac:dyDescent="0.25">
      <c r="A19" s="1" t="s">
        <v>51</v>
      </c>
      <c r="B19" s="2">
        <v>0.25</v>
      </c>
    </row>
    <row r="20" spans="1:18" x14ac:dyDescent="0.25">
      <c r="A20" s="1" t="s">
        <v>52</v>
      </c>
      <c r="B20" s="2">
        <v>1000</v>
      </c>
    </row>
    <row r="22" spans="1:18" x14ac:dyDescent="0.25">
      <c r="B22" s="2" t="s">
        <v>54</v>
      </c>
      <c r="C22" s="2" t="s">
        <v>55</v>
      </c>
    </row>
    <row r="23" spans="1:18" x14ac:dyDescent="0.25">
      <c r="A23" s="1" t="s">
        <v>47</v>
      </c>
      <c r="B23" s="2">
        <v>0</v>
      </c>
      <c r="C23" s="2">
        <v>1.06425E-7</v>
      </c>
    </row>
    <row r="24" spans="1:18" x14ac:dyDescent="0.25">
      <c r="A24" s="1" t="s">
        <v>48</v>
      </c>
      <c r="B24" s="2">
        <v>15000</v>
      </c>
      <c r="C24" s="2">
        <v>1500</v>
      </c>
    </row>
    <row r="25" spans="1:18" x14ac:dyDescent="0.25">
      <c r="A25" s="1" t="s">
        <v>49</v>
      </c>
      <c r="B25" s="2">
        <v>1.7200000000000001E-9</v>
      </c>
      <c r="C25" s="2">
        <v>8.0000000000000003E-10</v>
      </c>
    </row>
    <row r="26" spans="1:18" x14ac:dyDescent="0.25">
      <c r="A26" s="1" t="s">
        <v>50</v>
      </c>
      <c r="B26" s="2">
        <v>-374</v>
      </c>
      <c r="C26" s="2">
        <v>-103</v>
      </c>
    </row>
    <row r="27" spans="1:18" x14ac:dyDescent="0.25">
      <c r="A27" s="2"/>
    </row>
    <row r="28" spans="1:18" x14ac:dyDescent="0.25">
      <c r="A28" s="1" t="s">
        <v>26</v>
      </c>
      <c r="B28" s="2" t="s">
        <v>3</v>
      </c>
      <c r="C28" s="2" t="s">
        <v>29</v>
      </c>
      <c r="D28" s="2" t="s">
        <v>30</v>
      </c>
      <c r="E28" s="2" t="s">
        <v>0</v>
      </c>
      <c r="F28" s="2" t="s">
        <v>31</v>
      </c>
      <c r="G28" s="2" t="s">
        <v>32</v>
      </c>
      <c r="H28" s="2" t="s">
        <v>33</v>
      </c>
    </row>
    <row r="29" spans="1:18" x14ac:dyDescent="0.25">
      <c r="A29" s="2" t="s">
        <v>3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J29" s="2" cm="1">
        <f t="array" aca="1" ref="J29:P29" ca="1">_xlfn.ANCHORARRAY(InitialGuess!$B$10)^B29:H29</f>
        <v>2.1893808081729881E-7</v>
      </c>
      <c r="K29" s="2">
        <f ca="1"/>
        <v>1</v>
      </c>
      <c r="L29" s="2">
        <f ca="1"/>
        <v>1</v>
      </c>
      <c r="M29" s="2">
        <f ca="1"/>
        <v>1</v>
      </c>
      <c r="N29" s="2">
        <f ca="1"/>
        <v>1</v>
      </c>
      <c r="O29" s="2">
        <f ca="1"/>
        <v>1</v>
      </c>
      <c r="P29" s="2">
        <f ca="1"/>
        <v>1</v>
      </c>
      <c r="R29" s="2">
        <f t="shared" ref="R29:R51" ca="1" si="0">PRODUCT(_xlfn.ANCHORARRAY(J29))</f>
        <v>2.1893808081729881E-7</v>
      </c>
    </row>
    <row r="30" spans="1:18" x14ac:dyDescent="0.25">
      <c r="A30" s="2" t="s">
        <v>29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J30" s="2" cm="1">
        <f t="array" aca="1" ref="J30:P30" ca="1">_xlfn.ANCHORARRAY(InitialGuess!$B$10)^B30:H30</f>
        <v>1</v>
      </c>
      <c r="K30" s="2">
        <f ca="1"/>
        <v>5.0000000000000001E-4</v>
      </c>
      <c r="L30" s="2">
        <f ca="1"/>
        <v>1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R30" s="2">
        <f t="shared" ca="1" si="0"/>
        <v>5.0000000000000001E-4</v>
      </c>
    </row>
    <row r="31" spans="1:18" x14ac:dyDescent="0.25">
      <c r="A31" s="2" t="s">
        <v>30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J31" s="2" cm="1">
        <f t="array" aca="1" ref="J31:P31" ca="1">_xlfn.ANCHORARRAY(InitialGuess!$B$10)^B31:H31</f>
        <v>1</v>
      </c>
      <c r="K31" s="2">
        <f ca="1"/>
        <v>1</v>
      </c>
      <c r="L31" s="2">
        <f ca="1"/>
        <v>2.9999857554476478E-4</v>
      </c>
      <c r="M31" s="2">
        <f ca="1"/>
        <v>1</v>
      </c>
      <c r="N31" s="2">
        <f ca="1"/>
        <v>1</v>
      </c>
      <c r="O31" s="2">
        <f ca="1"/>
        <v>1</v>
      </c>
      <c r="P31" s="2">
        <f ca="1"/>
        <v>1</v>
      </c>
      <c r="R31" s="2">
        <f t="shared" ca="1" si="0"/>
        <v>2.9999857554476478E-4</v>
      </c>
    </row>
    <row r="32" spans="1:18" x14ac:dyDescent="0.25">
      <c r="A32" s="2" t="s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J32" s="2" cm="1">
        <f t="array" aca="1" ref="J32:P32" ca="1">_xlfn.ANCHORARRAY(InitialGuess!$B$10)^B32:H32</f>
        <v>1</v>
      </c>
      <c r="K32" s="2">
        <f ca="1"/>
        <v>1</v>
      </c>
      <c r="L32" s="2">
        <f ca="1"/>
        <v>1</v>
      </c>
      <c r="M32" s="2">
        <f ca="1"/>
        <v>2.6915348039269101E-8</v>
      </c>
      <c r="N32" s="2">
        <f ca="1"/>
        <v>1</v>
      </c>
      <c r="O32" s="2">
        <f ca="1"/>
        <v>1</v>
      </c>
      <c r="P32" s="2">
        <f ca="1"/>
        <v>1</v>
      </c>
      <c r="R32" s="2">
        <f t="shared" ca="1" si="0"/>
        <v>2.6915348039269101E-8</v>
      </c>
    </row>
    <row r="33" spans="1:18" x14ac:dyDescent="0.25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9">
        <v>0</v>
      </c>
      <c r="G33" s="2">
        <v>0</v>
      </c>
      <c r="H33" s="2">
        <v>0</v>
      </c>
      <c r="J33" s="2" cm="1">
        <f t="array" aca="1" ref="J33:P33" ca="1">_xlfn.ANCHORARRAY(InitialGuess!$B$10)^B33:H33</f>
        <v>1</v>
      </c>
      <c r="K33" s="2">
        <f ca="1"/>
        <v>1</v>
      </c>
      <c r="L33" s="2">
        <f ca="1"/>
        <v>1</v>
      </c>
      <c r="M33" s="2">
        <f ca="1"/>
        <v>1</v>
      </c>
      <c r="N33" s="2">
        <f ca="1"/>
        <v>1</v>
      </c>
      <c r="O33" s="2">
        <f ca="1"/>
        <v>1</v>
      </c>
      <c r="P33" s="2">
        <f ca="1"/>
        <v>1</v>
      </c>
      <c r="R33" s="2">
        <f t="shared" ca="1" si="0"/>
        <v>1</v>
      </c>
    </row>
    <row r="34" spans="1:18" x14ac:dyDescent="0.25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J34" s="2" cm="1">
        <f t="array" aca="1" ref="J34:P34" ca="1">_xlfn.ANCHORARRAY(InitialGuess!$B$10)^B34:H34</f>
        <v>1</v>
      </c>
      <c r="K34" s="2">
        <f ca="1"/>
        <v>1</v>
      </c>
      <c r="L34" s="2">
        <f ca="1"/>
        <v>1</v>
      </c>
      <c r="M34" s="2">
        <f ca="1"/>
        <v>1</v>
      </c>
      <c r="N34" s="2">
        <f ca="1"/>
        <v>1</v>
      </c>
      <c r="O34" s="2">
        <f ca="1"/>
        <v>7.429272062493005E-14</v>
      </c>
      <c r="P34" s="2">
        <f ca="1"/>
        <v>1</v>
      </c>
      <c r="R34" s="2">
        <f t="shared" ca="1" si="0"/>
        <v>7.429272062493005E-14</v>
      </c>
    </row>
    <row r="35" spans="1:18" x14ac:dyDescent="0.25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J35" s="2" cm="1">
        <f t="array" aca="1" ref="J35:P35" ca="1">_xlfn.ANCHORARRAY(InitialGuess!$B$10)^B35:H35</f>
        <v>1</v>
      </c>
      <c r="K35" s="2">
        <f ca="1"/>
        <v>1</v>
      </c>
      <c r="L35" s="2">
        <f ca="1"/>
        <v>1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3.367143923275514E-8</v>
      </c>
      <c r="R35" s="2">
        <f t="shared" ca="1" si="0"/>
        <v>3.367143923275514E-8</v>
      </c>
    </row>
    <row r="36" spans="1:18" x14ac:dyDescent="0.25">
      <c r="A36" s="2" t="s">
        <v>34</v>
      </c>
      <c r="B36" s="2">
        <v>0</v>
      </c>
      <c r="C36" s="2">
        <v>0</v>
      </c>
      <c r="D36" s="2">
        <v>0</v>
      </c>
      <c r="E36" s="2">
        <v>-1</v>
      </c>
      <c r="F36" s="2">
        <v>0</v>
      </c>
      <c r="G36" s="2">
        <v>0</v>
      </c>
      <c r="H36" s="2">
        <v>0</v>
      </c>
      <c r="J36" s="2" cm="1">
        <f t="array" aca="1" ref="J36:P36" ca="1">_xlfn.ANCHORARRAY(InitialGuess!$B$10)^B36:H36</f>
        <v>1</v>
      </c>
      <c r="K36" s="2">
        <f ca="1"/>
        <v>1</v>
      </c>
      <c r="L36" s="2">
        <f ca="1"/>
        <v>1</v>
      </c>
      <c r="M36" s="2">
        <f ca="1"/>
        <v>37153522.909717329</v>
      </c>
      <c r="N36" s="2">
        <f ca="1"/>
        <v>1</v>
      </c>
      <c r="O36" s="2">
        <f ca="1"/>
        <v>1</v>
      </c>
      <c r="P36" s="2">
        <f ca="1"/>
        <v>1</v>
      </c>
      <c r="R36" s="2">
        <f t="shared" ca="1" si="0"/>
        <v>37153522.909717329</v>
      </c>
    </row>
    <row r="37" spans="1:18" x14ac:dyDescent="0.25">
      <c r="A37" s="2" t="s">
        <v>35</v>
      </c>
      <c r="B37" s="2">
        <v>1</v>
      </c>
      <c r="C37" s="2">
        <v>0</v>
      </c>
      <c r="D37" s="2">
        <v>0</v>
      </c>
      <c r="E37" s="2">
        <v>-1</v>
      </c>
      <c r="F37" s="2">
        <v>0</v>
      </c>
      <c r="G37" s="2">
        <v>0</v>
      </c>
      <c r="H37" s="2">
        <v>0</v>
      </c>
      <c r="J37" s="2" cm="1">
        <f t="array" aca="1" ref="J37:P37" ca="1">_xlfn.ANCHORARRAY(InitialGuess!$B$10)^B37:H37</f>
        <v>2.1893808081729881E-7</v>
      </c>
      <c r="K37" s="2">
        <f ca="1"/>
        <v>1</v>
      </c>
      <c r="L37" s="2">
        <f ca="1"/>
        <v>1</v>
      </c>
      <c r="M37" s="2">
        <f ca="1"/>
        <v>37153522.909717329</v>
      </c>
      <c r="N37" s="2">
        <f ca="1"/>
        <v>1</v>
      </c>
      <c r="O37" s="2">
        <f ca="1"/>
        <v>1</v>
      </c>
      <c r="P37" s="2">
        <f ca="1"/>
        <v>1</v>
      </c>
      <c r="R37" s="2">
        <f t="shared" ca="1" si="0"/>
        <v>8.1343210014550547</v>
      </c>
    </row>
    <row r="38" spans="1:18" x14ac:dyDescent="0.25">
      <c r="A38" s="2" t="s">
        <v>36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J38" s="2" cm="1">
        <f t="array" aca="1" ref="J38:P38" ca="1">_xlfn.ANCHORARRAY(InitialGuess!$B$10)^B38:H38</f>
        <v>2.1893808081729881E-7</v>
      </c>
      <c r="K38" s="2">
        <f ca="1"/>
        <v>1</v>
      </c>
      <c r="L38" s="2">
        <f ca="1"/>
        <v>2.9999857554476478E-4</v>
      </c>
      <c r="M38" s="2">
        <f ca="1"/>
        <v>1</v>
      </c>
      <c r="N38" s="2">
        <f ca="1"/>
        <v>1</v>
      </c>
      <c r="O38" s="2">
        <f ca="1"/>
        <v>1</v>
      </c>
      <c r="P38" s="2">
        <f ca="1"/>
        <v>1</v>
      </c>
      <c r="R38" s="2">
        <f t="shared" ca="1" si="0"/>
        <v>6.568111237769423E-11</v>
      </c>
    </row>
    <row r="39" spans="1:18" x14ac:dyDescent="0.25">
      <c r="A39" s="2" t="s">
        <v>10</v>
      </c>
      <c r="B39" s="2">
        <v>1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J39" s="2" cm="1">
        <f t="array" aca="1" ref="J39:P39" ca="1">_xlfn.ANCHORARRAY(InitialGuess!$B$10)^B39:H39</f>
        <v>2.1893808081729881E-7</v>
      </c>
      <c r="K39" s="2">
        <f ca="1"/>
        <v>1</v>
      </c>
      <c r="L39" s="2">
        <f ca="1"/>
        <v>1</v>
      </c>
      <c r="M39" s="2">
        <f ca="1"/>
        <v>1</v>
      </c>
      <c r="N39" s="2">
        <f ca="1"/>
        <v>4562.1330632233794</v>
      </c>
      <c r="O39" s="2">
        <f ca="1"/>
        <v>1</v>
      </c>
      <c r="P39" s="2">
        <f ca="1"/>
        <v>1</v>
      </c>
      <c r="R39" s="2">
        <f t="shared" ca="1" si="0"/>
        <v>9.988246572952711E-4</v>
      </c>
    </row>
    <row r="40" spans="1:18" x14ac:dyDescent="0.25">
      <c r="A40" s="2" t="s">
        <v>11</v>
      </c>
      <c r="B40" s="2">
        <v>0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J40" s="2" cm="1">
        <f t="array" aca="1" ref="J40:P40" ca="1">_xlfn.ANCHORARRAY(InitialGuess!$B$10)^B40:H40</f>
        <v>1</v>
      </c>
      <c r="K40" s="2">
        <f ca="1"/>
        <v>5.0000000000000001E-4</v>
      </c>
      <c r="L40" s="2">
        <f ca="1"/>
        <v>1</v>
      </c>
      <c r="M40" s="2">
        <f ca="1"/>
        <v>1</v>
      </c>
      <c r="N40" s="2">
        <f ca="1"/>
        <v>67.543564188036299</v>
      </c>
      <c r="O40" s="2">
        <f ca="1"/>
        <v>1</v>
      </c>
      <c r="P40" s="2">
        <f ca="1"/>
        <v>1</v>
      </c>
      <c r="R40" s="2">
        <f t="shared" ca="1" si="0"/>
        <v>3.3771782094018148E-2</v>
      </c>
    </row>
    <row r="41" spans="1:18" x14ac:dyDescent="0.25">
      <c r="A41" s="2" t="s">
        <v>12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J41" s="2" cm="1">
        <f t="array" aca="1" ref="J41:P41" ca="1">_xlfn.ANCHORARRAY(InitialGuess!$B$10)^B41:H41</f>
        <v>1</v>
      </c>
      <c r="K41" s="2">
        <f ca="1"/>
        <v>1</v>
      </c>
      <c r="L41" s="2">
        <f ca="1"/>
        <v>2.9999857554476478E-4</v>
      </c>
      <c r="M41" s="2">
        <f ca="1"/>
        <v>1</v>
      </c>
      <c r="N41" s="2">
        <f ca="1"/>
        <v>67.543564188036299</v>
      </c>
      <c r="O41" s="2">
        <f ca="1"/>
        <v>1</v>
      </c>
      <c r="P41" s="2">
        <f ca="1"/>
        <v>1</v>
      </c>
      <c r="R41" s="2">
        <f t="shared" ca="1" si="0"/>
        <v>2.0262973043627275E-2</v>
      </c>
    </row>
    <row r="42" spans="1:18" x14ac:dyDescent="0.25">
      <c r="A42" s="2" t="s">
        <v>13</v>
      </c>
      <c r="B42" s="2">
        <v>0</v>
      </c>
      <c r="C42" s="2">
        <v>0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  <c r="J42" s="2" cm="1">
        <f t="array" aca="1" ref="J42:P42" ca="1">_xlfn.ANCHORARRAY(InitialGuess!$B$10)^B42:H42</f>
        <v>1</v>
      </c>
      <c r="K42" s="2">
        <f ca="1"/>
        <v>1</v>
      </c>
      <c r="L42" s="2">
        <f ca="1"/>
        <v>1</v>
      </c>
      <c r="M42" s="2">
        <f ca="1"/>
        <v>2.6915348039269101E-8</v>
      </c>
      <c r="N42" s="2">
        <f ca="1"/>
        <v>67.543564188036299</v>
      </c>
      <c r="O42" s="2">
        <f ca="1"/>
        <v>1</v>
      </c>
      <c r="P42" s="2">
        <f ca="1"/>
        <v>1</v>
      </c>
      <c r="R42" s="2">
        <f t="shared" ca="1" si="0"/>
        <v>1.8179585379337095E-6</v>
      </c>
    </row>
    <row r="43" spans="1:18" x14ac:dyDescent="0.25">
      <c r="A43" s="2" t="s">
        <v>14</v>
      </c>
      <c r="B43" s="2">
        <v>0</v>
      </c>
      <c r="C43" s="2">
        <v>0</v>
      </c>
      <c r="D43" s="2">
        <v>0</v>
      </c>
      <c r="E43" s="2">
        <v>-1</v>
      </c>
      <c r="F43" s="2">
        <v>1</v>
      </c>
      <c r="G43" s="2">
        <v>0</v>
      </c>
      <c r="H43" s="2">
        <v>0</v>
      </c>
      <c r="J43" s="2" cm="1">
        <f t="array" aca="1" ref="J43:P43" ca="1">_xlfn.ANCHORARRAY(InitialGuess!$B$10)^B43:H43</f>
        <v>1</v>
      </c>
      <c r="K43" s="2">
        <f ca="1"/>
        <v>1</v>
      </c>
      <c r="L43" s="2">
        <f ca="1"/>
        <v>1</v>
      </c>
      <c r="M43" s="2">
        <f ca="1"/>
        <v>37153522.909717329</v>
      </c>
      <c r="N43" s="2">
        <f ca="1"/>
        <v>67.543564188036299</v>
      </c>
      <c r="O43" s="2">
        <f ca="1"/>
        <v>1</v>
      </c>
      <c r="P43" s="2">
        <f ca="1"/>
        <v>1</v>
      </c>
      <c r="R43" s="2">
        <f t="shared" ca="1" si="0"/>
        <v>2509481359.4641695</v>
      </c>
    </row>
    <row r="44" spans="1:18" x14ac:dyDescent="0.25">
      <c r="A44" s="2" t="s">
        <v>15</v>
      </c>
      <c r="B44" s="2">
        <v>1</v>
      </c>
      <c r="C44" s="2">
        <v>0</v>
      </c>
      <c r="D44" s="2">
        <v>0</v>
      </c>
      <c r="E44" s="2">
        <v>-1</v>
      </c>
      <c r="F44" s="2">
        <v>1</v>
      </c>
      <c r="G44" s="2">
        <v>0</v>
      </c>
      <c r="H44" s="2">
        <v>0</v>
      </c>
      <c r="J44" s="2" cm="1">
        <f t="array" aca="1" ref="J44:P44" ca="1">_xlfn.ANCHORARRAY(InitialGuess!$B$10)^B44:H44</f>
        <v>2.1893808081729881E-7</v>
      </c>
      <c r="K44" s="2">
        <f ca="1"/>
        <v>1</v>
      </c>
      <c r="L44" s="2">
        <f ca="1"/>
        <v>1</v>
      </c>
      <c r="M44" s="2">
        <f ca="1"/>
        <v>37153522.909717329</v>
      </c>
      <c r="N44" s="2">
        <f ca="1"/>
        <v>67.543564188036299</v>
      </c>
      <c r="O44" s="2">
        <f ca="1"/>
        <v>1</v>
      </c>
      <c r="P44" s="2">
        <f ca="1"/>
        <v>1</v>
      </c>
      <c r="R44" s="2">
        <f t="shared" ca="1" si="0"/>
        <v>549.42103268787116</v>
      </c>
    </row>
    <row r="45" spans="1:18" x14ac:dyDescent="0.25">
      <c r="A45" s="2" t="s">
        <v>16</v>
      </c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J45" s="2" cm="1">
        <f t="array" aca="1" ref="J45:P45" ca="1">_xlfn.ANCHORARRAY(InitialGuess!$B$10)^B45:H45</f>
        <v>2.1893808081729881E-7</v>
      </c>
      <c r="K45" s="2">
        <f ca="1"/>
        <v>1</v>
      </c>
      <c r="L45" s="2">
        <f ca="1"/>
        <v>2.9999857554476478E-4</v>
      </c>
      <c r="M45" s="2">
        <f ca="1"/>
        <v>1</v>
      </c>
      <c r="N45" s="2">
        <f ca="1"/>
        <v>67.543564188036299</v>
      </c>
      <c r="O45" s="2">
        <f ca="1"/>
        <v>1</v>
      </c>
      <c r="P45" s="2">
        <f ca="1"/>
        <v>1</v>
      </c>
      <c r="R45" s="2">
        <f t="shared" ca="1" si="0"/>
        <v>4.4363364298244161E-9</v>
      </c>
    </row>
    <row r="46" spans="1:18" x14ac:dyDescent="0.25">
      <c r="A46" s="2" t="s">
        <v>17</v>
      </c>
      <c r="B46" s="2">
        <v>0</v>
      </c>
      <c r="C46" s="2">
        <v>0</v>
      </c>
      <c r="D46" s="2">
        <v>0</v>
      </c>
      <c r="E46" s="2">
        <v>-1</v>
      </c>
      <c r="F46" s="2">
        <v>0</v>
      </c>
      <c r="G46" s="2">
        <v>1</v>
      </c>
      <c r="H46" s="2">
        <v>0</v>
      </c>
      <c r="J46" s="2" cm="1">
        <f t="array" aca="1" ref="J46:P46" ca="1">_xlfn.ANCHORARRAY(InitialGuess!$B$10)^B46:H46</f>
        <v>1</v>
      </c>
      <c r="K46" s="2">
        <f ca="1"/>
        <v>1</v>
      </c>
      <c r="L46" s="2">
        <f ca="1"/>
        <v>1</v>
      </c>
      <c r="M46" s="2">
        <f ca="1"/>
        <v>37153522.909717329</v>
      </c>
      <c r="N46" s="2">
        <f ca="1"/>
        <v>1</v>
      </c>
      <c r="O46" s="2">
        <f ca="1"/>
        <v>7.429272062493005E-14</v>
      </c>
      <c r="P46" s="2">
        <f ca="1"/>
        <v>1</v>
      </c>
      <c r="R46" s="2">
        <f t="shared" ca="1" si="0"/>
        <v>2.7602362977635677E-6</v>
      </c>
    </row>
    <row r="47" spans="1:18" x14ac:dyDescent="0.25">
      <c r="A47" s="2" t="s">
        <v>18</v>
      </c>
      <c r="B47" s="2">
        <v>0</v>
      </c>
      <c r="C47" s="2">
        <v>0</v>
      </c>
      <c r="D47" s="2">
        <v>0</v>
      </c>
      <c r="E47" s="2">
        <v>-1</v>
      </c>
      <c r="F47" s="2">
        <v>0</v>
      </c>
      <c r="G47" s="2">
        <v>0</v>
      </c>
      <c r="H47" s="2">
        <v>1</v>
      </c>
      <c r="J47" s="2" cm="1">
        <f t="array" aca="1" ref="J47:P47" ca="1">_xlfn.ANCHORARRAY(InitialGuess!$B$10)^B47:H47</f>
        <v>1</v>
      </c>
      <c r="K47" s="2">
        <f ca="1"/>
        <v>1</v>
      </c>
      <c r="L47" s="2">
        <f ca="1"/>
        <v>1</v>
      </c>
      <c r="M47" s="2">
        <f ca="1"/>
        <v>37153522.909717329</v>
      </c>
      <c r="N47" s="2">
        <f ca="1"/>
        <v>1</v>
      </c>
      <c r="O47" s="2">
        <f ca="1"/>
        <v>1</v>
      </c>
      <c r="P47" s="2">
        <f ca="1"/>
        <v>3.367143923275514E-8</v>
      </c>
      <c r="R47" s="2">
        <f t="shared" ca="1" si="0"/>
        <v>1.2510125889373229</v>
      </c>
    </row>
    <row r="48" spans="1:18" x14ac:dyDescent="0.25">
      <c r="A48" s="2" t="s">
        <v>19</v>
      </c>
      <c r="B48" s="2">
        <v>1</v>
      </c>
      <c r="C48" s="2">
        <v>0</v>
      </c>
      <c r="D48" s="2">
        <v>0</v>
      </c>
      <c r="E48" s="2">
        <v>-1</v>
      </c>
      <c r="F48" s="2">
        <v>0</v>
      </c>
      <c r="G48" s="2">
        <v>1</v>
      </c>
      <c r="H48" s="2">
        <v>0</v>
      </c>
      <c r="J48" s="2" cm="1">
        <f t="array" aca="1" ref="J48:P48" ca="1">_xlfn.ANCHORARRAY(InitialGuess!$B$10)^B48:H48</f>
        <v>2.1893808081729881E-7</v>
      </c>
      <c r="K48" s="2">
        <f ca="1"/>
        <v>1</v>
      </c>
      <c r="L48" s="2">
        <f ca="1"/>
        <v>1</v>
      </c>
      <c r="M48" s="2">
        <f ca="1"/>
        <v>37153522.909717329</v>
      </c>
      <c r="N48" s="2">
        <f ca="1"/>
        <v>1</v>
      </c>
      <c r="O48" s="2">
        <f ca="1"/>
        <v>7.429272062493005E-14</v>
      </c>
      <c r="P48" s="2">
        <f ca="1"/>
        <v>1</v>
      </c>
      <c r="R48" s="2">
        <f t="shared" ca="1" si="0"/>
        <v>6.043208376346016E-13</v>
      </c>
    </row>
    <row r="49" spans="1:24" x14ac:dyDescent="0.25">
      <c r="A49" s="2" t="s">
        <v>20</v>
      </c>
      <c r="B49" s="2">
        <v>1</v>
      </c>
      <c r="C49" s="2">
        <v>0</v>
      </c>
      <c r="D49" s="2">
        <v>0</v>
      </c>
      <c r="E49" s="2">
        <v>-1</v>
      </c>
      <c r="F49" s="2">
        <v>0</v>
      </c>
      <c r="G49" s="2">
        <v>0</v>
      </c>
      <c r="H49" s="2">
        <v>1</v>
      </c>
      <c r="J49" s="2" cm="1">
        <f t="array" aca="1" ref="J49:P49" ca="1">_xlfn.ANCHORARRAY(InitialGuess!$B$10)^B49:H49</f>
        <v>2.1893808081729881E-7</v>
      </c>
      <c r="K49" s="2">
        <f ca="1"/>
        <v>1</v>
      </c>
      <c r="L49" s="2">
        <f ca="1"/>
        <v>1</v>
      </c>
      <c r="M49" s="2">
        <f ca="1"/>
        <v>37153522.909717329</v>
      </c>
      <c r="N49" s="2">
        <f ca="1"/>
        <v>1</v>
      </c>
      <c r="O49" s="2">
        <f ca="1"/>
        <v>1</v>
      </c>
      <c r="P49" s="2">
        <f ca="1"/>
        <v>3.367143923275514E-8</v>
      </c>
      <c r="R49" s="2">
        <f t="shared" ca="1" si="0"/>
        <v>2.7389429530021779E-7</v>
      </c>
    </row>
    <row r="50" spans="1:24" x14ac:dyDescent="0.25">
      <c r="A50" s="2" t="s">
        <v>21</v>
      </c>
      <c r="B50" s="2">
        <v>1</v>
      </c>
      <c r="C50" s="2">
        <v>0</v>
      </c>
      <c r="D50" s="2">
        <v>0</v>
      </c>
      <c r="E50" s="2">
        <v>-2</v>
      </c>
      <c r="F50" s="2">
        <v>0</v>
      </c>
      <c r="G50" s="2">
        <v>1</v>
      </c>
      <c r="H50" s="2">
        <v>0</v>
      </c>
      <c r="J50" s="2" cm="1">
        <f t="array" aca="1" ref="J50:P50" ca="1">_xlfn.ANCHORARRAY(InitialGuess!$B$10)^B50:H50</f>
        <v>2.1893808081729881E-7</v>
      </c>
      <c r="K50" s="2">
        <f ca="1"/>
        <v>1</v>
      </c>
      <c r="L50" s="2">
        <f ca="1"/>
        <v>1</v>
      </c>
      <c r="M50" s="2">
        <f ca="1"/>
        <v>1380384264602890.5</v>
      </c>
      <c r="N50" s="2">
        <f ca="1"/>
        <v>1</v>
      </c>
      <c r="O50" s="2">
        <f ca="1"/>
        <v>7.429272062493005E-14</v>
      </c>
      <c r="P50" s="2">
        <f ca="1"/>
        <v>1</v>
      </c>
      <c r="R50" s="2">
        <f t="shared" ca="1" si="0"/>
        <v>2.2452648085876737E-5</v>
      </c>
    </row>
    <row r="51" spans="1:24" x14ac:dyDescent="0.25">
      <c r="A51" s="2" t="s">
        <v>22</v>
      </c>
      <c r="B51" s="2">
        <v>1</v>
      </c>
      <c r="C51" s="2">
        <v>0</v>
      </c>
      <c r="D51" s="2">
        <v>0</v>
      </c>
      <c r="E51" s="2">
        <v>-2</v>
      </c>
      <c r="F51" s="2">
        <v>0</v>
      </c>
      <c r="G51" s="2">
        <v>0</v>
      </c>
      <c r="H51" s="2">
        <v>1</v>
      </c>
      <c r="J51" s="2" cm="1">
        <f t="array" aca="1" ref="J51:P51" ca="1">_xlfn.ANCHORARRAY(InitialGuess!$B$10)^B51:H51</f>
        <v>2.1893808081729881E-7</v>
      </c>
      <c r="K51" s="2">
        <f ca="1"/>
        <v>1</v>
      </c>
      <c r="L51" s="2">
        <f ca="1"/>
        <v>1</v>
      </c>
      <c r="M51" s="2">
        <f ca="1"/>
        <v>1380384264602890.5</v>
      </c>
      <c r="N51" s="2">
        <f ca="1"/>
        <v>1</v>
      </c>
      <c r="O51" s="2">
        <f ca="1"/>
        <v>1</v>
      </c>
      <c r="P51" s="2">
        <f ca="1"/>
        <v>3.367143923275514E-8</v>
      </c>
      <c r="R51" s="2">
        <f t="shared" ca="1" si="0"/>
        <v>10.176137975277527</v>
      </c>
    </row>
    <row r="52" spans="1:24" x14ac:dyDescent="0.25">
      <c r="A52" s="2"/>
    </row>
    <row r="53" spans="1:24" x14ac:dyDescent="0.25">
      <c r="A53" s="1" t="s">
        <v>58</v>
      </c>
      <c r="B53" s="2" cm="1">
        <f t="array" aca="1" ref="B53:X53" ca="1">OFFSET($B$9,0,0,1,$B$2)*EXP(OFFSET($B$12,0,0,1,$B$2)*((1/OFFSET($B$13,0,0,1,$B$2))-(1/$B$17))/8.314)</f>
        <v>1</v>
      </c>
      <c r="C53" s="2">
        <f ca="1"/>
        <v>1</v>
      </c>
      <c r="D53" s="2">
        <f ca="1"/>
        <v>1</v>
      </c>
      <c r="E53" s="2">
        <f ca="1"/>
        <v>1</v>
      </c>
      <c r="F53" s="2">
        <f ca="1"/>
        <v>1</v>
      </c>
      <c r="G53" s="2">
        <f ca="1"/>
        <v>1</v>
      </c>
      <c r="H53" s="2">
        <f ca="1"/>
        <v>1</v>
      </c>
      <c r="I53" s="2">
        <f ca="1"/>
        <v>2.1995725798065139E-14</v>
      </c>
      <c r="J53" s="2">
        <f ca="1"/>
        <v>1.4954498711240171E-8</v>
      </c>
      <c r="K53" s="2">
        <f ca="1"/>
        <v>2.2363202312453416</v>
      </c>
      <c r="L53" s="2">
        <f ca="1"/>
        <v>1</v>
      </c>
      <c r="M53" s="2">
        <f ca="1"/>
        <v>1</v>
      </c>
      <c r="N53" s="2">
        <f ca="1"/>
        <v>1</v>
      </c>
      <c r="O53" s="2">
        <f ca="1"/>
        <v>1</v>
      </c>
      <c r="P53" s="2">
        <f ca="1"/>
        <v>1.0069316688518E-14</v>
      </c>
      <c r="Q53" s="2">
        <f ca="1"/>
        <v>3.0199517204020201E-8</v>
      </c>
      <c r="R53" s="2">
        <f ca="1"/>
        <v>2.5118864315095801</v>
      </c>
      <c r="S53" s="2">
        <f ca="1"/>
        <v>2.5703957827688601E-2</v>
      </c>
      <c r="T53" s="2">
        <f ca="1"/>
        <v>3.9810717055349702E-13</v>
      </c>
      <c r="U53" s="2">
        <f ca="1"/>
        <v>0.15848931924611101</v>
      </c>
      <c r="V53" s="2">
        <f ca="1"/>
        <v>6.7920363261718397E-4</v>
      </c>
      <c r="W53" s="2">
        <f ca="1"/>
        <v>4.7863009232263802E-9</v>
      </c>
      <c r="X53" s="2">
        <f ca="1"/>
        <v>2.0511621788255701E-11</v>
      </c>
    </row>
    <row r="76" spans="1:1" x14ac:dyDescent="0.25">
      <c r="A76" s="2"/>
    </row>
    <row r="104" spans="1:6" x14ac:dyDescent="0.25">
      <c r="A104" s="2"/>
      <c r="F104" s="2">
        <f ca="1">'Iter 0'!G16*(4*'Iter 0'!G17*'Iter 0'!C17+'Iter 0'!D17+'Iter 0'!E17+'Iter 0'!F17+'Iter 0'!F17*'Iter 0'!J13+'Iter 0'!C17*'Iter 0'!F17^-1*'Iter 0'!K13+'Iter 0'!C17*'Iter 0'!E17*'Iter 0'!L13)</f>
        <v>2.3332764378256076E-11</v>
      </c>
    </row>
    <row r="155" spans="1:1" x14ac:dyDescent="0.25">
      <c r="A155" s="2"/>
    </row>
    <row r="163" spans="1:8" x14ac:dyDescent="0.25">
      <c r="A163" s="2"/>
      <c r="B163" s="3"/>
      <c r="C163" s="3"/>
      <c r="D163" s="3"/>
      <c r="E163" s="3"/>
      <c r="F163" s="3"/>
      <c r="G163" s="3"/>
      <c r="H163" s="3"/>
    </row>
    <row r="164" spans="1:8" x14ac:dyDescent="0.25">
      <c r="A164" s="2"/>
      <c r="B164" s="3"/>
      <c r="C164" s="3"/>
      <c r="D164" s="3"/>
      <c r="E164" s="3"/>
      <c r="F164" s="3"/>
      <c r="G164" s="3"/>
      <c r="H164" s="3"/>
    </row>
    <row r="165" spans="1:8" x14ac:dyDescent="0.25">
      <c r="A165" s="2"/>
      <c r="B165" s="3"/>
      <c r="C165" s="3"/>
      <c r="D165" s="3"/>
      <c r="E165" s="3"/>
      <c r="F165" s="3"/>
      <c r="G165" s="3"/>
      <c r="H165" s="3"/>
    </row>
    <row r="166" spans="1:8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2"/>
      <c r="B167" s="3"/>
      <c r="C167" s="3"/>
      <c r="D167" s="3"/>
      <c r="E167" s="3"/>
      <c r="F167" s="3"/>
      <c r="G167" s="3"/>
      <c r="H167" s="3"/>
    </row>
    <row r="168" spans="1:8" x14ac:dyDescent="0.25">
      <c r="A168" s="2"/>
      <c r="B168" s="3"/>
      <c r="C168" s="3"/>
      <c r="D168" s="3"/>
      <c r="E168" s="3"/>
      <c r="F168" s="3"/>
      <c r="G168" s="3"/>
      <c r="H168" s="3"/>
    </row>
    <row r="203" spans="1:1" x14ac:dyDescent="0.25">
      <c r="A203" s="2"/>
    </row>
    <row r="211" spans="1:8" x14ac:dyDescent="0.25">
      <c r="A211" s="2"/>
      <c r="B211" s="3"/>
      <c r="C211" s="3"/>
      <c r="D211" s="3"/>
      <c r="E211" s="3"/>
      <c r="F211" s="3"/>
      <c r="G211" s="3"/>
      <c r="H211" s="3"/>
    </row>
    <row r="212" spans="1:8" x14ac:dyDescent="0.25">
      <c r="A212" s="2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3"/>
      <c r="C213" s="3"/>
      <c r="D213" s="3"/>
      <c r="E213" s="3"/>
      <c r="F213" s="3"/>
      <c r="G213" s="3"/>
      <c r="H213" s="3"/>
    </row>
    <row r="214" spans="1:8" x14ac:dyDescent="0.25">
      <c r="A214" s="2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3"/>
      <c r="C215" s="3"/>
      <c r="D215" s="3"/>
      <c r="E215" s="3"/>
      <c r="F215" s="3"/>
      <c r="G215" s="3"/>
      <c r="H215" s="3"/>
    </row>
    <row r="216" spans="1:8" x14ac:dyDescent="0.25">
      <c r="A216" s="2"/>
      <c r="B216" s="3"/>
      <c r="C216" s="3"/>
      <c r="D216" s="3"/>
      <c r="E216" s="3"/>
      <c r="F216" s="3"/>
      <c r="G216" s="3"/>
      <c r="H216" s="3"/>
    </row>
    <row r="251" spans="1:1" x14ac:dyDescent="0.25">
      <c r="A251" s="2"/>
    </row>
    <row r="260" spans="1:8" x14ac:dyDescent="0.25">
      <c r="A260" s="2"/>
    </row>
    <row r="267" spans="1:8" x14ac:dyDescent="0.25">
      <c r="A267" s="2"/>
      <c r="B267" s="3"/>
      <c r="C267" s="3"/>
      <c r="D267" s="3"/>
      <c r="E267" s="3"/>
      <c r="F267" s="3"/>
      <c r="G267" s="3"/>
      <c r="H267" s="3"/>
    </row>
    <row r="268" spans="1:8" x14ac:dyDescent="0.25">
      <c r="A268" s="2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3"/>
      <c r="C269" s="3"/>
      <c r="D269" s="3"/>
      <c r="E269" s="3"/>
      <c r="F269" s="3"/>
      <c r="G269" s="3"/>
      <c r="H269" s="3"/>
    </row>
    <row r="270" spans="1:8" x14ac:dyDescent="0.25">
      <c r="A270" s="2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3"/>
      <c r="C271" s="3"/>
      <c r="D271" s="3"/>
      <c r="E271" s="3"/>
      <c r="F271" s="3"/>
      <c r="G271" s="3"/>
      <c r="H271" s="3"/>
    </row>
    <row r="272" spans="1:8" x14ac:dyDescent="0.25">
      <c r="A272" s="2"/>
      <c r="B272" s="3"/>
      <c r="C272" s="3"/>
      <c r="D272" s="3"/>
      <c r="E272" s="3"/>
      <c r="F272" s="3"/>
      <c r="G272" s="3"/>
      <c r="H272" s="3"/>
    </row>
    <row r="307" spans="1:1" x14ac:dyDescent="0.25">
      <c r="A307" s="2"/>
    </row>
    <row r="316" spans="1:1" x14ac:dyDescent="0.25">
      <c r="A316" s="2"/>
    </row>
    <row r="323" spans="1:8" x14ac:dyDescent="0.25">
      <c r="A323" s="2"/>
      <c r="B323" s="3"/>
      <c r="C323" s="3"/>
      <c r="D323" s="3"/>
      <c r="E323" s="3"/>
      <c r="F323" s="3"/>
      <c r="G323" s="3"/>
      <c r="H323" s="3"/>
    </row>
    <row r="324" spans="1:8" x14ac:dyDescent="0.25">
      <c r="A324" s="2"/>
      <c r="B324" s="3"/>
      <c r="C324" s="3"/>
      <c r="D324" s="3"/>
      <c r="E324" s="3"/>
      <c r="F324" s="3"/>
      <c r="G324" s="3"/>
      <c r="H324" s="3"/>
    </row>
    <row r="325" spans="1:8" x14ac:dyDescent="0.25">
      <c r="A325" s="2"/>
      <c r="B325" s="3"/>
      <c r="C325" s="3"/>
      <c r="D325" s="3"/>
      <c r="E325" s="3"/>
      <c r="F325" s="3"/>
      <c r="G325" s="3"/>
      <c r="H325" s="3"/>
    </row>
    <row r="326" spans="1:8" x14ac:dyDescent="0.25">
      <c r="A326" s="2"/>
      <c r="B326" s="3"/>
      <c r="C326" s="3"/>
      <c r="D326" s="3"/>
      <c r="E326" s="3"/>
      <c r="F326" s="3"/>
      <c r="G326" s="3"/>
      <c r="H326" s="3"/>
    </row>
    <row r="327" spans="1:8" x14ac:dyDescent="0.25">
      <c r="A327" s="2"/>
      <c r="B327" s="3"/>
      <c r="C327" s="3"/>
      <c r="D327" s="3"/>
      <c r="E327" s="3"/>
      <c r="F327" s="3"/>
      <c r="G327" s="3"/>
      <c r="H327" s="3"/>
    </row>
    <row r="328" spans="1:8" x14ac:dyDescent="0.25">
      <c r="A328" s="2"/>
      <c r="B328" s="3"/>
      <c r="C328" s="3"/>
      <c r="D328" s="3"/>
      <c r="E328" s="3"/>
      <c r="F328" s="3"/>
      <c r="G328" s="3"/>
      <c r="H328" s="3"/>
    </row>
    <row r="361" spans="1:1" hidden="1" x14ac:dyDescent="0.25"/>
    <row r="362" spans="1:1" hidden="1" x14ac:dyDescent="0.25"/>
    <row r="363" spans="1:1" hidden="1" x14ac:dyDescent="0.25">
      <c r="A363" s="2"/>
    </row>
    <row r="364" spans="1:1" hidden="1" x14ac:dyDescent="0.25"/>
    <row r="365" spans="1:1" hidden="1" x14ac:dyDescent="0.25"/>
    <row r="366" spans="1:1" hidden="1" x14ac:dyDescent="0.25"/>
    <row r="367" spans="1:1" hidden="1" x14ac:dyDescent="0.25"/>
    <row r="368" spans="1:1" hidden="1" x14ac:dyDescent="0.25"/>
    <row r="369" spans="1:8" hidden="1" x14ac:dyDescent="0.25"/>
    <row r="370" spans="1:8" hidden="1" x14ac:dyDescent="0.25"/>
    <row r="371" spans="1:8" hidden="1" x14ac:dyDescent="0.25"/>
    <row r="372" spans="1:8" hidden="1" x14ac:dyDescent="0.25">
      <c r="A372" s="2"/>
    </row>
    <row r="373" spans="1:8" hidden="1" x14ac:dyDescent="0.25"/>
    <row r="374" spans="1:8" hidden="1" x14ac:dyDescent="0.25"/>
    <row r="375" spans="1:8" hidden="1" x14ac:dyDescent="0.25"/>
    <row r="376" spans="1:8" hidden="1" x14ac:dyDescent="0.25"/>
    <row r="377" spans="1:8" hidden="1" x14ac:dyDescent="0.25"/>
    <row r="378" spans="1:8" hidden="1" x14ac:dyDescent="0.25"/>
    <row r="379" spans="1:8" hidden="1" x14ac:dyDescent="0.25">
      <c r="A379" s="2"/>
      <c r="B379" s="3"/>
      <c r="C379" s="3"/>
      <c r="D379" s="3"/>
      <c r="E379" s="3"/>
      <c r="F379" s="3"/>
      <c r="G379" s="3"/>
      <c r="H379" s="3"/>
    </row>
    <row r="380" spans="1:8" hidden="1" x14ac:dyDescent="0.25">
      <c r="A380" s="2"/>
      <c r="B380" s="3"/>
      <c r="C380" s="3"/>
      <c r="D380" s="3"/>
      <c r="E380" s="3"/>
      <c r="F380" s="3"/>
      <c r="G380" s="3"/>
      <c r="H380" s="3"/>
    </row>
    <row r="381" spans="1:8" hidden="1" x14ac:dyDescent="0.25">
      <c r="A381" s="2"/>
      <c r="B381" s="3"/>
      <c r="C381" s="3"/>
      <c r="D381" s="3"/>
      <c r="E381" s="3"/>
      <c r="F381" s="3"/>
      <c r="G381" s="3"/>
      <c r="H381" s="3"/>
    </row>
    <row r="382" spans="1:8" hidden="1" x14ac:dyDescent="0.25">
      <c r="A382" s="2"/>
      <c r="B382" s="3"/>
      <c r="C382" s="3"/>
      <c r="D382" s="3"/>
      <c r="E382" s="3"/>
      <c r="F382" s="3"/>
      <c r="G382" s="3"/>
      <c r="H382" s="3"/>
    </row>
    <row r="383" spans="1:8" hidden="1" x14ac:dyDescent="0.25">
      <c r="A383" s="2"/>
      <c r="B383" s="3"/>
      <c r="C383" s="3"/>
      <c r="D383" s="3"/>
      <c r="E383" s="3"/>
      <c r="F383" s="3"/>
      <c r="G383" s="3"/>
      <c r="H383" s="3"/>
    </row>
    <row r="384" spans="1:8" hidden="1" x14ac:dyDescent="0.25">
      <c r="A384" s="2"/>
      <c r="B384" s="3"/>
      <c r="C384" s="3"/>
      <c r="D384" s="3"/>
      <c r="E384" s="3"/>
      <c r="F384" s="3"/>
      <c r="G384" s="3"/>
      <c r="H384" s="3"/>
    </row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19" spans="1:1" x14ac:dyDescent="0.25">
      <c r="A419" s="2"/>
    </row>
    <row r="428" spans="1:1" x14ac:dyDescent="0.25">
      <c r="A428" s="2"/>
    </row>
    <row r="435" spans="1:8" x14ac:dyDescent="0.25">
      <c r="A435" s="2"/>
      <c r="B435" s="3"/>
      <c r="C435" s="3"/>
      <c r="D435" s="3"/>
      <c r="E435" s="3"/>
      <c r="F435" s="3"/>
      <c r="G435" s="3"/>
      <c r="H435" s="3"/>
    </row>
    <row r="436" spans="1:8" x14ac:dyDescent="0.25">
      <c r="A436" s="2"/>
      <c r="B436" s="3"/>
      <c r="C436" s="3"/>
      <c r="D436" s="3"/>
      <c r="E436" s="3"/>
      <c r="F436" s="3"/>
      <c r="G436" s="3"/>
      <c r="H436" s="3"/>
    </row>
    <row r="437" spans="1:8" x14ac:dyDescent="0.25">
      <c r="A437" s="2"/>
      <c r="B437" s="3"/>
      <c r="C437" s="3"/>
      <c r="D437" s="3"/>
      <c r="E437" s="3"/>
      <c r="F437" s="3"/>
      <c r="G437" s="3"/>
      <c r="H437" s="3"/>
    </row>
    <row r="438" spans="1:8" x14ac:dyDescent="0.25">
      <c r="A438" s="2"/>
      <c r="B438" s="3"/>
      <c r="C438" s="3"/>
      <c r="D438" s="3"/>
      <c r="E438" s="3"/>
      <c r="F438" s="3"/>
      <c r="G438" s="3"/>
      <c r="H438" s="3"/>
    </row>
    <row r="439" spans="1:8" x14ac:dyDescent="0.25">
      <c r="A439" s="2"/>
      <c r="B439" s="3"/>
      <c r="C439" s="3"/>
      <c r="D439" s="3"/>
      <c r="E439" s="3"/>
      <c r="F439" s="3"/>
      <c r="G439" s="3"/>
      <c r="H439" s="3"/>
    </row>
    <row r="440" spans="1:8" x14ac:dyDescent="0.25">
      <c r="A440" s="2"/>
      <c r="B440" s="3"/>
      <c r="C440" s="3"/>
      <c r="D440" s="3"/>
      <c r="E440" s="3"/>
      <c r="F440" s="3"/>
      <c r="G440" s="3"/>
      <c r="H4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854-FB48-4B0B-92C4-9627756EEF9C}">
  <dimension ref="A1:X28"/>
  <sheetViews>
    <sheetView tabSelected="1" workbookViewId="0">
      <selection activeCell="D29" sqref="D29"/>
    </sheetView>
  </sheetViews>
  <sheetFormatPr defaultRowHeight="15" x14ac:dyDescent="0.25"/>
  <cols>
    <col min="1" max="1" width="14.42578125" style="16" bestFit="1" customWidth="1"/>
    <col min="2" max="2" width="16" style="20" bestFit="1" customWidth="1"/>
    <col min="3" max="3" width="14.42578125" style="20" bestFit="1" customWidth="1"/>
    <col min="4" max="4" width="12.140625" style="18" bestFit="1" customWidth="1"/>
    <col min="5" max="5" width="8.5703125" style="18" bestFit="1" customWidth="1"/>
    <col min="6" max="6" width="10.140625" bestFit="1" customWidth="1"/>
    <col min="7" max="8" width="11.140625" bestFit="1" customWidth="1"/>
    <col min="9" max="11" width="12" bestFit="1" customWidth="1"/>
    <col min="12" max="12" width="13.28515625" bestFit="1" customWidth="1"/>
    <col min="13" max="13" width="13.42578125" bestFit="1" customWidth="1"/>
    <col min="14" max="14" width="12.5703125" bestFit="1" customWidth="1"/>
    <col min="15" max="15" width="12.140625" bestFit="1" customWidth="1"/>
    <col min="16" max="16" width="13.7109375" bestFit="1" customWidth="1"/>
    <col min="17" max="17" width="16" bestFit="1" customWidth="1"/>
    <col min="18" max="18" width="15" bestFit="1" customWidth="1"/>
    <col min="19" max="20" width="12" bestFit="1" customWidth="1"/>
    <col min="21" max="22" width="12.85546875" bestFit="1" customWidth="1"/>
    <col min="23" max="24" width="15.7109375" bestFit="1" customWidth="1"/>
  </cols>
  <sheetData>
    <row r="1" spans="1:24" x14ac:dyDescent="0.25">
      <c r="E1" s="18" t="s">
        <v>99</v>
      </c>
      <c r="F1" t="s">
        <v>100</v>
      </c>
    </row>
    <row r="2" spans="1:24" x14ac:dyDescent="0.25">
      <c r="B2" s="19" t="s">
        <v>24</v>
      </c>
      <c r="C2" s="1" t="s">
        <v>58</v>
      </c>
      <c r="D2" s="17" t="s">
        <v>62</v>
      </c>
      <c r="E2" s="17" t="s">
        <v>62</v>
      </c>
      <c r="F2" s="17" t="s">
        <v>62</v>
      </c>
      <c r="G2" s="18"/>
      <c r="H2" s="18"/>
      <c r="I2" s="18"/>
      <c r="J2" s="18"/>
      <c r="K2" s="18"/>
      <c r="L2" s="18"/>
      <c r="M2" s="18"/>
      <c r="N2" s="18"/>
    </row>
    <row r="3" spans="1:24" x14ac:dyDescent="0.25">
      <c r="A3" s="22">
        <v>0</v>
      </c>
      <c r="B3" s="23" t="str" cm="1">
        <f t="array" ref="B3:B25">TRANSPOSE(SpecName)</f>
        <v>Cu</v>
      </c>
      <c r="C3" s="23" cm="1">
        <f t="array" aca="1" ref="C3:C25" ca="1">TRANSPOSE(SpecKTempAdj)</f>
        <v>1</v>
      </c>
      <c r="D3" s="24">
        <v>9.9999887798122905E-19</v>
      </c>
      <c r="E3" s="24">
        <v>2.7167020134752897E-7</v>
      </c>
      <c r="F3" s="25">
        <f>D3*2</f>
        <v>1.9999977559624581E-18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2" customFormat="1" x14ac:dyDescent="0.25">
      <c r="A4" s="26">
        <v>1</v>
      </c>
      <c r="B4" s="27" t="str">
        <v>Na</v>
      </c>
      <c r="C4" s="27">
        <f ca="1"/>
        <v>1</v>
      </c>
      <c r="D4" s="28">
        <v>9.9999900000100001E-10</v>
      </c>
      <c r="E4" s="28">
        <v>5.0000000000000001E-4</v>
      </c>
      <c r="F4" s="29">
        <v>5.0000000000000001E-4</v>
      </c>
    </row>
    <row r="5" spans="1:24" s="18" customFormat="1" x14ac:dyDescent="0.25">
      <c r="A5" s="30">
        <v>2</v>
      </c>
      <c r="B5" s="31" t="str">
        <v>Cl</v>
      </c>
      <c r="C5" s="31">
        <f ca="1"/>
        <v>1</v>
      </c>
      <c r="D5" s="28">
        <v>2.9999970000029898E-10</v>
      </c>
      <c r="E5" s="28">
        <v>2.9999999969297257E-4</v>
      </c>
      <c r="F5" s="29">
        <v>2.9999999969297257E-4</v>
      </c>
    </row>
    <row r="6" spans="1:24" x14ac:dyDescent="0.25">
      <c r="A6" s="30">
        <v>3</v>
      </c>
      <c r="B6" s="31" t="str">
        <v>H</v>
      </c>
      <c r="C6" s="31">
        <f ca="1"/>
        <v>1</v>
      </c>
      <c r="D6" s="28">
        <v>2.6915348039269101E-8</v>
      </c>
      <c r="E6" s="28">
        <v>2.6915348039269101E-8</v>
      </c>
      <c r="F6" s="29">
        <v>2.6915348039269101E-8</v>
      </c>
    </row>
    <row r="7" spans="1:24" x14ac:dyDescent="0.25">
      <c r="A7" s="26">
        <v>4</v>
      </c>
      <c r="B7" s="31" t="str">
        <v>DonnanFA</v>
      </c>
      <c r="C7" s="31">
        <f ca="1"/>
        <v>1</v>
      </c>
      <c r="D7" s="28">
        <v>1000000</v>
      </c>
      <c r="E7" s="28">
        <v>2</v>
      </c>
      <c r="F7" s="29">
        <v>1</v>
      </c>
    </row>
    <row r="8" spans="1:24" x14ac:dyDescent="0.25">
      <c r="A8" s="30">
        <v>5</v>
      </c>
      <c r="B8" s="31" t="str">
        <v>DOC-FA_1H</v>
      </c>
      <c r="C8" s="31">
        <f ca="1"/>
        <v>1</v>
      </c>
      <c r="D8" s="28">
        <v>7.4293692689164605E-13</v>
      </c>
      <c r="E8" s="28">
        <v>7.4293692479644037E-14</v>
      </c>
      <c r="F8" s="29">
        <v>7.4293692479644037E-14</v>
      </c>
    </row>
    <row r="9" spans="1:24" x14ac:dyDescent="0.25">
      <c r="A9" s="32">
        <v>6</v>
      </c>
      <c r="B9" s="33" t="str">
        <v>DOC-FA_8H</v>
      </c>
      <c r="C9" s="33">
        <f ca="1"/>
        <v>1</v>
      </c>
      <c r="D9" s="34">
        <v>3.5474475294058302E-7</v>
      </c>
      <c r="E9" s="34">
        <v>3.5474065863761704E-8</v>
      </c>
      <c r="F9" s="35">
        <v>3.5474065863761704E-8</v>
      </c>
    </row>
    <row r="10" spans="1:24" x14ac:dyDescent="0.25">
      <c r="A10" s="3">
        <v>7</v>
      </c>
      <c r="B10" s="20" t="str">
        <v>OH</v>
      </c>
      <c r="C10" s="20">
        <f ca="1"/>
        <v>2.1995725798065139E-14</v>
      </c>
      <c r="D10" s="18">
        <f ca="1">$C10/D6</f>
        <v>8.1721870235427371E-7</v>
      </c>
      <c r="E10" s="18">
        <f ca="1">$C10/E6</f>
        <v>8.1721870235427371E-7</v>
      </c>
      <c r="F10" s="18">
        <f ca="1">$C10/F6</f>
        <v>8.1721870235427371E-7</v>
      </c>
      <c r="G10" s="17"/>
      <c r="H10" s="18"/>
      <c r="I10" s="18"/>
      <c r="J10" s="18"/>
      <c r="K10" s="18"/>
      <c r="L10" s="18"/>
      <c r="M10" s="18"/>
      <c r="N10" s="18"/>
    </row>
    <row r="11" spans="1:24" x14ac:dyDescent="0.25">
      <c r="A11" s="21">
        <v>8</v>
      </c>
      <c r="B11" s="20" t="str">
        <v>CuOH</v>
      </c>
      <c r="C11" s="20">
        <f ca="1"/>
        <v>1.4954498711240171E-8</v>
      </c>
      <c r="D11" s="18">
        <f ca="1">$C11*D3/D6</f>
        <v>5.5561168706395832E-19</v>
      </c>
      <c r="E11" s="18">
        <f ca="1">$C11*E3/E6</f>
        <v>1.5094330825693102E-7</v>
      </c>
      <c r="F11" s="18">
        <f ca="1">$C11*F3/F6</f>
        <v>1.1112233741279166E-18</v>
      </c>
    </row>
    <row r="12" spans="1:24" x14ac:dyDescent="0.25">
      <c r="A12" s="21">
        <v>9</v>
      </c>
      <c r="B12" s="20" t="str">
        <v>CuCl</v>
      </c>
      <c r="C12" s="20">
        <f ca="1"/>
        <v>2.2363202312453416</v>
      </c>
      <c r="D12" s="18">
        <f ca="1">$C12*D3*D5</f>
        <v>6.7089464572097129E-28</v>
      </c>
      <c r="E12" s="18">
        <f ca="1">$C12*E3*E5</f>
        <v>1.8226247006346043E-10</v>
      </c>
      <c r="F12" s="18">
        <f ca="1">$C12*F3*F5</f>
        <v>1.3417906318580169E-21</v>
      </c>
    </row>
    <row r="13" spans="1:24" x14ac:dyDescent="0.25">
      <c r="A13" s="3">
        <v>10</v>
      </c>
      <c r="B13" s="20" t="str">
        <v>DonnanFA-Cu</v>
      </c>
      <c r="C13" s="20">
        <f ca="1"/>
        <v>1</v>
      </c>
      <c r="D13" s="18">
        <f ca="1">$C13*D3*D7^2</f>
        <v>9.9999887798122902E-7</v>
      </c>
      <c r="E13" s="18">
        <f ca="1">$C13*E3*E7^2</f>
        <v>1.0866808053901159E-6</v>
      </c>
      <c r="F13" s="18">
        <f ca="1">$C13*F3*F7^2</f>
        <v>1.9999977559624581E-18</v>
      </c>
    </row>
    <row r="14" spans="1:24" x14ac:dyDescent="0.25">
      <c r="A14" s="21">
        <v>11</v>
      </c>
      <c r="B14" s="20" t="str">
        <v>DonnanFA-Na</v>
      </c>
      <c r="C14" s="20">
        <f ca="1"/>
        <v>1</v>
      </c>
      <c r="D14" s="18">
        <f ca="1">$C14*D4*D7</f>
        <v>9.9999900000099996E-4</v>
      </c>
      <c r="E14" s="18">
        <f ca="1">$C14*E4*E7</f>
        <v>1E-3</v>
      </c>
      <c r="F14" s="18">
        <f ca="1">$C14*F4*F7</f>
        <v>5.0000000000000001E-4</v>
      </c>
    </row>
    <row r="15" spans="1:24" x14ac:dyDescent="0.25">
      <c r="A15" s="21">
        <v>12</v>
      </c>
      <c r="B15" s="20" t="str">
        <v>DonnanFA-Cl</v>
      </c>
      <c r="C15" s="20">
        <f ca="1"/>
        <v>1</v>
      </c>
      <c r="D15" s="18">
        <f ca="1">$C$15*D5*D7</f>
        <v>2.99999700000299E-4</v>
      </c>
      <c r="E15" s="18">
        <f ca="1">$C$15*E5*E7</f>
        <v>5.9999999938594513E-4</v>
      </c>
      <c r="F15" s="18">
        <f ca="1">$C$15*F5*F7</f>
        <v>2.9999999969297257E-4</v>
      </c>
    </row>
    <row r="16" spans="1:24" x14ac:dyDescent="0.25">
      <c r="A16" s="3">
        <v>13</v>
      </c>
      <c r="B16" s="20" t="str">
        <v>DonnanFA-H</v>
      </c>
      <c r="C16" s="20">
        <f ca="1"/>
        <v>1</v>
      </c>
      <c r="D16" s="18">
        <f ca="1">$C$16*D6*D7</f>
        <v>2.6915348039269101E-2</v>
      </c>
      <c r="E16" s="18">
        <f ca="1">$C$16*E6*E7</f>
        <v>5.3830696078538202E-8</v>
      </c>
      <c r="F16" s="18">
        <f ca="1">$C$16*F6*F7</f>
        <v>2.6915348039269101E-8</v>
      </c>
    </row>
    <row r="17" spans="1:6" x14ac:dyDescent="0.25">
      <c r="A17" s="21">
        <v>14</v>
      </c>
      <c r="B17" s="20" t="str">
        <v>DonnanFA-OH</v>
      </c>
      <c r="C17" s="20">
        <f ca="1"/>
        <v>1.0069316688518E-14</v>
      </c>
      <c r="D17" s="18">
        <f ca="1">$C$17*D7/D6</f>
        <v>0.37411058827205257</v>
      </c>
      <c r="E17" s="18">
        <f ca="1">$C$17*E7/E6</f>
        <v>7.482211765441051E-7</v>
      </c>
      <c r="F17" s="18">
        <f ca="1">$C$17*F7/F6</f>
        <v>3.7411058827205255E-7</v>
      </c>
    </row>
    <row r="18" spans="1:6" x14ac:dyDescent="0.25">
      <c r="A18" s="21">
        <v>15</v>
      </c>
      <c r="B18" s="20" t="str">
        <v>DonnanFA-CuOH</v>
      </c>
      <c r="C18" s="20">
        <f ca="1"/>
        <v>3.0199517204020201E-8</v>
      </c>
      <c r="D18" s="18">
        <f ca="1">$C$18*D3/D6*D7</f>
        <v>1.1220171953762002E-12</v>
      </c>
      <c r="E18" s="18">
        <f ca="1">$C$18*E3/E6*E7</f>
        <v>6.0963795879171736E-7</v>
      </c>
      <c r="F18" s="18">
        <f ca="1">$C$18*F3/F6*F7</f>
        <v>2.2440343907524003E-18</v>
      </c>
    </row>
    <row r="19" spans="1:6" x14ac:dyDescent="0.25">
      <c r="A19" s="3">
        <v>16</v>
      </c>
      <c r="B19" s="20" t="str">
        <v>DonnanFA-CuCl</v>
      </c>
      <c r="C19" s="20">
        <f ca="1"/>
        <v>2.5118864315095801</v>
      </c>
      <c r="D19" s="18">
        <f ca="1">$C$19*D3*D5</f>
        <v>7.5356433037342313E-28</v>
      </c>
      <c r="E19" s="18">
        <f ca="1">$C$19*E3*E5</f>
        <v>2.0472140757358315E-10</v>
      </c>
      <c r="F19" s="18">
        <f ca="1">$C$19*F3*F5</f>
        <v>1.5071301663330779E-21</v>
      </c>
    </row>
    <row r="20" spans="1:6" x14ac:dyDescent="0.25">
      <c r="A20" s="21">
        <v>17</v>
      </c>
      <c r="B20" s="20" t="str">
        <v>DOC-FA_1</v>
      </c>
      <c r="C20" s="20">
        <f ca="1"/>
        <v>2.5703957827688601E-2</v>
      </c>
      <c r="D20" s="18">
        <f ca="1">$C$20*D8/D6</f>
        <v>7.0949925706307208E-7</v>
      </c>
      <c r="E20" s="18">
        <f ca="1">$C$20*E8/E6</f>
        <v>7.0949925506216604E-8</v>
      </c>
      <c r="F20" s="18">
        <f ca="1">$C$20*F8/F6</f>
        <v>7.0949925506216604E-8</v>
      </c>
    </row>
    <row r="21" spans="1:6" x14ac:dyDescent="0.25">
      <c r="A21" s="21">
        <v>18</v>
      </c>
      <c r="B21" s="20" t="str">
        <v>DOC-FA_8</v>
      </c>
      <c r="C21" s="20">
        <f ca="1"/>
        <v>3.9810717055349702E-13</v>
      </c>
      <c r="D21" s="18">
        <f ca="1">$C$21*D9/D6</f>
        <v>5.2470593973307545E-12</v>
      </c>
      <c r="E21" s="18">
        <f ca="1">$C$21*E9/E6</f>
        <v>5.2469988381521492E-13</v>
      </c>
      <c r="F21" s="18">
        <f ca="1">$C$21*F9/F6</f>
        <v>5.2469988381521492E-13</v>
      </c>
    </row>
    <row r="22" spans="1:6" x14ac:dyDescent="0.25">
      <c r="A22" s="3">
        <v>19</v>
      </c>
      <c r="B22" s="20" t="str">
        <v>DOC-FA_1-Cu</v>
      </c>
      <c r="C22" s="20">
        <f ca="1"/>
        <v>0.15848931924611101</v>
      </c>
      <c r="D22" s="18">
        <f ca="1">$C$22*D3/D6*D8</f>
        <v>4.3747320487582642E-24</v>
      </c>
      <c r="E22" s="18">
        <f ca="1">$C$22*E3/E6*E8</f>
        <v>1.1884856666791491E-13</v>
      </c>
      <c r="F22" s="18">
        <f ca="1">$C$22*F3/F6*F8</f>
        <v>8.7494640728415846E-25</v>
      </c>
    </row>
    <row r="23" spans="1:6" x14ac:dyDescent="0.25">
      <c r="A23" s="21">
        <v>20</v>
      </c>
      <c r="B23" s="20" t="str">
        <v>DOC-FA_8-Cu</v>
      </c>
      <c r="C23" s="20">
        <f ca="1"/>
        <v>6.7920363261718397E-4</v>
      </c>
      <c r="D23" s="18">
        <f ca="1">$C$23*D3/D6*D9</f>
        <v>8.9519055876219664E-21</v>
      </c>
      <c r="E23" s="18">
        <f ca="1">$C$23*E3/E6*E9</f>
        <v>2.4319406534684487E-10</v>
      </c>
      <c r="F23" s="18">
        <f ca="1">$C$23*F3/F6*F9</f>
        <v>1.7903604537579557E-21</v>
      </c>
    </row>
    <row r="24" spans="1:6" x14ac:dyDescent="0.25">
      <c r="A24" s="21">
        <v>21</v>
      </c>
      <c r="B24" s="20" t="str">
        <v>DOC-FA_1-CuOH</v>
      </c>
      <c r="C24" s="20">
        <f ca="1"/>
        <v>4.7863009232263802E-9</v>
      </c>
      <c r="D24" s="18">
        <f ca="1">$C$24*D3/D6^2*D7</f>
        <v>6.6069270669714773E-6</v>
      </c>
      <c r="E24" s="18">
        <f ca="1">$C$24*E3/E6^2*E7</f>
        <v>3.5898144409843478</v>
      </c>
      <c r="F24" s="18">
        <f ca="1">$C$24*F3/F6^2*F7</f>
        <v>1.3213854133942955E-11</v>
      </c>
    </row>
    <row r="25" spans="1:6" x14ac:dyDescent="0.25">
      <c r="A25" s="3">
        <v>22</v>
      </c>
      <c r="B25" s="20" t="str">
        <v>DOC-FA_8-CuOH</v>
      </c>
      <c r="C25" s="20">
        <f ca="1"/>
        <v>2.0511621788255701E-11</v>
      </c>
      <c r="D25" s="18">
        <f ca="1">$C$25*D3/D6^2*D8</f>
        <v>2.1035433079670832E-26</v>
      </c>
      <c r="E25" s="18">
        <f ca="1">$C$25*E3/E6^2*E8</f>
        <v>5.7147067360784694E-16</v>
      </c>
      <c r="F25" s="18">
        <f ca="1">$C$25*F3/F6^2*F8</f>
        <v>4.2070866040694828E-27</v>
      </c>
    </row>
    <row r="27" spans="1:6" x14ac:dyDescent="0.25">
      <c r="B27" s="20" t="s">
        <v>101</v>
      </c>
      <c r="D27" s="18">
        <v>-7.0960162187784801E-7</v>
      </c>
    </row>
    <row r="28" spans="1:6" x14ac:dyDescent="0.25">
      <c r="B28" s="20" t="s">
        <v>102</v>
      </c>
      <c r="D28" s="18">
        <v>1.4427199424933401E-10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B03E-D574-4342-9749-C60FE477E6B5}">
  <dimension ref="A1:X24"/>
  <sheetViews>
    <sheetView workbookViewId="0">
      <selection activeCell="B24" sqref="B24:H24"/>
    </sheetView>
  </sheetViews>
  <sheetFormatPr defaultRowHeight="15" x14ac:dyDescent="0.25"/>
  <cols>
    <col min="1" max="1" width="18" bestFit="1" customWidth="1"/>
  </cols>
  <sheetData>
    <row r="1" spans="1:24" s="2" customFormat="1" x14ac:dyDescent="0.25">
      <c r="A1" s="5" t="s">
        <v>59</v>
      </c>
    </row>
    <row r="2" spans="1:24" s="3" customFormat="1" x14ac:dyDescent="0.25">
      <c r="A2" s="13"/>
      <c r="B2" s="3" t="str" cm="1">
        <f t="array" aca="1" ref="B2:H2" ca="1">_xlfn.ANCHORARRAY(inputs!B5)</f>
        <v>Cu</v>
      </c>
      <c r="C2" s="3" t="str">
        <f ca="1"/>
        <v>Na</v>
      </c>
      <c r="D2" s="3" t="str">
        <f ca="1"/>
        <v>Cl</v>
      </c>
      <c r="E2" s="3" t="str">
        <f ca="1"/>
        <v>H</v>
      </c>
      <c r="F2" s="3" t="str">
        <f ca="1"/>
        <v>DonnanFA</v>
      </c>
      <c r="G2" s="3" t="str">
        <f ca="1"/>
        <v>DOC-FA_1H</v>
      </c>
      <c r="H2" s="3" t="str">
        <f ca="1"/>
        <v>DOC-FA_8H</v>
      </c>
    </row>
    <row r="3" spans="1:24" s="2" customFormat="1" x14ac:dyDescent="0.25">
      <c r="A3" s="1" t="s">
        <v>60</v>
      </c>
      <c r="B3" s="2" cm="1">
        <f t="array" ref="B3:H3">TotConcKnown</f>
        <v>9.9999999999999995E-7</v>
      </c>
      <c r="C3" s="2">
        <v>1E-3</v>
      </c>
      <c r="D3" s="2">
        <v>2.9999999999999997E-4</v>
      </c>
      <c r="E3" s="2">
        <v>2.6915348039269101E-8</v>
      </c>
      <c r="F3" s="2">
        <v>1</v>
      </c>
      <c r="G3" s="2">
        <v>7.0949999999999997E-8</v>
      </c>
      <c r="H3" s="2">
        <v>3.5474999999999998E-8</v>
      </c>
    </row>
    <row r="4" spans="1:24" s="2" customFormat="1" x14ac:dyDescent="0.25">
      <c r="A4" s="1"/>
    </row>
    <row r="5" spans="1:24" s="1" customFormat="1" x14ac:dyDescent="0.25">
      <c r="A5" s="4" t="s">
        <v>61</v>
      </c>
      <c r="B5" s="1" t="str" cm="1">
        <f t="array" aca="1" ref="B5:X5" ca="1">OFFSET(inputs!$B$7,0,0,1,inputs!$B$2)</f>
        <v>Cu</v>
      </c>
      <c r="C5" s="1" t="str">
        <f ca="1"/>
        <v>Na</v>
      </c>
      <c r="D5" s="1" t="str">
        <f ca="1"/>
        <v>Cl</v>
      </c>
      <c r="E5" s="1" t="str">
        <f ca="1"/>
        <v>H</v>
      </c>
      <c r="F5" s="1" t="str">
        <f ca="1"/>
        <v>DonnanFA</v>
      </c>
      <c r="G5" s="1" t="str">
        <f ca="1"/>
        <v>DOC-FA_1H</v>
      </c>
      <c r="H5" s="1" t="str">
        <f ca="1"/>
        <v>DOC-FA_8H</v>
      </c>
      <c r="I5" s="1" t="str">
        <f ca="1"/>
        <v>OH</v>
      </c>
      <c r="J5" s="1" t="str">
        <f ca="1"/>
        <v>CuOH</v>
      </c>
      <c r="K5" s="1" t="str">
        <f ca="1"/>
        <v>CuCl</v>
      </c>
      <c r="L5" s="1" t="str">
        <f ca="1"/>
        <v>DonnanFA-Cu</v>
      </c>
      <c r="M5" s="1" t="str">
        <f ca="1"/>
        <v>DonnanFA-Na</v>
      </c>
      <c r="N5" s="1" t="str">
        <f ca="1"/>
        <v>DonnanFA-Cl</v>
      </c>
      <c r="O5" s="1" t="str">
        <f ca="1"/>
        <v>DonnanFA-H</v>
      </c>
      <c r="P5" s="1" t="str">
        <f ca="1"/>
        <v>DonnanFA-OH</v>
      </c>
      <c r="Q5" s="1" t="str">
        <f ca="1"/>
        <v>DonnanFA-CuOH</v>
      </c>
      <c r="R5" s="1" t="str">
        <f ca="1"/>
        <v>DonnanFA-CuCl</v>
      </c>
      <c r="S5" s="1" t="str">
        <f ca="1"/>
        <v>DOC-FA_1</v>
      </c>
      <c r="T5" s="1" t="str">
        <f ca="1"/>
        <v>DOC-FA_8</v>
      </c>
      <c r="U5" s="1" t="str">
        <f ca="1"/>
        <v>DOC-FA_1-Cu</v>
      </c>
      <c r="V5" s="1" t="str">
        <f ca="1"/>
        <v>DOC-FA_8-Cu</v>
      </c>
      <c r="W5" s="1" t="str">
        <f ca="1"/>
        <v>DOC-FA_1-CuOH</v>
      </c>
      <c r="X5" s="1" t="str">
        <f ca="1"/>
        <v>DOC-FA_8-CuOH</v>
      </c>
    </row>
    <row r="6" spans="1:24" s="2" customFormat="1" x14ac:dyDescent="0.25">
      <c r="A6" s="1" t="s">
        <v>62</v>
      </c>
      <c r="B6" s="2" cm="1">
        <f t="array" aca="1" ref="B6:X6" ca="1">_xlfn.ANCHORARRAY(inputs!B53)*TRANSPOSE(_xlfn.BYROW(_xlfn.ANCHORARRAY(B3)^SpecStoich,_xlfn.LAMBDA(_xlpm.array, PRODUCT(_xlpm.array))))</f>
        <v>9.9999999999999995E-7</v>
      </c>
      <c r="C6" s="2">
        <f ca="1"/>
        <v>1E-3</v>
      </c>
      <c r="D6" s="2">
        <f ca="1"/>
        <v>2.9999999999999997E-4</v>
      </c>
      <c r="E6" s="2">
        <f ca="1"/>
        <v>2.6915348039269101E-8</v>
      </c>
      <c r="F6" s="2">
        <f ca="1"/>
        <v>1</v>
      </c>
      <c r="G6" s="2">
        <f ca="1"/>
        <v>7.0949999999999997E-8</v>
      </c>
      <c r="H6" s="2">
        <f ca="1"/>
        <v>3.5474999999999998E-8</v>
      </c>
      <c r="I6" s="2">
        <f ca="1"/>
        <v>8.1721870235427361E-7</v>
      </c>
      <c r="J6" s="2">
        <f ca="1"/>
        <v>5.5561231047139988E-7</v>
      </c>
      <c r="K6" s="2">
        <f ca="1"/>
        <v>6.7089606937360238E-10</v>
      </c>
      <c r="L6" s="2">
        <f ca="1"/>
        <v>9.9999999999999995E-7</v>
      </c>
      <c r="M6" s="2">
        <f ca="1"/>
        <v>1E-3</v>
      </c>
      <c r="N6" s="2">
        <f ca="1"/>
        <v>2.9999999999999997E-4</v>
      </c>
      <c r="O6" s="2">
        <f ca="1"/>
        <v>2.6915348039269101E-8</v>
      </c>
      <c r="P6" s="2">
        <f ca="1"/>
        <v>3.7411058827205255E-7</v>
      </c>
      <c r="Q6" s="2">
        <f ca="1"/>
        <v>1.1220184543019671E-6</v>
      </c>
      <c r="R6" s="2">
        <f ca="1"/>
        <v>7.5356592945287387E-10</v>
      </c>
      <c r="S6" s="2">
        <f ca="1"/>
        <v>6.7756723978220912E-2</v>
      </c>
      <c r="T6" s="2">
        <f ca="1"/>
        <v>5.2471370070267227E-13</v>
      </c>
      <c r="U6" s="2">
        <f ca="1"/>
        <v>4.1778457347479023E-7</v>
      </c>
      <c r="V6" s="2">
        <f ca="1"/>
        <v>8.9520480403748475E-10</v>
      </c>
      <c r="W6" s="2">
        <f ca="1"/>
        <v>4.6876200136139092E-7</v>
      </c>
      <c r="X6" s="2">
        <f ca="1"/>
        <v>1.0044363105098361E-9</v>
      </c>
    </row>
    <row r="7" spans="1:24" s="2" customFormat="1" x14ac:dyDescent="0.25">
      <c r="A7" s="1" t="s">
        <v>67</v>
      </c>
      <c r="B7" s="2" cm="1">
        <f t="array" aca="1" ref="B7" ca="1">IFERROR(SUM(_xlfn._xlws.FILTER(_xlfn.ANCHORARRAY(B6)*SpecCharge,SpecActCorr="WHAMHA")),0)</f>
        <v>0</v>
      </c>
      <c r="C7" s="2" cm="1">
        <f t="array" aca="1" ref="C7" ca="1">IFERROR(SUM(_xlfn._xlws.FILTER(_xlfn.ANCHORARRAY(B6)*SpecCharge,SpecActCorr="WHAMFA")),0)</f>
        <v>-6.7756305298967354E-2</v>
      </c>
    </row>
    <row r="8" spans="1:24" s="2" customFormat="1" x14ac:dyDescent="0.25">
      <c r="A8" s="1" t="s">
        <v>62</v>
      </c>
      <c r="B8" s="2" cm="1">
        <f t="array" aca="1" ref="B8:X8" ca="1">IF((SpecActCorr="DonnanFA")*(SIGN(C7)=SIGN(SpecCharge)),0,_xlfn.ANCHORARRAY(B6))</f>
        <v>9.9999999999999995E-7</v>
      </c>
      <c r="C8" s="2">
        <f ca="1"/>
        <v>1E-3</v>
      </c>
      <c r="D8" s="2">
        <f ca="1"/>
        <v>2.9999999999999997E-4</v>
      </c>
      <c r="E8" s="2">
        <f ca="1"/>
        <v>2.6915348039269101E-8</v>
      </c>
      <c r="F8" s="2">
        <f ca="1"/>
        <v>1</v>
      </c>
      <c r="G8" s="2">
        <f ca="1"/>
        <v>7.0949999999999997E-8</v>
      </c>
      <c r="H8" s="2">
        <f ca="1"/>
        <v>3.5474999999999998E-8</v>
      </c>
      <c r="I8" s="2">
        <f ca="1"/>
        <v>8.1721870235427361E-7</v>
      </c>
      <c r="J8" s="2">
        <f ca="1"/>
        <v>5.5561231047139988E-7</v>
      </c>
      <c r="K8" s="2">
        <f ca="1"/>
        <v>6.7089606937360238E-10</v>
      </c>
      <c r="L8" s="2">
        <f ca="1"/>
        <v>9.9999999999999995E-7</v>
      </c>
      <c r="M8" s="2">
        <f ca="1"/>
        <v>1E-3</v>
      </c>
      <c r="N8" s="2">
        <f ca="1"/>
        <v>0</v>
      </c>
      <c r="O8" s="2">
        <f ca="1"/>
        <v>2.6915348039269101E-8</v>
      </c>
      <c r="P8" s="2">
        <f ca="1"/>
        <v>0</v>
      </c>
      <c r="Q8" s="2">
        <f ca="1"/>
        <v>1.1220184543019671E-6</v>
      </c>
      <c r="R8" s="2">
        <f ca="1"/>
        <v>7.5356592945287387E-10</v>
      </c>
      <c r="S8" s="2">
        <f ca="1"/>
        <v>6.7756723978220912E-2</v>
      </c>
      <c r="T8" s="2">
        <f ca="1"/>
        <v>5.2471370070267227E-13</v>
      </c>
      <c r="U8" s="2">
        <f ca="1"/>
        <v>4.1778457347479023E-7</v>
      </c>
      <c r="V8" s="2">
        <f ca="1"/>
        <v>8.9520480403748475E-10</v>
      </c>
      <c r="W8" s="2">
        <f ca="1"/>
        <v>4.6876200136139092E-7</v>
      </c>
      <c r="X8" s="2">
        <f ca="1"/>
        <v>1.0044363105098361E-9</v>
      </c>
    </row>
    <row r="9" spans="1:24" s="2" customFormat="1" x14ac:dyDescent="0.25">
      <c r="A9" s="1" t="s">
        <v>5</v>
      </c>
      <c r="B9" s="2" cm="1">
        <f t="array" aca="1" ref="B9:H9" ca="1">MMULT(_xlfn.ANCHORARRAY(B8),SpecStoich)</f>
        <v>4.5675014427229221E-6</v>
      </c>
      <c r="C9" s="2">
        <f ca="1"/>
        <v>2E-3</v>
      </c>
      <c r="D9" s="2">
        <f ca="1"/>
        <v>3.000014244619988E-4</v>
      </c>
      <c r="E9" s="2">
        <f ca="1"/>
        <v>-6.7760523210170301E-2</v>
      </c>
      <c r="F9" s="2">
        <f ca="1"/>
        <v>1.0031496873682709E-3</v>
      </c>
      <c r="G9" s="2">
        <f ca="1"/>
        <v>6.7757681474795758E-2</v>
      </c>
      <c r="H9" s="2">
        <f ca="1"/>
        <v>3.7375165828248025E-8</v>
      </c>
    </row>
    <row r="10" spans="1:24" s="2" customFormat="1" x14ac:dyDescent="0.25">
      <c r="A10" s="1" t="s">
        <v>63</v>
      </c>
      <c r="B10" s="2" cm="1">
        <f t="array" aca="1" ref="B10:H10" ca="1">IF(OFFSET(inputs!$B$6,0,0,1,inputs!$B$1)="MassBal",_xlfn.ANCHORARRAY(B3)*OFFSET(inputs!$B$15,0,0,1,inputs!$B$1)/_xlfn.ANCHORARRAY(B9),IF(OFFSET(inputs!$B$6,0,0,1,inputs!$B$1)="DonnanChargeBal",MAX(1,_xlfn.ANCHORARRAY(B3)*-C7/_xlfn.ANCHORARRAY(B9)),_xlfn.ANCHORARRAY(B3)))</f>
        <v>2.1893808081729881E-7</v>
      </c>
      <c r="C10" s="2">
        <f ca="1"/>
        <v>5.0000000000000001E-4</v>
      </c>
      <c r="D10" s="2">
        <f ca="1"/>
        <v>2.9999857554476478E-4</v>
      </c>
      <c r="E10" s="2">
        <f ca="1"/>
        <v>2.6915348039269101E-8</v>
      </c>
      <c r="F10" s="2">
        <f ca="1"/>
        <v>67.543564188036299</v>
      </c>
      <c r="G10" s="2">
        <f ca="1"/>
        <v>7.429272062493005E-14</v>
      </c>
      <c r="H10" s="2">
        <f ca="1"/>
        <v>3.367143923275514E-8</v>
      </c>
    </row>
    <row r="11" spans="1:24" s="2" customFormat="1" x14ac:dyDescent="0.25">
      <c r="A11" s="1"/>
    </row>
    <row r="12" spans="1:24" s="1" customFormat="1" x14ac:dyDescent="0.25">
      <c r="A12" s="4" t="s">
        <v>64</v>
      </c>
      <c r="B12" s="1" t="str" cm="1">
        <f t="array" aca="1" ref="B12:X12" ca="1">OFFSET(inputs!$B$7,0,0,1,inputs!$B$2)</f>
        <v>Cu</v>
      </c>
      <c r="C12" s="1" t="str">
        <f ca="1"/>
        <v>Na</v>
      </c>
      <c r="D12" s="1" t="str">
        <f ca="1"/>
        <v>Cl</v>
      </c>
      <c r="E12" s="1" t="str">
        <f ca="1"/>
        <v>H</v>
      </c>
      <c r="F12" s="1" t="str">
        <f ca="1"/>
        <v>DonnanFA</v>
      </c>
      <c r="G12" s="1" t="str">
        <f ca="1"/>
        <v>DOC-FA_1H</v>
      </c>
      <c r="H12" s="1" t="str">
        <f ca="1"/>
        <v>DOC-FA_8H</v>
      </c>
      <c r="I12" s="1" t="str">
        <f ca="1"/>
        <v>OH</v>
      </c>
      <c r="J12" s="1" t="str">
        <f ca="1"/>
        <v>CuOH</v>
      </c>
      <c r="K12" s="1" t="str">
        <f ca="1"/>
        <v>CuCl</v>
      </c>
      <c r="L12" s="1" t="str">
        <f ca="1"/>
        <v>DonnanFA-Cu</v>
      </c>
      <c r="M12" s="1" t="str">
        <f ca="1"/>
        <v>DonnanFA-Na</v>
      </c>
      <c r="N12" s="1" t="str">
        <f ca="1"/>
        <v>DonnanFA-Cl</v>
      </c>
      <c r="O12" s="1" t="str">
        <f ca="1"/>
        <v>DonnanFA-H</v>
      </c>
      <c r="P12" s="1" t="str">
        <f ca="1"/>
        <v>DonnanFA-OH</v>
      </c>
      <c r="Q12" s="1" t="str">
        <f ca="1"/>
        <v>DonnanFA-CuOH</v>
      </c>
      <c r="R12" s="1" t="str">
        <f ca="1"/>
        <v>DonnanFA-CuCl</v>
      </c>
      <c r="S12" s="1" t="str">
        <f ca="1"/>
        <v>DOC-FA_1</v>
      </c>
      <c r="T12" s="1" t="str">
        <f ca="1"/>
        <v>DOC-FA_8</v>
      </c>
      <c r="U12" s="1" t="str">
        <f ca="1"/>
        <v>DOC-FA_1-Cu</v>
      </c>
      <c r="V12" s="1" t="str">
        <f ca="1"/>
        <v>DOC-FA_8-Cu</v>
      </c>
      <c r="W12" s="1" t="str">
        <f ca="1"/>
        <v>DOC-FA_1-CuOH</v>
      </c>
      <c r="X12" s="1" t="str">
        <f ca="1"/>
        <v>DOC-FA_8-CuOH</v>
      </c>
    </row>
    <row r="13" spans="1:24" s="2" customFormat="1" x14ac:dyDescent="0.25">
      <c r="A13" s="1" t="s">
        <v>62</v>
      </c>
      <c r="B13" s="2" cm="1">
        <f t="array" aca="1" ref="B13:X13" ca="1">_xlfn.ANCHORARRAY(inputs!B53)*TRANSPOSE(_xlfn.BYROW(_xlfn.ANCHORARRAY(B10)^SpecStoich,_xlfn.LAMBDA(_xlpm.array, PRODUCT(_xlpm.array))))</f>
        <v>2.1893808081729881E-7</v>
      </c>
      <c r="C13" s="2">
        <f ca="1"/>
        <v>5.0000000000000001E-4</v>
      </c>
      <c r="D13" s="2">
        <f ca="1"/>
        <v>2.9999857554476478E-4</v>
      </c>
      <c r="E13" s="2">
        <f ca="1"/>
        <v>2.6915348039269101E-8</v>
      </c>
      <c r="F13" s="2">
        <f ca="1"/>
        <v>1</v>
      </c>
      <c r="G13" s="2">
        <f ca="1"/>
        <v>7.429272062493005E-14</v>
      </c>
      <c r="H13" s="2">
        <f ca="1"/>
        <v>3.367143923275514E-8</v>
      </c>
      <c r="I13" s="2">
        <f ca="1"/>
        <v>8.1721870235427361E-7</v>
      </c>
      <c r="J13" s="2">
        <f ca="1"/>
        <v>1.2164469293307346E-7</v>
      </c>
      <c r="K13" s="2">
        <f ca="1"/>
        <v>1.4688400042093644E-10</v>
      </c>
      <c r="L13" s="2">
        <f ca="1"/>
        <v>9.988246572952711E-4</v>
      </c>
      <c r="M13" s="2">
        <f ca="1"/>
        <v>3.3771782094018148E-2</v>
      </c>
      <c r="N13" s="2">
        <f ca="1"/>
        <v>2.0262973043627275E-2</v>
      </c>
      <c r="O13" s="2">
        <f ca="1"/>
        <v>1.8179585379337095E-6</v>
      </c>
      <c r="P13" s="2">
        <f ca="1"/>
        <v>2.5268762532377399E-5</v>
      </c>
      <c r="Q13" s="2">
        <f ca="1"/>
        <v>1.6592249928907912E-5</v>
      </c>
      <c r="R13" s="2">
        <f ca="1"/>
        <v>1.1143573283687603E-8</v>
      </c>
      <c r="S13" s="2">
        <f ca="1"/>
        <v>7.0948997392170059E-8</v>
      </c>
      <c r="T13" s="2">
        <f ca="1"/>
        <v>4.9803708210864266E-13</v>
      </c>
      <c r="U13" s="2">
        <f ca="1"/>
        <v>9.5778398162947596E-14</v>
      </c>
      <c r="V13" s="2">
        <f ca="1"/>
        <v>1.8603000032103162E-10</v>
      </c>
      <c r="W13" s="2">
        <f ca="1"/>
        <v>1.0746513026230885E-13</v>
      </c>
      <c r="X13" s="2">
        <f ca="1"/>
        <v>2.0872909341399878E-10</v>
      </c>
    </row>
    <row r="14" spans="1:24" s="2" customFormat="1" x14ac:dyDescent="0.25">
      <c r="A14" s="1" t="s">
        <v>67</v>
      </c>
      <c r="B14" s="2" cm="1">
        <f t="array" aca="1" ref="B14" ca="1">IFERROR(SUM(_xlfn._xlws.FILTER(OFFSET(B13,0,0,1,inputs!$B$2)*SpecCharge,SpecActCorr="WHAMHA")),0)</f>
        <v>0</v>
      </c>
      <c r="C14" s="2" cm="1">
        <f t="array" aca="1" ref="C14" ca="1">IFERROR(SUM(_xlfn._xlws.FILTER(OFFSET(B13,0,0,1,inputs!$B$2)*SpecCharge,SpecActCorr="WHAMFA")),0)</f>
        <v>-7.0763369650532975E-8</v>
      </c>
    </row>
    <row r="15" spans="1:24" s="2" customFormat="1" x14ac:dyDescent="0.25">
      <c r="A15" s="1" t="s">
        <v>62</v>
      </c>
      <c r="B15" s="2" cm="1">
        <f t="array" aca="1" ref="B15:X15" ca="1">IF((SpecActCorr="DonnanFA")*(SIGN(C14)=SIGN(SpecCharge)),0,_xlfn.ANCHORARRAY(B13))</f>
        <v>2.1893808081729881E-7</v>
      </c>
      <c r="C15" s="2">
        <f ca="1"/>
        <v>5.0000000000000001E-4</v>
      </c>
      <c r="D15" s="2">
        <f ca="1"/>
        <v>2.9999857554476478E-4</v>
      </c>
      <c r="E15" s="2">
        <f ca="1"/>
        <v>2.6915348039269101E-8</v>
      </c>
      <c r="F15" s="2">
        <f ca="1"/>
        <v>1</v>
      </c>
      <c r="G15" s="2">
        <f ca="1"/>
        <v>7.429272062493005E-14</v>
      </c>
      <c r="H15" s="2">
        <f ca="1"/>
        <v>3.367143923275514E-8</v>
      </c>
      <c r="I15" s="2">
        <f ca="1"/>
        <v>8.1721870235427361E-7</v>
      </c>
      <c r="J15" s="2">
        <f ca="1"/>
        <v>1.2164469293307346E-7</v>
      </c>
      <c r="K15" s="2">
        <f ca="1"/>
        <v>1.4688400042093644E-10</v>
      </c>
      <c r="L15" s="2">
        <f ca="1"/>
        <v>9.988246572952711E-4</v>
      </c>
      <c r="M15" s="2">
        <f ca="1"/>
        <v>3.3771782094018148E-2</v>
      </c>
      <c r="N15" s="2">
        <f ca="1"/>
        <v>0</v>
      </c>
      <c r="O15" s="2">
        <f ca="1"/>
        <v>1.8179585379337095E-6</v>
      </c>
      <c r="P15" s="2">
        <f ca="1"/>
        <v>0</v>
      </c>
      <c r="Q15" s="2">
        <f ca="1"/>
        <v>1.6592249928907912E-5</v>
      </c>
      <c r="R15" s="2">
        <f ca="1"/>
        <v>1.1143573283687603E-8</v>
      </c>
      <c r="S15" s="2">
        <f ca="1"/>
        <v>7.0948997392170059E-8</v>
      </c>
      <c r="T15" s="2">
        <f ca="1"/>
        <v>4.9803708210864266E-13</v>
      </c>
      <c r="U15" s="2">
        <f ca="1"/>
        <v>9.5778398162947596E-14</v>
      </c>
      <c r="V15" s="2">
        <f ca="1"/>
        <v>1.8603000032103162E-10</v>
      </c>
      <c r="W15" s="2">
        <f ca="1"/>
        <v>1.0746513026230885E-13</v>
      </c>
      <c r="X15" s="2">
        <f ca="1"/>
        <v>2.0872909341399878E-10</v>
      </c>
    </row>
    <row r="16" spans="1:24" s="2" customFormat="1" x14ac:dyDescent="0.25">
      <c r="A16" s="1" t="s">
        <v>5</v>
      </c>
      <c r="B16" s="2" cm="1">
        <f t="array" aca="1" ref="B16:H16" ca="1">MMULT(_xlfn.ANCHORARRAY(B15),SpecStoich)</f>
        <v>1.0157691754175506E-3</v>
      </c>
      <c r="C16" s="2">
        <f ca="1"/>
        <v>3.4271782094018148E-2</v>
      </c>
      <c r="D16" s="2">
        <f ca="1"/>
        <v>3.0000986600204889E-4</v>
      </c>
      <c r="E16" s="2">
        <f ca="1"/>
        <v>-1.5757792732547335E-5</v>
      </c>
      <c r="F16" s="2">
        <f ca="1"/>
        <v>3.5787852760648817E-2</v>
      </c>
      <c r="G16" s="2">
        <f ca="1"/>
        <v>7.0949274928419112E-8</v>
      </c>
      <c r="H16" s="2">
        <f ca="1"/>
        <v>3.4066696363572282E-8</v>
      </c>
    </row>
    <row r="17" spans="1:24" s="2" customFormat="1" x14ac:dyDescent="0.25">
      <c r="A17" s="1" t="s">
        <v>63</v>
      </c>
      <c r="B17" s="2" cm="1">
        <f t="array" aca="1" ref="B17:H17" ca="1">IF(OFFSET(inputs!$B$6,0,0,1,inputs!$B$1)="MassBal",_xlfn.ANCHORARRAY(B10)*OFFSET(inputs!$B$15,0,0,1,inputs!$B$1)/_xlfn.ANCHORARRAY(B16),IF(OFFSET(inputs!$B$6,0,0,1,inputs!$B$1)="DonnanChargeBal",MAX(1,_xlfn.ANCHORARRAY(B10)*-C14/_xlfn.ANCHORARRAY(B16)),_xlfn.ANCHORARRAY(B10)))</f>
        <v>2.1553920527988089E-10</v>
      </c>
      <c r="C17" s="2">
        <f ca="1"/>
        <v>1.4589261761420652E-5</v>
      </c>
      <c r="D17" s="2">
        <f ca="1"/>
        <v>2.9998870991400925E-4</v>
      </c>
      <c r="E17" s="2">
        <f ca="1"/>
        <v>2.6915348039269101E-8</v>
      </c>
      <c r="F17" s="2">
        <f ca="1"/>
        <v>1</v>
      </c>
      <c r="G17" s="2">
        <f ca="1"/>
        <v>7.4293479865111799E-14</v>
      </c>
      <c r="H17" s="2">
        <f ca="1"/>
        <v>3.5063403097086579E-8</v>
      </c>
    </row>
    <row r="18" spans="1:24" s="2" customFormat="1" x14ac:dyDescent="0.25">
      <c r="A18" s="1"/>
    </row>
    <row r="19" spans="1:24" s="1" customFormat="1" x14ac:dyDescent="0.25">
      <c r="A19" s="4" t="s">
        <v>65</v>
      </c>
      <c r="B19" s="1" t="str" cm="1">
        <f t="array" aca="1" ref="B19:X19" ca="1">OFFSET(inputs!$B$7,0,0,1,inputs!$B$2)</f>
        <v>Cu</v>
      </c>
      <c r="C19" s="1" t="str">
        <f ca="1"/>
        <v>Na</v>
      </c>
      <c r="D19" s="1" t="str">
        <f ca="1"/>
        <v>Cl</v>
      </c>
      <c r="E19" s="1" t="str">
        <f ca="1"/>
        <v>H</v>
      </c>
      <c r="F19" s="1" t="str">
        <f ca="1"/>
        <v>DonnanFA</v>
      </c>
      <c r="G19" s="1" t="str">
        <f ca="1"/>
        <v>DOC-FA_1H</v>
      </c>
      <c r="H19" s="1" t="str">
        <f ca="1"/>
        <v>DOC-FA_8H</v>
      </c>
      <c r="I19" s="1" t="str">
        <f ca="1"/>
        <v>OH</v>
      </c>
      <c r="J19" s="1" t="str">
        <f ca="1"/>
        <v>CuOH</v>
      </c>
      <c r="K19" s="1" t="str">
        <f ca="1"/>
        <v>CuCl</v>
      </c>
      <c r="L19" s="1" t="str">
        <f ca="1"/>
        <v>DonnanFA-Cu</v>
      </c>
      <c r="M19" s="1" t="str">
        <f ca="1"/>
        <v>DonnanFA-Na</v>
      </c>
      <c r="N19" s="1" t="str">
        <f ca="1"/>
        <v>DonnanFA-Cl</v>
      </c>
      <c r="O19" s="1" t="str">
        <f ca="1"/>
        <v>DonnanFA-H</v>
      </c>
      <c r="P19" s="1" t="str">
        <f ca="1"/>
        <v>DonnanFA-OH</v>
      </c>
      <c r="Q19" s="1" t="str">
        <f ca="1"/>
        <v>DonnanFA-CuOH</v>
      </c>
      <c r="R19" s="1" t="str">
        <f ca="1"/>
        <v>DonnanFA-CuCl</v>
      </c>
      <c r="S19" s="1" t="str">
        <f ca="1"/>
        <v>DOC-FA_1</v>
      </c>
      <c r="T19" s="1" t="str">
        <f ca="1"/>
        <v>DOC-FA_8</v>
      </c>
      <c r="U19" s="1" t="str">
        <f ca="1"/>
        <v>DOC-FA_1-Cu</v>
      </c>
      <c r="V19" s="1" t="str">
        <f ca="1"/>
        <v>DOC-FA_8-Cu</v>
      </c>
      <c r="W19" s="1" t="str">
        <f ca="1"/>
        <v>DOC-FA_1-CuOH</v>
      </c>
      <c r="X19" s="1" t="str">
        <f ca="1"/>
        <v>DOC-FA_8-CuOH</v>
      </c>
    </row>
    <row r="20" spans="1:24" s="2" customFormat="1" x14ac:dyDescent="0.25">
      <c r="A20" s="1" t="s">
        <v>62</v>
      </c>
      <c r="B20" s="2" cm="1">
        <f t="array" aca="1" ref="B20:X20" ca="1">OFFSET(inputs!$B$53,0,0,1,inputs!$B$2)*TRANSPOSE(_xlfn.BYROW(_xlfn.ANCHORARRAY(B17)^SpecStoich,_xlfn.LAMBDA(_xlpm.array, PRODUCT(_xlpm.array))))</f>
        <v>2.1553920527988089E-10</v>
      </c>
      <c r="C20" s="2">
        <f ca="1"/>
        <v>1.4589261761420652E-5</v>
      </c>
      <c r="D20" s="2">
        <f ca="1"/>
        <v>2.9998870991400925E-4</v>
      </c>
      <c r="E20" s="2">
        <f ca="1"/>
        <v>2.6915348039269101E-8</v>
      </c>
      <c r="F20" s="2">
        <f ca="1"/>
        <v>1</v>
      </c>
      <c r="G20" s="2">
        <f ca="1"/>
        <v>7.4293479865111799E-14</v>
      </c>
      <c r="H20" s="2">
        <f ca="1"/>
        <v>3.5063403097086579E-8</v>
      </c>
      <c r="I20" s="2">
        <f ca="1"/>
        <v>8.1721870235427361E-7</v>
      </c>
      <c r="J20" s="2">
        <f ca="1"/>
        <v>1.19756235842724E-10</v>
      </c>
      <c r="K20" s="2">
        <f ca="1"/>
        <v>1.4459896363093522E-13</v>
      </c>
      <c r="L20" s="2">
        <f ca="1"/>
        <v>2.1553920527988089E-10</v>
      </c>
      <c r="M20" s="2">
        <f ca="1"/>
        <v>1.4589261761420652E-5</v>
      </c>
      <c r="N20" s="2">
        <f ca="1"/>
        <v>2.9998870991400925E-4</v>
      </c>
      <c r="O20" s="2">
        <f ca="1"/>
        <v>2.6915348039269101E-8</v>
      </c>
      <c r="P20" s="2">
        <f ca="1"/>
        <v>3.7411058827205255E-7</v>
      </c>
      <c r="Q20" s="2">
        <f ca="1"/>
        <v>2.4183896594960635E-10</v>
      </c>
      <c r="R20" s="2">
        <f ca="1"/>
        <v>1.6241688899475227E-13</v>
      </c>
      <c r="S20" s="2">
        <f ca="1"/>
        <v>7.094972246091464E-8</v>
      </c>
      <c r="T20" s="2">
        <f ca="1"/>
        <v>5.1862573638623932E-13</v>
      </c>
      <c r="U20" s="2">
        <f ca="1"/>
        <v>9.4292462594461249E-17</v>
      </c>
      <c r="V20" s="2">
        <f ca="1"/>
        <v>1.9071301926067902E-13</v>
      </c>
      <c r="W20" s="2">
        <f ca="1"/>
        <v>1.057978831325635E-16</v>
      </c>
      <c r="X20" s="2">
        <f ca="1"/>
        <v>2.1398352708612876E-13</v>
      </c>
    </row>
    <row r="21" spans="1:24" s="2" customFormat="1" x14ac:dyDescent="0.25">
      <c r="A21" s="1" t="s">
        <v>67</v>
      </c>
      <c r="B21" s="2" cm="1">
        <f t="array" aca="1" ref="B21" ca="1">IFERROR(SUM(_xlfn._xlws.FILTER(OFFSET(B20,0,0,1,inputs!$B$2)*SpecCharge,SpecActCorr="WHAMHA")),0)</f>
        <v>0</v>
      </c>
      <c r="C21" s="2" cm="1">
        <f t="array" aca="1" ref="C21" ca="1">IFERROR(SUM(_xlfn._xlws.FILTER(OFFSET(B20,0,0,1,inputs!$B$2)*SpecCharge,SpecActCorr="WHAMFA")),0)</f>
        <v>-7.0950050279339309E-8</v>
      </c>
    </row>
    <row r="22" spans="1:24" s="2" customFormat="1" x14ac:dyDescent="0.25">
      <c r="A22" s="1" t="s">
        <v>62</v>
      </c>
      <c r="B22" s="2" cm="1">
        <f t="array" aca="1" ref="B22:X22" ca="1">IF((SpecActCorr="DonnanFA")*(SIGN(C21)=SIGN(SpecCharge)),0,_xlfn.ANCHORARRAY(B20))</f>
        <v>2.1553920527988089E-10</v>
      </c>
      <c r="C22" s="2">
        <f ca="1"/>
        <v>1.4589261761420652E-5</v>
      </c>
      <c r="D22" s="2">
        <f ca="1"/>
        <v>2.9998870991400925E-4</v>
      </c>
      <c r="E22" s="2">
        <f ca="1"/>
        <v>2.6915348039269101E-8</v>
      </c>
      <c r="F22" s="2">
        <f ca="1"/>
        <v>1</v>
      </c>
      <c r="G22" s="2">
        <f ca="1"/>
        <v>7.4293479865111799E-14</v>
      </c>
      <c r="H22" s="2">
        <f ca="1"/>
        <v>3.5063403097086579E-8</v>
      </c>
      <c r="I22" s="2">
        <f ca="1"/>
        <v>8.1721870235427361E-7</v>
      </c>
      <c r="J22" s="2">
        <f ca="1"/>
        <v>1.19756235842724E-10</v>
      </c>
      <c r="K22" s="2">
        <f ca="1"/>
        <v>1.4459896363093522E-13</v>
      </c>
      <c r="L22" s="2">
        <f ca="1"/>
        <v>2.1553920527988089E-10</v>
      </c>
      <c r="M22" s="2">
        <f ca="1"/>
        <v>1.4589261761420652E-5</v>
      </c>
      <c r="N22" s="2">
        <f ca="1"/>
        <v>0</v>
      </c>
      <c r="O22" s="2">
        <f ca="1"/>
        <v>2.6915348039269101E-8</v>
      </c>
      <c r="P22" s="2">
        <f ca="1"/>
        <v>0</v>
      </c>
      <c r="Q22" s="2">
        <f ca="1"/>
        <v>2.4183896594960635E-10</v>
      </c>
      <c r="R22" s="2">
        <f ca="1"/>
        <v>1.6241688899475227E-13</v>
      </c>
      <c r="S22" s="2">
        <f ca="1"/>
        <v>7.094972246091464E-8</v>
      </c>
      <c r="T22" s="2">
        <f ca="1"/>
        <v>5.1862573638623932E-13</v>
      </c>
      <c r="U22" s="2">
        <f ca="1"/>
        <v>9.4292462594461249E-17</v>
      </c>
      <c r="V22" s="2">
        <f ca="1"/>
        <v>1.9071301926067902E-13</v>
      </c>
      <c r="W22" s="2">
        <f ca="1"/>
        <v>1.057978831325635E-16</v>
      </c>
      <c r="X22" s="2">
        <f ca="1"/>
        <v>2.1398352708612876E-13</v>
      </c>
    </row>
    <row r="23" spans="1:24" s="2" customFormat="1" x14ac:dyDescent="0.25">
      <c r="A23" s="1" t="s">
        <v>5</v>
      </c>
      <c r="B23" s="2" cm="1">
        <f t="array" aca="1" ref="B23:H23" ca="1">MMULT(_xlfn.ANCHORARRAY(B22),SpecStoich)</f>
        <v>7.9338552484141036E-10</v>
      </c>
      <c r="C23" s="2">
        <f ca="1"/>
        <v>2.9178523522841303E-5</v>
      </c>
      <c r="D23" s="2">
        <f ca="1"/>
        <v>2.9998871022102511E-4</v>
      </c>
      <c r="E23" s="2">
        <f ca="1"/>
        <v>-8.347004615501406E-7</v>
      </c>
      <c r="F23" s="2">
        <f ca="1"/>
        <v>1.4616850189253321E-5</v>
      </c>
      <c r="G23" s="2">
        <f ca="1"/>
        <v>7.0949796954484845E-8</v>
      </c>
      <c r="H23" s="2">
        <f ca="1"/>
        <v>3.5064326419369308E-8</v>
      </c>
    </row>
    <row r="24" spans="1:24" s="2" customFormat="1" x14ac:dyDescent="0.25">
      <c r="A24" s="1" t="s">
        <v>63</v>
      </c>
      <c r="B24" s="2" cm="1">
        <f t="array" aca="1" ref="B24:H24" ca="1">IF(OFFSET(inputs!$B$6,0,0,1,inputs!$B$1)="MassBal",_xlfn.ANCHORARRAY(B17)*OFFSET(inputs!$B$15,0,0,1,inputs!$B$1)/_xlfn.ANCHORARRAY(B23),IF(OFFSET(inputs!$B$6,0,0,1,inputs!$B$1)="DonnanChargeBal",MAX(1,_xlfn.ANCHORARRAY(B17)*-C21/_xlfn.ANCHORARRAY(B23)),_xlfn.ANCHORARRAY(B17)))</f>
        <v>2.7167020134752897E-7</v>
      </c>
      <c r="C24" s="2">
        <f ca="1"/>
        <v>5.0000000000000001E-4</v>
      </c>
      <c r="D24" s="2">
        <f ca="1"/>
        <v>2.9999999969297257E-4</v>
      </c>
      <c r="E24" s="2">
        <f ca="1"/>
        <v>2.6915348039269101E-8</v>
      </c>
      <c r="F24" s="2">
        <f ca="1"/>
        <v>1</v>
      </c>
      <c r="G24" s="2">
        <f ca="1"/>
        <v>7.4293692479644037E-14</v>
      </c>
      <c r="H24" s="2">
        <f ca="1"/>
        <v>3.5474065863761704E-8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38B3-0609-4658-87FD-6829FA5A0B54}">
  <dimension ref="A1:Y26"/>
  <sheetViews>
    <sheetView workbookViewId="0">
      <selection activeCell="G2" sqref="G2"/>
    </sheetView>
  </sheetViews>
  <sheetFormatPr defaultRowHeight="15" x14ac:dyDescent="0.25"/>
  <sheetData>
    <row r="1" spans="1:25" s="4" customFormat="1" x14ac:dyDescent="0.25">
      <c r="A1" s="5" t="s">
        <v>57</v>
      </c>
    </row>
    <row r="2" spans="1:25" s="1" customFormat="1" x14ac:dyDescent="0.25"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1" customFormat="1" x14ac:dyDescent="0.25">
      <c r="B3" s="1" t="s">
        <v>23</v>
      </c>
      <c r="C3" s="3" cm="1">
        <f t="array" aca="1" ref="C3:Y3" ca="1">OFFSET(inputs!$B$14,0,0,1,inputs!$B$2)</f>
        <v>1</v>
      </c>
      <c r="D3" s="3">
        <f ca="1"/>
        <v>1</v>
      </c>
      <c r="E3" s="3">
        <f ca="1"/>
        <v>1</v>
      </c>
      <c r="F3" s="3">
        <f ca="1"/>
        <v>1</v>
      </c>
      <c r="G3" s="3">
        <f ca="1"/>
        <v>1</v>
      </c>
      <c r="H3" s="3">
        <f ca="1"/>
        <v>1</v>
      </c>
      <c r="I3" s="3">
        <f ca="1"/>
        <v>1</v>
      </c>
      <c r="J3" s="3">
        <f ca="1"/>
        <v>1</v>
      </c>
      <c r="K3" s="3">
        <f ca="1"/>
        <v>1</v>
      </c>
      <c r="L3" s="3">
        <f ca="1"/>
        <v>1</v>
      </c>
      <c r="M3" s="3">
        <f ca="1"/>
        <v>1</v>
      </c>
      <c r="N3" s="3">
        <f ca="1"/>
        <v>1</v>
      </c>
      <c r="O3" s="3">
        <f ca="1"/>
        <v>1</v>
      </c>
      <c r="P3" s="3">
        <f ca="1"/>
        <v>1</v>
      </c>
      <c r="Q3" s="3">
        <f ca="1"/>
        <v>1</v>
      </c>
      <c r="R3" s="3">
        <f ca="1"/>
        <v>1</v>
      </c>
      <c r="S3" s="3">
        <f ca="1"/>
        <v>1</v>
      </c>
      <c r="T3" s="3">
        <f ca="1"/>
        <v>1</v>
      </c>
      <c r="U3" s="3">
        <f ca="1"/>
        <v>1</v>
      </c>
      <c r="V3" s="3">
        <f ca="1"/>
        <v>1</v>
      </c>
      <c r="W3" s="3">
        <f ca="1"/>
        <v>1</v>
      </c>
      <c r="X3" s="3">
        <f ca="1"/>
        <v>1</v>
      </c>
      <c r="Y3" s="3">
        <f ca="1"/>
        <v>1</v>
      </c>
    </row>
    <row r="4" spans="1:25" s="2" customFormat="1" x14ac:dyDescent="0.25">
      <c r="B4" s="1" t="s">
        <v>7</v>
      </c>
      <c r="C4" s="2" cm="1">
        <f t="array" aca="1" ref="C4:I4" ca="1">OFFSET(inputs!$B$15,0,0,1,inputs!$B$1)</f>
        <v>9.9999999999999995E-7</v>
      </c>
      <c r="D4" s="2">
        <f ca="1"/>
        <v>1E-3</v>
      </c>
      <c r="E4" s="2">
        <f ca="1"/>
        <v>2.9999999999999997E-4</v>
      </c>
      <c r="F4" s="2">
        <f ca="1"/>
        <v>2.6915348039269101E-8</v>
      </c>
      <c r="G4" s="2">
        <f ca="1"/>
        <v>1</v>
      </c>
      <c r="H4" s="2">
        <f ca="1"/>
        <v>7.0949999999999997E-8</v>
      </c>
      <c r="I4" s="2">
        <f ca="1"/>
        <v>3.5474999999999998E-8</v>
      </c>
    </row>
    <row r="5" spans="1:25" s="2" customFormat="1" x14ac:dyDescent="0.25">
      <c r="B5" s="1" t="s">
        <v>56</v>
      </c>
      <c r="C5" s="2" cm="1">
        <f t="array" aca="1" ref="C5:I5" ca="1">OFFSET(C3,0,0,1,inputs!$B$1)*OFFSET(C4,0,0,1,inputs!$B$1)</f>
        <v>9.9999999999999995E-7</v>
      </c>
      <c r="D5" s="2">
        <f ca="1"/>
        <v>1E-3</v>
      </c>
      <c r="E5" s="2">
        <f ca="1"/>
        <v>2.9999999999999997E-4</v>
      </c>
      <c r="F5" s="2">
        <f ca="1"/>
        <v>2.6915348039269101E-8</v>
      </c>
      <c r="G5" s="2">
        <f ca="1"/>
        <v>1</v>
      </c>
      <c r="H5" s="2">
        <f ca="1"/>
        <v>7.0949999999999997E-8</v>
      </c>
      <c r="I5" s="2">
        <f ca="1"/>
        <v>3.5474999999999998E-8</v>
      </c>
    </row>
    <row r="6" spans="1:25" s="2" customFormat="1" x14ac:dyDescent="0.25">
      <c r="B6" s="1" t="s">
        <v>62</v>
      </c>
      <c r="C6" s="2" cm="1">
        <f t="array" aca="1" ref="C6:Y6" ca="1">OFFSET(InitialGuess!B24,0,0,1,inputs!$B$2)</f>
        <v>2.7167020134752897E-7</v>
      </c>
      <c r="D6" s="2">
        <f ca="1"/>
        <v>5.0000000000000001E-4</v>
      </c>
      <c r="E6" s="2">
        <f ca="1"/>
        <v>2.9999999969297257E-4</v>
      </c>
      <c r="F6" s="2">
        <f ca="1"/>
        <v>2.6915348039269101E-8</v>
      </c>
      <c r="G6" s="2">
        <f ca="1"/>
        <v>1</v>
      </c>
      <c r="H6" s="2">
        <f ca="1"/>
        <v>7.4293692479644037E-14</v>
      </c>
      <c r="I6" s="2">
        <f ca="1"/>
        <v>3.5474065863761704E-8</v>
      </c>
      <c r="J6" s="2">
        <f ca="1"/>
        <v>0</v>
      </c>
      <c r="K6" s="2">
        <f ca="1"/>
        <v>0</v>
      </c>
      <c r="L6" s="2">
        <f ca="1"/>
        <v>0</v>
      </c>
      <c r="M6" s="2">
        <f ca="1"/>
        <v>0</v>
      </c>
      <c r="N6" s="2">
        <f ca="1"/>
        <v>0</v>
      </c>
      <c r="O6" s="2">
        <f ca="1"/>
        <v>0</v>
      </c>
      <c r="P6" s="2">
        <f ca="1"/>
        <v>0</v>
      </c>
      <c r="Q6" s="2">
        <f ca="1"/>
        <v>0</v>
      </c>
      <c r="R6" s="2">
        <f ca="1"/>
        <v>0</v>
      </c>
      <c r="S6" s="2">
        <f ca="1"/>
        <v>0</v>
      </c>
      <c r="T6" s="2">
        <f ca="1"/>
        <v>0</v>
      </c>
      <c r="U6" s="2">
        <f ca="1"/>
        <v>0</v>
      </c>
      <c r="V6" s="2">
        <f ca="1"/>
        <v>0</v>
      </c>
      <c r="W6" s="2">
        <f ca="1"/>
        <v>0</v>
      </c>
      <c r="X6" s="2">
        <f ca="1"/>
        <v>0</v>
      </c>
      <c r="Y6" s="2">
        <f ca="1"/>
        <v>0</v>
      </c>
    </row>
    <row r="7" spans="1:25" s="2" customFormat="1" x14ac:dyDescent="0.25">
      <c r="A7" s="2" t="s">
        <v>81</v>
      </c>
      <c r="B7" s="1" t="s">
        <v>9</v>
      </c>
      <c r="C7" s="2" cm="1">
        <f t="array" aca="1" ref="C7" ca="1">SUM(_xlfn.ANCHORARRAY(C6)*SpecCharge^2)*0.5</f>
        <v>4.0055679792320097E-4</v>
      </c>
    </row>
    <row r="8" spans="1:25" s="2" customFormat="1" x14ac:dyDescent="0.25">
      <c r="A8" s="2" t="s">
        <v>84</v>
      </c>
      <c r="B8" s="1" t="s">
        <v>66</v>
      </c>
      <c r="C8" s="2" cm="1">
        <f t="array" aca="1" ref="C8:Y8" ca="1">IF(SpecActCorr="Debye",10^(ABS(SpecCharge)^2*(-(0.27+0.0008*inputs!$B$17)*SQRT(C7))/(1+(3*ABS(SpecCharge)*0.33*SQRT(C7)))),1)</f>
        <v>0.91507748744917772</v>
      </c>
      <c r="D8" s="2">
        <f ca="1"/>
        <v>0.97763616955202026</v>
      </c>
      <c r="E8" s="2">
        <f ca="1"/>
        <v>0.97763616955202026</v>
      </c>
      <c r="F8" s="2">
        <f ca="1"/>
        <v>0.97763616955202026</v>
      </c>
      <c r="G8" s="2">
        <f ca="1"/>
        <v>1</v>
      </c>
      <c r="H8" s="2">
        <f ca="1"/>
        <v>1</v>
      </c>
      <c r="I8" s="2">
        <f ca="1"/>
        <v>1</v>
      </c>
      <c r="J8" s="2">
        <f ca="1"/>
        <v>0.97763616955202026</v>
      </c>
      <c r="K8" s="2">
        <f ca="1"/>
        <v>0.97763616955202026</v>
      </c>
      <c r="L8" s="2">
        <f ca="1"/>
        <v>0.97763616955202026</v>
      </c>
      <c r="M8" s="2">
        <f ca="1"/>
        <v>1</v>
      </c>
      <c r="N8" s="2">
        <f ca="1"/>
        <v>1</v>
      </c>
      <c r="O8" s="2">
        <f ca="1"/>
        <v>1</v>
      </c>
      <c r="P8" s="2">
        <f ca="1"/>
        <v>1</v>
      </c>
      <c r="Q8" s="2">
        <f ca="1"/>
        <v>1</v>
      </c>
      <c r="R8" s="2">
        <f ca="1"/>
        <v>1</v>
      </c>
      <c r="S8" s="2">
        <f ca="1"/>
        <v>1</v>
      </c>
      <c r="T8" s="2">
        <f ca="1"/>
        <v>1</v>
      </c>
      <c r="U8" s="2">
        <f ca="1"/>
        <v>1</v>
      </c>
      <c r="V8" s="2">
        <f ca="1"/>
        <v>1</v>
      </c>
      <c r="W8" s="2">
        <f ca="1"/>
        <v>1</v>
      </c>
      <c r="X8" s="2">
        <f ca="1"/>
        <v>1</v>
      </c>
      <c r="Y8" s="2">
        <f ca="1"/>
        <v>1</v>
      </c>
    </row>
    <row r="9" spans="1:25" s="2" customFormat="1" x14ac:dyDescent="0.25">
      <c r="A9" s="2" t="s">
        <v>82</v>
      </c>
      <c r="B9" s="1" t="s">
        <v>62</v>
      </c>
      <c r="C9" s="2" cm="1">
        <f t="array" aca="1" ref="C9:Y9" ca="1">OFFSET(inputs!$B$53,0,0,1,inputs!$B$2)*TRANSPOSE(_xlfn.BYROW(C6:I6^SpecStoich,_xlfn.LAMBDA(_xlpm.array, PRODUCT(_xlpm.array))))</f>
        <v>2.7167020134752897E-7</v>
      </c>
      <c r="D9" s="2">
        <f ca="1"/>
        <v>5.0000000000000001E-4</v>
      </c>
      <c r="E9" s="2">
        <f ca="1"/>
        <v>2.9999999969297257E-4</v>
      </c>
      <c r="F9" s="2">
        <f ca="1"/>
        <v>2.6915348039269101E-8</v>
      </c>
      <c r="G9" s="2">
        <f ca="1"/>
        <v>1</v>
      </c>
      <c r="H9" s="2">
        <f ca="1"/>
        <v>7.4293692479644037E-14</v>
      </c>
      <c r="I9" s="2">
        <f ca="1"/>
        <v>3.5474065863761704E-8</v>
      </c>
      <c r="J9" s="2">
        <f ca="1"/>
        <v>8.1721870235427361E-7</v>
      </c>
      <c r="K9" s="2">
        <f ca="1"/>
        <v>1.5094330825693102E-7</v>
      </c>
      <c r="L9" s="2">
        <f ca="1"/>
        <v>1.8226247006346043E-10</v>
      </c>
      <c r="M9" s="2">
        <f ca="1"/>
        <v>2.7167020134752897E-7</v>
      </c>
      <c r="N9" s="2">
        <f ca="1"/>
        <v>5.0000000000000001E-4</v>
      </c>
      <c r="O9" s="2">
        <f ca="1"/>
        <v>2.9999999969297257E-4</v>
      </c>
      <c r="P9" s="2">
        <f ca="1"/>
        <v>2.6915348039269101E-8</v>
      </c>
      <c r="Q9" s="2">
        <f ca="1"/>
        <v>3.7411058827205255E-7</v>
      </c>
      <c r="R9" s="2">
        <f ca="1"/>
        <v>3.0481897939585868E-7</v>
      </c>
      <c r="S9" s="2">
        <f ca="1"/>
        <v>2.0472140757358315E-10</v>
      </c>
      <c r="T9" s="2">
        <f ca="1"/>
        <v>7.0949925506216617E-8</v>
      </c>
      <c r="U9" s="2">
        <f ca="1"/>
        <v>5.2469988381521472E-13</v>
      </c>
      <c r="V9" s="2">
        <f ca="1"/>
        <v>1.1884856666791491E-13</v>
      </c>
      <c r="W9" s="2">
        <f ca="1"/>
        <v>2.4319406534684487E-10</v>
      </c>
      <c r="X9" s="2">
        <f ca="1"/>
        <v>1.3335028506873818E-13</v>
      </c>
      <c r="Y9" s="2">
        <f ca="1"/>
        <v>2.7286822929587898E-10</v>
      </c>
    </row>
    <row r="10" spans="1:25" s="2" customFormat="1" x14ac:dyDescent="0.25">
      <c r="B10" s="1" t="s">
        <v>72</v>
      </c>
      <c r="C10" s="2" cm="1">
        <f t="array" aca="1" ref="C10:Y10" ca="1">_xlfn.ANCHORARRAY(C9)*_xlfn.ANCHORARRAY(C8)</f>
        <v>2.4859928526390904E-7</v>
      </c>
      <c r="D10" s="2">
        <f ca="1"/>
        <v>4.8881808477601013E-4</v>
      </c>
      <c r="E10" s="2">
        <f ca="1"/>
        <v>2.9329085056544493E-4</v>
      </c>
      <c r="F10" s="2">
        <f ca="1"/>
        <v>2.6313417759270523E-8</v>
      </c>
      <c r="G10" s="2">
        <f ca="1"/>
        <v>1</v>
      </c>
      <c r="H10" s="2">
        <f ca="1"/>
        <v>7.4293692479644037E-14</v>
      </c>
      <c r="I10" s="2">
        <f ca="1"/>
        <v>3.5474065863761704E-8</v>
      </c>
      <c r="J10" s="2">
        <f ca="1"/>
        <v>7.9894256185590456E-7</v>
      </c>
      <c r="K10" s="2">
        <f ca="1"/>
        <v>1.4756763770381587E-7</v>
      </c>
      <c r="L10" s="2">
        <f ca="1"/>
        <v>1.7818638308593121E-10</v>
      </c>
      <c r="M10" s="2">
        <f ca="1"/>
        <v>2.7167020134752897E-7</v>
      </c>
      <c r="N10" s="2">
        <f ca="1"/>
        <v>5.0000000000000001E-4</v>
      </c>
      <c r="O10" s="2">
        <f ca="1"/>
        <v>2.9999999969297257E-4</v>
      </c>
      <c r="P10" s="2">
        <f ca="1"/>
        <v>2.6915348039269101E-8</v>
      </c>
      <c r="Q10" s="2">
        <f ca="1"/>
        <v>3.7411058827205255E-7</v>
      </c>
      <c r="R10" s="2">
        <f ca="1"/>
        <v>3.0481897939585868E-7</v>
      </c>
      <c r="S10" s="2">
        <f ca="1"/>
        <v>2.0472140757358315E-10</v>
      </c>
      <c r="T10" s="2">
        <f ca="1"/>
        <v>7.0949925506216617E-8</v>
      </c>
      <c r="U10" s="2">
        <f ca="1"/>
        <v>5.2469988381521472E-13</v>
      </c>
      <c r="V10" s="2">
        <f ca="1"/>
        <v>1.1884856666791491E-13</v>
      </c>
      <c r="W10" s="2">
        <f ca="1"/>
        <v>2.4319406534684487E-10</v>
      </c>
      <c r="X10" s="2">
        <f ca="1"/>
        <v>1.3335028506873818E-13</v>
      </c>
      <c r="Y10" s="2">
        <f ca="1"/>
        <v>2.7286822929587898E-10</v>
      </c>
    </row>
    <row r="11" spans="1:25" s="2" customFormat="1" x14ac:dyDescent="0.25">
      <c r="A11" s="2" t="s">
        <v>81</v>
      </c>
      <c r="B11" s="1" t="s">
        <v>9</v>
      </c>
      <c r="C11" s="2" cm="1">
        <f t="array" aca="1" ref="C11" ca="1">SUM(_xlfn.ANCHORARRAY(C9)*SpecCharge^2)*0.5</f>
        <v>8.0197293200904023E-4</v>
      </c>
    </row>
    <row r="12" spans="1:25" s="2" customFormat="1" x14ac:dyDescent="0.25">
      <c r="A12" s="2" t="s">
        <v>83</v>
      </c>
      <c r="B12" s="1" t="s">
        <v>67</v>
      </c>
      <c r="C12" s="2" cm="1">
        <f t="array" aca="1" ref="C12" ca="1">IFERROR(SUM(_xlfn._xlws.FILTER(_xlfn.ANCHORARRAY(C8)*SpecCharge,SpecActCorr="WHAMHA")),0)</f>
        <v>0</v>
      </c>
      <c r="D12" s="2" cm="1">
        <f t="array" aca="1" ref="D12" ca="1">IFERROR(SUM(_xlfn._xlws.FILTER(_xlfn.ANCHORARRAY(C10)*SpecCharge,SpecActCorr="WHAMFA")),0)</f>
        <v>-7.070713729218692E-8</v>
      </c>
    </row>
    <row r="13" spans="1:25" s="2" customFormat="1" x14ac:dyDescent="0.25">
      <c r="A13" s="2" t="s">
        <v>85</v>
      </c>
      <c r="B13" s="1" t="s">
        <v>68</v>
      </c>
      <c r="C13" s="2" cm="1">
        <f t="array" aca="1" ref="C13:Y13" ca="1">OFFSET(inputs!$B$53,0,0,1,inputs!$B$2)*IF(SpecActCorr="WHAMFA",EXP(2*inputs!$C$26*LOG10(C11)*D12*ABS(SpecCharge)),IF(SpecActCorr="WHAMHA",EXP(2*inputs!$C$26*LOG10(C11)*C12*ABS(SpecCharge)),1))</f>
        <v>1</v>
      </c>
      <c r="D13" s="2">
        <f ca="1"/>
        <v>1</v>
      </c>
      <c r="E13" s="2">
        <f ca="1"/>
        <v>1</v>
      </c>
      <c r="F13" s="2">
        <f ca="1"/>
        <v>1</v>
      </c>
      <c r="G13" s="2">
        <f ca="1"/>
        <v>1</v>
      </c>
      <c r="H13" s="2">
        <f ca="1"/>
        <v>1</v>
      </c>
      <c r="I13" s="2">
        <f ca="1"/>
        <v>1</v>
      </c>
      <c r="J13" s="2">
        <f ca="1"/>
        <v>2.1995725798065139E-14</v>
      </c>
      <c r="K13" s="2">
        <f ca="1"/>
        <v>1.4954498711240171E-8</v>
      </c>
      <c r="L13" s="2">
        <f ca="1"/>
        <v>2.2363202312453416</v>
      </c>
      <c r="M13" s="2">
        <f ca="1"/>
        <v>1</v>
      </c>
      <c r="N13" s="2">
        <f ca="1"/>
        <v>1</v>
      </c>
      <c r="O13" s="2">
        <f ca="1"/>
        <v>1</v>
      </c>
      <c r="P13" s="2">
        <f ca="1"/>
        <v>1</v>
      </c>
      <c r="Q13" s="2">
        <f ca="1"/>
        <v>1.0069316688518E-14</v>
      </c>
      <c r="R13" s="2">
        <f ca="1"/>
        <v>3.0199517204020201E-8</v>
      </c>
      <c r="S13" s="2">
        <f ca="1"/>
        <v>2.5118864315095801</v>
      </c>
      <c r="T13" s="2">
        <f ca="1"/>
        <v>2.5702798785535979E-2</v>
      </c>
      <c r="U13" s="2">
        <f ca="1"/>
        <v>3.98089219116017E-13</v>
      </c>
      <c r="V13" s="2">
        <f ca="1"/>
        <v>0.15848217265012848</v>
      </c>
      <c r="W13" s="2">
        <f ca="1"/>
        <v>6.7917300598584207E-4</v>
      </c>
      <c r="X13" s="2">
        <f ca="1"/>
        <v>4.7863009232263802E-9</v>
      </c>
      <c r="Y13" s="2">
        <f ca="1"/>
        <v>2.0511621788255701E-11</v>
      </c>
    </row>
    <row r="14" spans="1:25" s="2" customFormat="1" x14ac:dyDescent="0.25">
      <c r="A14" s="2" t="s">
        <v>86</v>
      </c>
      <c r="B14" s="1" t="s">
        <v>70</v>
      </c>
      <c r="C14" s="2" cm="1">
        <f t="array" aca="1" ref="C14:D14" ca="1">((1000*((6.022E+23)/inputs!$B$24:$C$24)*(4*PI()/3)*(((inputs!$B$25:$C$25+(0.000000000304 / SQRT(C11)))^3)-((inputs!$B$25:$C$25)^3)))*inputs!$B$20*ABS(C12:D12))/(1+inputs!$B$20*ABS(C12:D12))*inputs!$B$23:$C$23*inputs!$B$24:$C$24</f>
        <v>0</v>
      </c>
      <c r="D14" s="2">
        <f ca="1"/>
        <v>2.9119923131998885E-8</v>
      </c>
    </row>
    <row r="15" spans="1:25" s="2" customFormat="1" x14ac:dyDescent="0.25">
      <c r="A15" s="2" t="s">
        <v>86</v>
      </c>
      <c r="B15" s="1" t="s">
        <v>71</v>
      </c>
      <c r="C15" s="2" cm="1">
        <f t="array" aca="1" ref="C15:D15" ca="1">inputs!$B$19/(inputs!$B$19+SUM(_xlfn.ANCHORARRAY(C14)))*_xlfn.ANCHORARRAY(C14)</f>
        <v>0</v>
      </c>
      <c r="D15" s="2">
        <f ca="1"/>
        <v>2.9119919740119588E-8</v>
      </c>
    </row>
    <row r="16" spans="1:25" s="2" customFormat="1" x14ac:dyDescent="0.25">
      <c r="A16" s="2" t="s">
        <v>86</v>
      </c>
      <c r="B16" s="1" t="s">
        <v>69</v>
      </c>
      <c r="C16" s="2" cm="1">
        <f t="array" aca="1" ref="C16:Y16" ca="1">IF(SpecActCorr="DonnanHA",C15,IF(SpecActCorr="DonnanFA",D15,IF(OR(SpecActCorr="WHAMHA",SpecActCorr="WHAMFA"),OFFSET(inputs!$B$14,0,0,1,inputs!$B$2),OFFSET(inputs!$B$14,0,0,1,inputs!$B$2)-SUM(_xlfn.ANCHORARRAY(C15)))))</f>
        <v>1</v>
      </c>
      <c r="D16" s="2">
        <f ca="1"/>
        <v>1</v>
      </c>
      <c r="E16" s="2">
        <f ca="1"/>
        <v>1</v>
      </c>
      <c r="F16" s="2">
        <f ca="1"/>
        <v>1</v>
      </c>
      <c r="G16" s="2">
        <f ca="1"/>
        <v>2.9119919740119588E-8</v>
      </c>
      <c r="H16" s="2">
        <f ca="1"/>
        <v>1</v>
      </c>
      <c r="I16" s="2">
        <f ca="1"/>
        <v>1</v>
      </c>
      <c r="J16" s="2">
        <f ca="1"/>
        <v>1</v>
      </c>
      <c r="K16" s="2">
        <f ca="1"/>
        <v>1</v>
      </c>
      <c r="L16" s="2">
        <f ca="1"/>
        <v>1</v>
      </c>
      <c r="M16" s="2">
        <f ca="1"/>
        <v>2.9119919740119588E-8</v>
      </c>
      <c r="N16" s="2">
        <f ca="1"/>
        <v>2.9119919740119588E-8</v>
      </c>
      <c r="O16" s="2">
        <f ca="1"/>
        <v>2.9119919740119588E-8</v>
      </c>
      <c r="P16" s="2">
        <f ca="1"/>
        <v>2.9119919740119588E-8</v>
      </c>
      <c r="Q16" s="2">
        <f ca="1"/>
        <v>2.9119919740119588E-8</v>
      </c>
      <c r="R16" s="2">
        <f ca="1"/>
        <v>2.9119919740119588E-8</v>
      </c>
      <c r="S16" s="2">
        <f ca="1"/>
        <v>2.9119919740119588E-8</v>
      </c>
      <c r="T16" s="2">
        <f ca="1"/>
        <v>1</v>
      </c>
      <c r="U16" s="2">
        <f ca="1"/>
        <v>1</v>
      </c>
      <c r="V16" s="2">
        <f ca="1"/>
        <v>1</v>
      </c>
      <c r="W16" s="2">
        <f ca="1"/>
        <v>1</v>
      </c>
      <c r="X16" s="2">
        <f ca="1"/>
        <v>1</v>
      </c>
      <c r="Y16" s="2">
        <f ca="1"/>
        <v>1</v>
      </c>
    </row>
    <row r="17" spans="1:25" s="2" customFormat="1" x14ac:dyDescent="0.25">
      <c r="A17" s="2" t="s">
        <v>87</v>
      </c>
      <c r="B17" s="1" t="s">
        <v>62</v>
      </c>
      <c r="C17" s="2" cm="1">
        <f t="array" aca="1" ref="C17:Y17" ca="1">IF((SpecActCorr="DonnanFA")*(SIGN(_xlfn.SEQUENCE(1,inputs!$B$2,D12,0))=SIGN(SpecCharge)),0,OFFSET(C9,0,0,1,inputs!$B$2))</f>
        <v>2.7167020134752897E-7</v>
      </c>
      <c r="D17" s="2">
        <f ca="1"/>
        <v>5.0000000000000001E-4</v>
      </c>
      <c r="E17" s="2">
        <f ca="1"/>
        <v>2.9999999969297257E-4</v>
      </c>
      <c r="F17" s="2">
        <f ca="1"/>
        <v>2.6915348039269101E-8</v>
      </c>
      <c r="G17" s="2">
        <f ca="1"/>
        <v>1</v>
      </c>
      <c r="H17" s="2">
        <f ca="1"/>
        <v>7.4293692479644037E-14</v>
      </c>
      <c r="I17" s="2">
        <f ca="1"/>
        <v>3.5474065863761704E-8</v>
      </c>
      <c r="J17" s="2">
        <f ca="1"/>
        <v>8.1721870235427361E-7</v>
      </c>
      <c r="K17" s="2">
        <f ca="1"/>
        <v>1.5094330825693102E-7</v>
      </c>
      <c r="L17" s="2">
        <f ca="1"/>
        <v>1.8226247006346043E-10</v>
      </c>
      <c r="M17" s="2">
        <f ca="1"/>
        <v>2.7167020134752897E-7</v>
      </c>
      <c r="N17" s="2">
        <f ca="1"/>
        <v>5.0000000000000001E-4</v>
      </c>
      <c r="O17" s="2">
        <f ca="1"/>
        <v>0</v>
      </c>
      <c r="P17" s="2">
        <f ca="1"/>
        <v>2.6915348039269101E-8</v>
      </c>
      <c r="Q17" s="2">
        <f ca="1"/>
        <v>0</v>
      </c>
      <c r="R17" s="2">
        <f ca="1"/>
        <v>3.0481897939585868E-7</v>
      </c>
      <c r="S17" s="2">
        <f ca="1"/>
        <v>2.0472140757358315E-10</v>
      </c>
      <c r="T17" s="2">
        <f ca="1"/>
        <v>7.0949925506216617E-8</v>
      </c>
      <c r="U17" s="2">
        <f ca="1"/>
        <v>5.2469988381521472E-13</v>
      </c>
      <c r="V17" s="2">
        <f ca="1"/>
        <v>1.1884856666791491E-13</v>
      </c>
      <c r="W17" s="2">
        <f ca="1"/>
        <v>2.4319406534684487E-10</v>
      </c>
      <c r="X17" s="2">
        <f ca="1"/>
        <v>1.3335028506873818E-13</v>
      </c>
      <c r="Y17" s="2">
        <f ca="1"/>
        <v>2.7286822929587898E-10</v>
      </c>
    </row>
    <row r="18" spans="1:25" s="2" customFormat="1" x14ac:dyDescent="0.25">
      <c r="B18" s="1" t="s">
        <v>72</v>
      </c>
      <c r="C18" s="2" cm="1">
        <f t="array" aca="1" ref="C18:Y18" ca="1">_xlfn.ANCHORARRAY(C17)*_xlfn.ANCHORARRAY(C16)</f>
        <v>2.7167020134752897E-7</v>
      </c>
      <c r="D18" s="2">
        <f ca="1"/>
        <v>5.0000000000000001E-4</v>
      </c>
      <c r="E18" s="2">
        <f ca="1"/>
        <v>2.9999999969297257E-4</v>
      </c>
      <c r="F18" s="2">
        <f ca="1"/>
        <v>2.6915348039269101E-8</v>
      </c>
      <c r="G18" s="2">
        <f ca="1"/>
        <v>2.9119919740119588E-8</v>
      </c>
      <c r="H18" s="2">
        <f ca="1"/>
        <v>7.4293692479644037E-14</v>
      </c>
      <c r="I18" s="2">
        <f ca="1"/>
        <v>3.5474065863761704E-8</v>
      </c>
      <c r="J18" s="2">
        <f ca="1"/>
        <v>8.1721870235427361E-7</v>
      </c>
      <c r="K18" s="2">
        <f ca="1"/>
        <v>1.5094330825693102E-7</v>
      </c>
      <c r="L18" s="2">
        <f ca="1"/>
        <v>1.8226247006346043E-10</v>
      </c>
      <c r="M18" s="2">
        <f ca="1"/>
        <v>7.9110144590221721E-15</v>
      </c>
      <c r="N18" s="2">
        <f ca="1"/>
        <v>1.4559959870059793E-11</v>
      </c>
      <c r="O18" s="2">
        <f ca="1"/>
        <v>0</v>
      </c>
      <c r="P18" s="2">
        <f ca="1"/>
        <v>7.8377277468090133E-16</v>
      </c>
      <c r="Q18" s="2">
        <f ca="1"/>
        <v>0</v>
      </c>
      <c r="R18" s="2">
        <f ca="1"/>
        <v>8.8763042152725715E-15</v>
      </c>
      <c r="S18" s="2">
        <f ca="1"/>
        <v>5.9614709576270519E-18</v>
      </c>
      <c r="T18" s="2">
        <f ca="1"/>
        <v>7.0949925506216617E-8</v>
      </c>
      <c r="U18" s="2">
        <f ca="1"/>
        <v>5.2469988381521472E-13</v>
      </c>
      <c r="V18" s="2">
        <f ca="1"/>
        <v>1.1884856666791491E-13</v>
      </c>
      <c r="W18" s="2">
        <f ca="1"/>
        <v>2.4319406534684487E-10</v>
      </c>
      <c r="X18" s="2">
        <f ca="1"/>
        <v>1.3335028506873818E-13</v>
      </c>
      <c r="Y18" s="2">
        <f ca="1"/>
        <v>2.7286822929587898E-10</v>
      </c>
    </row>
    <row r="19" spans="1:25" s="2" customFormat="1" x14ac:dyDescent="0.25">
      <c r="A19" s="2" t="s">
        <v>87</v>
      </c>
      <c r="B19" s="6" t="s">
        <v>56</v>
      </c>
      <c r="C19" s="10" cm="1">
        <f t="array" aca="1" ref="C19:I19" ca="1">IF(OFFSET(inputs!$B$5,0,0,1,inputs!$B$1)="DonnanFA",ABS(D12),_xlfn.ANCHORARRAY(C5))</f>
        <v>9.9999999999999995E-7</v>
      </c>
      <c r="D19" s="10">
        <f ca="1"/>
        <v>1E-3</v>
      </c>
      <c r="E19" s="10">
        <f ca="1"/>
        <v>2.9999999999999997E-4</v>
      </c>
      <c r="F19" s="10">
        <f ca="1"/>
        <v>2.6915348039269101E-8</v>
      </c>
      <c r="G19" s="10">
        <f ca="1"/>
        <v>7.070713729218692E-8</v>
      </c>
      <c r="H19" s="10">
        <f ca="1"/>
        <v>7.0949999999999997E-8</v>
      </c>
      <c r="I19" s="10">
        <f ca="1"/>
        <v>3.5474999999999998E-8</v>
      </c>
    </row>
    <row r="20" spans="1:25" s="2" customFormat="1" x14ac:dyDescent="0.25">
      <c r="A20" s="2" t="s">
        <v>88</v>
      </c>
      <c r="B20" s="8" t="s">
        <v>56</v>
      </c>
      <c r="C20" s="11" cm="1">
        <f t="array" aca="1" ref="C20:I20" ca="1">IF(OFFSET(inputs!$B$6,0,0,1,inputs!$B$1)="FixedAct",MMULT((_xlfn.ANCHORARRAY(C17)*_xlfn.ANCHORARRAY(C16)),SpecStoich),IF(OFFSET(inputs!$B$5,0,0,1,inputs!$B$1)="DonnanFA",-D12,_xlfn.ANCHORARRAY(C19)))</f>
        <v>9.9999999999999995E-7</v>
      </c>
      <c r="D20" s="11">
        <f ca="1"/>
        <v>1E-3</v>
      </c>
      <c r="E20" s="11">
        <f ca="1"/>
        <v>2.9999999999999997E-4</v>
      </c>
      <c r="F20" s="11">
        <f ca="1"/>
        <v>-1.012986436943643E-6</v>
      </c>
      <c r="G20" s="11">
        <f ca="1"/>
        <v>7.070713729218692E-8</v>
      </c>
      <c r="H20" s="11">
        <f ca="1"/>
        <v>7.0949999999999997E-8</v>
      </c>
      <c r="I20" s="11">
        <f ca="1"/>
        <v>3.5474999999999998E-8</v>
      </c>
    </row>
    <row r="21" spans="1:25" s="2" customFormat="1" x14ac:dyDescent="0.25">
      <c r="B21" s="1" t="s">
        <v>7</v>
      </c>
      <c r="C21" s="12" cm="1">
        <f t="array" aca="1" ref="C21:I21" ca="1">_xlfn.ANCHORARRAY(C20)*OFFSET(C16,0,0,1,inputs!$B$1)</f>
        <v>9.9999999999999995E-7</v>
      </c>
      <c r="D21" s="12">
        <f ca="1"/>
        <v>1E-3</v>
      </c>
      <c r="E21" s="12">
        <f ca="1"/>
        <v>2.9999999999999997E-4</v>
      </c>
      <c r="F21" s="12">
        <f ca="1"/>
        <v>-1.012986436943643E-6</v>
      </c>
      <c r="G21" s="12">
        <f ca="1"/>
        <v>2.0589861630020996E-15</v>
      </c>
      <c r="H21" s="12">
        <f ca="1"/>
        <v>7.0949999999999997E-8</v>
      </c>
      <c r="I21" s="12">
        <f ca="1"/>
        <v>3.5474999999999998E-8</v>
      </c>
    </row>
    <row r="22" spans="1:25" s="2" customFormat="1" x14ac:dyDescent="0.25">
      <c r="A22" s="2" t="s">
        <v>89</v>
      </c>
      <c r="B22" s="1" t="s">
        <v>73</v>
      </c>
      <c r="C22" s="12" cm="1">
        <f t="array" aca="1" ref="C22:I22" ca="1">MMULT(_xlfn.ANCHORARRAY(C18),SpecStoich)</f>
        <v>4.2331210336129804E-7</v>
      </c>
      <c r="D22" s="12">
        <f ca="1"/>
        <v>5.0000001455995991E-4</v>
      </c>
      <c r="E22" s="12">
        <f ca="1"/>
        <v>3.0000018195544862E-4</v>
      </c>
      <c r="F22" s="12">
        <f ca="1"/>
        <v>-1.012986436943643E-6</v>
      </c>
      <c r="G22" s="12">
        <f ca="1"/>
        <v>1.4585447937438751E-11</v>
      </c>
      <c r="H22" s="12">
        <f ca="1"/>
        <v>7.0950251998760828E-8</v>
      </c>
      <c r="I22" s="12">
        <f ca="1"/>
        <v>3.5990652858288244E-8</v>
      </c>
    </row>
    <row r="23" spans="1:25" s="2" customFormat="1" x14ac:dyDescent="0.25">
      <c r="A23" s="2" t="s">
        <v>89</v>
      </c>
      <c r="B23" s="1" t="s">
        <v>5</v>
      </c>
      <c r="C23" s="12" cm="1">
        <f t="array" aca="1" ref="C23:I23" ca="1">_xlfn.ANCHORARRAY(C22)/OFFSET(C16,0,0,1,inputs!$B$1)</f>
        <v>4.2331210336129804E-7</v>
      </c>
      <c r="D23" s="12">
        <f ca="1"/>
        <v>5.0000001455995991E-4</v>
      </c>
      <c r="E23" s="12">
        <f ca="1"/>
        <v>3.0000018195544862E-4</v>
      </c>
      <c r="F23" s="12">
        <f ca="1"/>
        <v>-1.012986436943643E-6</v>
      </c>
      <c r="G23" s="12">
        <f ca="1"/>
        <v>5.0087527945153777E-4</v>
      </c>
      <c r="H23" s="12">
        <f ca="1"/>
        <v>7.0950251998760828E-8</v>
      </c>
      <c r="I23" s="12">
        <f ca="1"/>
        <v>3.5990652858288244E-8</v>
      </c>
    </row>
    <row r="24" spans="1:25" s="2" customFormat="1" x14ac:dyDescent="0.25">
      <c r="A24" s="2" t="s">
        <v>90</v>
      </c>
      <c r="B24" s="1" t="s">
        <v>6</v>
      </c>
      <c r="C24" s="12" cm="1">
        <f t="array" aca="1" ref="C24:I24" ca="1">IF(OFFSET(inputs!$B$6,0,0,1,inputs!$B$1)="FixedAct",0,_xlfn.ANCHORARRAY(C22)-_xlfn.ANCHORARRAY(C20))</f>
        <v>-5.7668789663870186E-7</v>
      </c>
      <c r="D24" s="12">
        <f ca="1"/>
        <v>-4.9999998544004011E-4</v>
      </c>
      <c r="E24" s="12">
        <f ca="1"/>
        <v>1.8195544864655494E-10</v>
      </c>
      <c r="F24" s="12">
        <f ca="1"/>
        <v>0</v>
      </c>
      <c r="G24" s="12">
        <f ca="1"/>
        <v>-7.0692551844249487E-8</v>
      </c>
      <c r="H24" s="12">
        <f ca="1"/>
        <v>2.5199876083142386E-13</v>
      </c>
      <c r="I24" s="12">
        <f ca="1"/>
        <v>5.1565285828824598E-10</v>
      </c>
    </row>
    <row r="25" spans="1:25" s="2" customFormat="1" x14ac:dyDescent="0.25">
      <c r="A25" s="2" t="s">
        <v>90</v>
      </c>
      <c r="B25" s="1" t="s">
        <v>74</v>
      </c>
      <c r="C25" s="2" cm="1">
        <f t="array" aca="1" ref="C25:I25" ca="1">ABS(_xlfn.ANCHORARRAY(C24)/_xlfn.ANCHORARRAY(C20))</f>
        <v>0.5766878966387019</v>
      </c>
      <c r="D25" s="2">
        <f ca="1"/>
        <v>0.4999999854400401</v>
      </c>
      <c r="E25" s="2">
        <f ca="1"/>
        <v>6.0651816215518317E-7</v>
      </c>
      <c r="F25" s="2">
        <f ca="1"/>
        <v>0</v>
      </c>
      <c r="G25" s="2">
        <f ca="1"/>
        <v>0.99979372028771074</v>
      </c>
      <c r="H25" s="2">
        <f ca="1"/>
        <v>3.5517795747910342E-6</v>
      </c>
      <c r="I25" s="2">
        <f ca="1"/>
        <v>1.4535669014467822E-2</v>
      </c>
    </row>
    <row r="26" spans="1:25" s="2" customFormat="1" x14ac:dyDescent="0.25">
      <c r="A26" s="2" t="s">
        <v>91</v>
      </c>
      <c r="B26" s="1" t="s">
        <v>4</v>
      </c>
      <c r="C26" s="2">
        <f ca="1">MAX(_xlfn.ANCHORARRAY(C25))</f>
        <v>0.99979372028771074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F4DC-EBE3-46ED-A05A-9B707D645836}">
  <dimension ref="A1:Y48"/>
  <sheetViews>
    <sheetView topLeftCell="A13" workbookViewId="0">
      <selection activeCell="C42" sqref="C42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12" bestFit="1" customWidth="1"/>
  </cols>
  <sheetData>
    <row r="1" spans="1:25" x14ac:dyDescent="0.25">
      <c r="A1" s="15" t="s">
        <v>95</v>
      </c>
      <c r="B1" s="14">
        <v>0</v>
      </c>
    </row>
    <row r="2" spans="1:25" s="2" customFormat="1" x14ac:dyDescent="0.25">
      <c r="B2" s="1"/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2" customFormat="1" x14ac:dyDescent="0.25">
      <c r="B3" s="1"/>
      <c r="K3" s="1"/>
      <c r="T3" s="1"/>
    </row>
    <row r="4" spans="1:25" s="2" customFormat="1" x14ac:dyDescent="0.25"/>
    <row r="5" spans="1:25" s="2" customFormat="1" x14ac:dyDescent="0.25">
      <c r="B5" s="1"/>
      <c r="K5" s="1"/>
      <c r="T5" s="1"/>
    </row>
    <row r="6" spans="1:25" s="2" customFormat="1" x14ac:dyDescent="0.25">
      <c r="B6" s="1"/>
      <c r="K6" s="1"/>
      <c r="T6" s="1"/>
    </row>
    <row r="7" spans="1:25" s="2" customFormat="1" x14ac:dyDescent="0.25">
      <c r="B7" s="1"/>
      <c r="K7" s="1"/>
      <c r="T7" s="1"/>
    </row>
    <row r="8" spans="1:25" s="2" customFormat="1" x14ac:dyDescent="0.25">
      <c r="B8" s="1"/>
      <c r="K8" s="1"/>
      <c r="T8" s="1"/>
    </row>
    <row r="9" spans="1:25" s="2" customFormat="1" x14ac:dyDescent="0.25">
      <c r="B9" s="1"/>
      <c r="K9" s="1"/>
      <c r="T9" s="1"/>
    </row>
    <row r="10" spans="1:25" s="2" customFormat="1" x14ac:dyDescent="0.25">
      <c r="B10" s="1"/>
      <c r="K10" s="1"/>
      <c r="T10" s="1"/>
    </row>
    <row r="11" spans="1:25" s="2" customFormat="1" x14ac:dyDescent="0.25">
      <c r="B11" s="1"/>
    </row>
    <row r="12" spans="1:25" s="2" customFormat="1" x14ac:dyDescent="0.25">
      <c r="C12" s="3"/>
      <c r="D12" s="3"/>
      <c r="E12" s="3"/>
      <c r="F12" s="3"/>
      <c r="G12" s="3"/>
      <c r="H12" s="3"/>
      <c r="I12" s="3"/>
    </row>
    <row r="13" spans="1:25" s="2" customFormat="1" x14ac:dyDescent="0.25">
      <c r="C13" s="3"/>
      <c r="D13" s="3"/>
      <c r="E13" s="3"/>
      <c r="F13" s="3"/>
      <c r="G13" s="3"/>
      <c r="H13" s="3"/>
      <c r="I13" s="3"/>
    </row>
    <row r="14" spans="1:25" s="2" customFormat="1" x14ac:dyDescent="0.25">
      <c r="C14" s="3"/>
      <c r="D14" s="3"/>
      <c r="E14" s="3"/>
      <c r="F14" s="3"/>
      <c r="G14" s="3"/>
      <c r="H14" s="3"/>
      <c r="I14" s="3"/>
    </row>
    <row r="15" spans="1:25" s="2" customFormat="1" x14ac:dyDescent="0.25">
      <c r="C15" s="3"/>
      <c r="D15" s="3"/>
      <c r="E15" s="3"/>
      <c r="F15" s="3"/>
      <c r="G15" s="3"/>
      <c r="H15" s="3"/>
      <c r="I15" s="3"/>
    </row>
    <row r="16" spans="1:25" s="2" customFormat="1" x14ac:dyDescent="0.25">
      <c r="C16" s="3"/>
      <c r="D16" s="3"/>
      <c r="E16" s="3"/>
      <c r="F16" s="3"/>
      <c r="G16" s="3"/>
      <c r="H16" s="3"/>
      <c r="I16" s="3"/>
    </row>
    <row r="17" spans="1:25" s="2" customFormat="1" x14ac:dyDescent="0.25">
      <c r="C17" s="3"/>
      <c r="D17" s="3"/>
      <c r="E17" s="3"/>
      <c r="F17" s="3"/>
      <c r="G17" s="3"/>
      <c r="H17" s="3"/>
      <c r="I17" s="3"/>
    </row>
    <row r="18" spans="1:25" s="2" customFormat="1" x14ac:dyDescent="0.25">
      <c r="B18" s="1"/>
    </row>
    <row r="19" spans="1:25" s="2" customFormat="1" x14ac:dyDescent="0.25">
      <c r="B19" s="1"/>
    </row>
    <row r="20" spans="1:25" s="2" customFormat="1" x14ac:dyDescent="0.25">
      <c r="B20" s="1"/>
    </row>
    <row r="21" spans="1:25" s="2" customFormat="1" x14ac:dyDescent="0.25">
      <c r="B21" s="1"/>
    </row>
    <row r="22" spans="1:25" s="2" customFormat="1" x14ac:dyDescent="0.25">
      <c r="B22" s="1"/>
    </row>
    <row r="23" spans="1:25" s="2" customFormat="1" x14ac:dyDescent="0.25">
      <c r="B23" s="1"/>
    </row>
    <row r="24" spans="1:25" s="2" customFormat="1" x14ac:dyDescent="0.25">
      <c r="B24" s="1"/>
    </row>
    <row r="25" spans="1:25" s="2" customFormat="1" x14ac:dyDescent="0.25">
      <c r="B25" s="1"/>
    </row>
    <row r="26" spans="1:25" s="2" customFormat="1" x14ac:dyDescent="0.25">
      <c r="B26" s="1"/>
    </row>
    <row r="27" spans="1:25" s="2" customFormat="1" x14ac:dyDescent="0.25">
      <c r="A27" s="2" t="s">
        <v>94</v>
      </c>
      <c r="B27" s="1" t="s">
        <v>60</v>
      </c>
      <c r="C27" s="2" cm="1">
        <f t="array" aca="1" ref="C27:I27" ca="1">_xlfn.ANCHORARRAY(InitialGuess!B24)</f>
        <v>2.7167020134752897E-7</v>
      </c>
      <c r="D27" s="2">
        <f ca="1"/>
        <v>5.0000000000000001E-4</v>
      </c>
      <c r="E27" s="2">
        <f ca="1"/>
        <v>2.9999999969297257E-4</v>
      </c>
      <c r="F27" s="2">
        <f ca="1"/>
        <v>2.6915348039269101E-8</v>
      </c>
      <c r="G27" s="2">
        <f ca="1"/>
        <v>1</v>
      </c>
      <c r="H27" s="2">
        <f ca="1"/>
        <v>7.4293692479644037E-14</v>
      </c>
      <c r="I27" s="2">
        <f ca="1"/>
        <v>3.5474065863761704E-8</v>
      </c>
    </row>
    <row r="28" spans="1:25" s="2" customFormat="1" x14ac:dyDescent="0.25">
      <c r="B28" s="1" t="s">
        <v>62</v>
      </c>
      <c r="C28" s="2" cm="1">
        <f t="array" aca="1" ref="C28:Y28" ca="1">_xlfn.ANCHORARRAY(InitialGuess!B22)</f>
        <v>2.1553920527988089E-10</v>
      </c>
      <c r="D28" s="2">
        <f ca="1"/>
        <v>1.4589261761420652E-5</v>
      </c>
      <c r="E28" s="2">
        <f ca="1"/>
        <v>2.9998870991400925E-4</v>
      </c>
      <c r="F28" s="2">
        <f ca="1"/>
        <v>2.6915348039269101E-8</v>
      </c>
      <c r="G28" s="2">
        <f ca="1"/>
        <v>1</v>
      </c>
      <c r="H28" s="2">
        <f ca="1"/>
        <v>7.4293479865111799E-14</v>
      </c>
      <c r="I28" s="2">
        <f ca="1"/>
        <v>3.5063403097086579E-8</v>
      </c>
      <c r="J28" s="2">
        <f ca="1"/>
        <v>8.1721870235427361E-7</v>
      </c>
      <c r="K28" s="2">
        <f ca="1"/>
        <v>1.19756235842724E-10</v>
      </c>
      <c r="L28" s="2">
        <f ca="1"/>
        <v>1.4459896363093522E-13</v>
      </c>
      <c r="M28" s="2">
        <f ca="1"/>
        <v>2.1553920527988089E-10</v>
      </c>
      <c r="N28" s="2">
        <f ca="1"/>
        <v>1.4589261761420652E-5</v>
      </c>
      <c r="O28" s="2">
        <f ca="1"/>
        <v>0</v>
      </c>
      <c r="P28" s="2">
        <f ca="1"/>
        <v>2.6915348039269101E-8</v>
      </c>
      <c r="Q28" s="2">
        <f ca="1"/>
        <v>0</v>
      </c>
      <c r="R28" s="2">
        <f ca="1"/>
        <v>2.4183896594960635E-10</v>
      </c>
      <c r="S28" s="2">
        <f ca="1"/>
        <v>1.6241688899475227E-13</v>
      </c>
      <c r="T28" s="2">
        <f ca="1"/>
        <v>7.094972246091464E-8</v>
      </c>
      <c r="U28" s="2">
        <f ca="1"/>
        <v>5.1862573638623932E-13</v>
      </c>
      <c r="V28" s="2">
        <f ca="1"/>
        <v>9.4292462594461249E-17</v>
      </c>
      <c r="W28" s="2">
        <f ca="1"/>
        <v>1.9071301926067902E-13</v>
      </c>
      <c r="X28" s="2">
        <f ca="1"/>
        <v>1.057978831325635E-16</v>
      </c>
      <c r="Y28" s="2">
        <f ca="1"/>
        <v>2.1398352708612876E-13</v>
      </c>
    </row>
    <row r="29" spans="1:25" s="2" customFormat="1" x14ac:dyDescent="0.25">
      <c r="A29" s="2" t="s">
        <v>81</v>
      </c>
      <c r="B29" s="1" t="s">
        <v>9</v>
      </c>
      <c r="C29" s="2" cm="1">
        <f t="array" aca="1" ref="C29" ca="1">SUM(_xlfn.ANCHORARRAY(C28)*SpecCharge^2)*0.5</f>
        <v>1.6505565974151858E-4</v>
      </c>
    </row>
    <row r="30" spans="1:25" s="2" customFormat="1" x14ac:dyDescent="0.25">
      <c r="A30" s="2" t="s">
        <v>84</v>
      </c>
      <c r="B30" s="1" t="s">
        <v>66</v>
      </c>
      <c r="C30" s="2" cm="1">
        <f t="array" aca="1" ref="C30:Y30" ca="1">IF(SpecActCorr="Debye",10^(ABS(SpecCharge)^2*(-(0.27+0.0008*inputs!$B$17)*SQRT(C29))/(1+(3*ABS(SpecCharge)*0.33*SQRT(C29)))),1)</f>
        <v>0.94387948865654892</v>
      </c>
      <c r="D30" s="2">
        <f ca="1"/>
        <v>0.98548582124855444</v>
      </c>
      <c r="E30" s="2">
        <f ca="1"/>
        <v>0.98548582124855444</v>
      </c>
      <c r="F30" s="2">
        <f ca="1"/>
        <v>0.98548582124855444</v>
      </c>
      <c r="G30" s="2">
        <f ca="1"/>
        <v>1</v>
      </c>
      <c r="H30" s="2">
        <f ca="1"/>
        <v>1</v>
      </c>
      <c r="I30" s="2">
        <f ca="1"/>
        <v>1</v>
      </c>
      <c r="J30" s="2">
        <f ca="1"/>
        <v>0.98548582124855444</v>
      </c>
      <c r="K30" s="2">
        <f ca="1"/>
        <v>0.98548582124855444</v>
      </c>
      <c r="L30" s="2">
        <f ca="1"/>
        <v>0.98548582124855444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Q30" s="2">
        <f ca="1"/>
        <v>1</v>
      </c>
      <c r="R30" s="2">
        <f ca="1"/>
        <v>1</v>
      </c>
      <c r="S30" s="2">
        <f ca="1"/>
        <v>1</v>
      </c>
      <c r="T30" s="2">
        <f ca="1"/>
        <v>1</v>
      </c>
      <c r="U30" s="2">
        <f ca="1"/>
        <v>1</v>
      </c>
      <c r="V30" s="2">
        <f ca="1"/>
        <v>1</v>
      </c>
      <c r="W30" s="2">
        <f ca="1"/>
        <v>1</v>
      </c>
      <c r="X30" s="2">
        <f ca="1"/>
        <v>1</v>
      </c>
      <c r="Y30" s="2">
        <f ca="1"/>
        <v>1</v>
      </c>
    </row>
    <row r="31" spans="1:25" s="2" customFormat="1" x14ac:dyDescent="0.25">
      <c r="A31" s="2" t="s">
        <v>82</v>
      </c>
      <c r="B31" s="1" t="s">
        <v>62</v>
      </c>
      <c r="C31" s="2" cm="1">
        <f t="array" aca="1" ref="C31:Y31" ca="1">OFFSET(inputs!$B$53,0,0,1,inputs!$B$2)*TRANSPOSE(_xlfn.BYROW(C28:I28^SpecStoich,_xlfn.LAMBDA(_xlpm.array, PRODUCT(_xlpm.array))))</f>
        <v>2.1553920527988089E-10</v>
      </c>
      <c r="D31" s="2">
        <f ca="1"/>
        <v>1.4589261761420652E-5</v>
      </c>
      <c r="E31" s="2">
        <f ca="1"/>
        <v>2.9998870991400925E-4</v>
      </c>
      <c r="F31" s="2">
        <f ca="1"/>
        <v>2.6915348039269101E-8</v>
      </c>
      <c r="G31" s="2">
        <f ca="1"/>
        <v>1</v>
      </c>
      <c r="H31" s="2">
        <f ca="1"/>
        <v>7.4293479865111799E-14</v>
      </c>
      <c r="I31" s="2">
        <f ca="1"/>
        <v>3.5063403097086579E-8</v>
      </c>
      <c r="J31" s="2">
        <f ca="1"/>
        <v>8.1721870235427361E-7</v>
      </c>
      <c r="K31" s="2">
        <f ca="1"/>
        <v>1.19756235842724E-10</v>
      </c>
      <c r="L31" s="2">
        <f ca="1"/>
        <v>1.4459896363093522E-13</v>
      </c>
      <c r="M31" s="2">
        <f ca="1"/>
        <v>2.1553920527988089E-10</v>
      </c>
      <c r="N31" s="2">
        <f ca="1"/>
        <v>1.4589261761420652E-5</v>
      </c>
      <c r="O31" s="2">
        <f ca="1"/>
        <v>2.9998870991400925E-4</v>
      </c>
      <c r="P31" s="2">
        <f ca="1"/>
        <v>2.6915348039269101E-8</v>
      </c>
      <c r="Q31" s="2">
        <f ca="1"/>
        <v>3.7411058827205255E-7</v>
      </c>
      <c r="R31" s="2">
        <f ca="1"/>
        <v>2.4183896594960635E-10</v>
      </c>
      <c r="S31" s="2">
        <f ca="1"/>
        <v>1.6241688899475227E-13</v>
      </c>
      <c r="T31" s="2">
        <f ca="1"/>
        <v>7.094972246091464E-8</v>
      </c>
      <c r="U31" s="2">
        <f ca="1"/>
        <v>5.1862573638623932E-13</v>
      </c>
      <c r="V31" s="2">
        <f ca="1"/>
        <v>9.4292462594461249E-17</v>
      </c>
      <c r="W31" s="2">
        <f ca="1"/>
        <v>1.9071301926067902E-13</v>
      </c>
      <c r="X31" s="2">
        <f ca="1"/>
        <v>1.057978831325635E-16</v>
      </c>
      <c r="Y31" s="2">
        <f ca="1"/>
        <v>2.1398352708612876E-13</v>
      </c>
    </row>
    <row r="32" spans="1:25" s="2" customFormat="1" x14ac:dyDescent="0.25">
      <c r="B32" s="1" t="s">
        <v>72</v>
      </c>
      <c r="C32" s="2" cm="1">
        <f t="array" aca="1" ref="C32:Y32" ca="1">_xlfn.ANCHORARRAY(C31)*OFFSET(inputs!$B$14,0,0,1,inputs!$B$2)</f>
        <v>2.1553920527988089E-10</v>
      </c>
      <c r="D32" s="2">
        <f ca="1"/>
        <v>1.4589261761420652E-5</v>
      </c>
      <c r="E32" s="2">
        <f ca="1"/>
        <v>2.9998870991400925E-4</v>
      </c>
      <c r="F32" s="2">
        <f ca="1"/>
        <v>2.6915348039269101E-8</v>
      </c>
      <c r="G32" s="2">
        <f ca="1"/>
        <v>1</v>
      </c>
      <c r="H32" s="2">
        <f ca="1"/>
        <v>7.4293479865111799E-14</v>
      </c>
      <c r="I32" s="2">
        <f ca="1"/>
        <v>3.5063403097086579E-8</v>
      </c>
      <c r="J32" s="2">
        <f ca="1"/>
        <v>8.1721870235427361E-7</v>
      </c>
      <c r="K32" s="2">
        <f ca="1"/>
        <v>1.19756235842724E-10</v>
      </c>
      <c r="L32" s="2">
        <f ca="1"/>
        <v>1.4459896363093522E-13</v>
      </c>
      <c r="M32" s="2">
        <f ca="1"/>
        <v>2.1553920527988089E-10</v>
      </c>
      <c r="N32" s="2">
        <f ca="1"/>
        <v>1.4589261761420652E-5</v>
      </c>
      <c r="O32" s="2">
        <f ca="1"/>
        <v>2.9998870991400925E-4</v>
      </c>
      <c r="P32" s="2">
        <f ca="1"/>
        <v>2.6915348039269101E-8</v>
      </c>
      <c r="Q32" s="2">
        <f ca="1"/>
        <v>3.7411058827205255E-7</v>
      </c>
      <c r="R32" s="2">
        <f ca="1"/>
        <v>2.4183896594960635E-10</v>
      </c>
      <c r="S32" s="2">
        <f ca="1"/>
        <v>1.6241688899475227E-13</v>
      </c>
      <c r="T32" s="2">
        <f ca="1"/>
        <v>7.094972246091464E-8</v>
      </c>
      <c r="U32" s="2">
        <f ca="1"/>
        <v>5.1862573638623932E-13</v>
      </c>
      <c r="V32" s="2">
        <f ca="1"/>
        <v>9.4292462594461249E-17</v>
      </c>
      <c r="W32" s="2">
        <f ca="1"/>
        <v>1.9071301926067902E-13</v>
      </c>
      <c r="X32" s="2">
        <f ca="1"/>
        <v>1.057978831325635E-16</v>
      </c>
      <c r="Y32" s="2">
        <f ca="1"/>
        <v>2.1398352708612876E-13</v>
      </c>
    </row>
    <row r="33" spans="1:25" s="2" customFormat="1" x14ac:dyDescent="0.25">
      <c r="A33" s="2" t="s">
        <v>81</v>
      </c>
      <c r="B33" s="1" t="s">
        <v>9</v>
      </c>
      <c r="C33" s="2" cm="1">
        <f t="array" aca="1" ref="C33" ca="1">SUM(_xlfn.ANCHORARRAY(C31)*SpecCharge^2)*0.5</f>
        <v>3.152370699926593E-4</v>
      </c>
    </row>
    <row r="34" spans="1:25" s="2" customFormat="1" x14ac:dyDescent="0.25">
      <c r="A34" s="2" t="s">
        <v>83</v>
      </c>
      <c r="B34" s="1" t="s">
        <v>67</v>
      </c>
      <c r="C34" s="2" cm="1">
        <f t="array" aca="1" ref="C34" ca="1">IFERROR(SUM(_xlfn._xlws.FILTER(_xlfn.ANCHORARRAY(C30)*SpecCharge,SpecActCorr="WHAMHA")),0)</f>
        <v>0</v>
      </c>
      <c r="D34" s="2" cm="1">
        <f t="array" aca="1" ref="D34" ca="1">IFERROR(SUM(_xlfn._xlws.FILTER(_xlfn.ANCHORARRAY(C32)*SpecCharge,SpecActCorr="WHAMFA")),0)</f>
        <v>-7.0950050279339309E-8</v>
      </c>
    </row>
    <row r="35" spans="1:25" s="2" customFormat="1" x14ac:dyDescent="0.25">
      <c r="A35" s="2" t="s">
        <v>85</v>
      </c>
      <c r="B35" s="1" t="s">
        <v>68</v>
      </c>
      <c r="C35" s="2" cm="1">
        <f t="array" aca="1" ref="C35:Y35" ca="1">OFFSET(inputs!$B$53,0,0,1,inputs!$B$2)*IF(SpecActCorr="WHAMFA",EXP(2*inputs!$C$26*LOG10(C33)*D34*ABS(SpecCharge)),IF(SpecActCorr="WHAMHA",EXP(2*inputs!$C$26*LOG10(C33)*C34*ABS(SpecCharge)),1))</f>
        <v>1</v>
      </c>
      <c r="D35" s="2">
        <f ca="1"/>
        <v>1</v>
      </c>
      <c r="E35" s="2">
        <f ca="1"/>
        <v>1</v>
      </c>
      <c r="F35" s="2">
        <f ca="1"/>
        <v>1</v>
      </c>
      <c r="G35" s="2">
        <f ca="1"/>
        <v>1</v>
      </c>
      <c r="H35" s="2">
        <f ca="1"/>
        <v>1</v>
      </c>
      <c r="I35" s="2">
        <f ca="1"/>
        <v>1</v>
      </c>
      <c r="J35" s="2">
        <f ca="1"/>
        <v>2.1995725798065139E-14</v>
      </c>
      <c r="K35" s="2">
        <f ca="1"/>
        <v>1.4954498711240171E-8</v>
      </c>
      <c r="L35" s="2">
        <f ca="1"/>
        <v>2.2363202312453416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1</v>
      </c>
      <c r="Q35" s="2">
        <f ca="1"/>
        <v>1.0069316688518E-14</v>
      </c>
      <c r="R35" s="2">
        <f ca="1"/>
        <v>3.0199517204020201E-8</v>
      </c>
      <c r="S35" s="2">
        <f ca="1"/>
        <v>2.5118864315095801</v>
      </c>
      <c r="T35" s="2">
        <f ca="1"/>
        <v>2.5702642463788429E-2</v>
      </c>
      <c r="U35" s="2">
        <f ca="1"/>
        <v>3.9808679797881199E-13</v>
      </c>
      <c r="V35" s="2">
        <f ca="1"/>
        <v>0.15848120877804625</v>
      </c>
      <c r="W35" s="2">
        <f ca="1"/>
        <v>6.7916887532629524E-4</v>
      </c>
      <c r="X35" s="2">
        <f ca="1"/>
        <v>4.7863009232263802E-9</v>
      </c>
      <c r="Y35" s="2">
        <f ca="1"/>
        <v>2.0511621788255701E-11</v>
      </c>
    </row>
    <row r="36" spans="1:25" s="2" customFormat="1" x14ac:dyDescent="0.25">
      <c r="A36" s="2" t="s">
        <v>86</v>
      </c>
      <c r="B36" s="1" t="s">
        <v>70</v>
      </c>
      <c r="C36" s="2" cm="1">
        <f t="array" aca="1" ref="C36:D36" ca="1">((1000*((6.022E+23)/inputs!$B$24:$C$24)*(4*PI()/3)*(((inputs!$B$25:$C$25+(0.000000000304 / SQRT(C33)))^3)-((inputs!$B$25:$C$25)^3)))*inputs!$B$20*ABS(C34:D34))/(1+inputs!$B$20*ABS(C34:D34))*inputs!$B$23:$C$23*inputs!$B$24:$C$24</f>
        <v>0</v>
      </c>
      <c r="D36" s="2">
        <f ca="1"/>
        <v>1.0962686477058136E-7</v>
      </c>
    </row>
    <row r="37" spans="1:25" s="2" customFormat="1" x14ac:dyDescent="0.25">
      <c r="A37" s="2" t="s">
        <v>86</v>
      </c>
      <c r="B37" s="1" t="s">
        <v>71</v>
      </c>
      <c r="C37" s="2" cm="1">
        <f t="array" aca="1" ref="C37:D37" ca="1">inputs!$B$19/(inputs!$B$19+SUM(_xlfn.ANCHORARRAY(C36)))*_xlfn.ANCHORARRAY(C36)</f>
        <v>0</v>
      </c>
      <c r="D37" s="2">
        <f ca="1"/>
        <v>1.0962681669840453E-7</v>
      </c>
    </row>
    <row r="38" spans="1:25" s="2" customFormat="1" x14ac:dyDescent="0.25">
      <c r="A38" s="2" t="s">
        <v>86</v>
      </c>
      <c r="B38" s="1" t="s">
        <v>69</v>
      </c>
      <c r="C38" s="2" cm="1">
        <f t="array" aca="1" ref="C38:Y38" ca="1">IF(SpecActCorr="DonnanHA",C37,IF(SpecActCorr="DonnanFA",D37,IF(OR(SpecActCorr="WHAMHA",SpecActCorr="WHAMFA"),OFFSET(inputs!$B$14,0,0,1,inputs!$B$2),OFFSET(inputs!$B$14,0,0,1,inputs!$B$2)-SUM(_xlfn.ANCHORARRAY(C37)))))</f>
        <v>1</v>
      </c>
      <c r="D38" s="2">
        <f ca="1"/>
        <v>1</v>
      </c>
      <c r="E38" s="2">
        <f ca="1"/>
        <v>1</v>
      </c>
      <c r="F38" s="2">
        <f ca="1"/>
        <v>1</v>
      </c>
      <c r="G38" s="2">
        <f ca="1"/>
        <v>1.0962681669840453E-7</v>
      </c>
      <c r="H38" s="2">
        <f ca="1"/>
        <v>1</v>
      </c>
      <c r="I38" s="2">
        <f ca="1"/>
        <v>1</v>
      </c>
      <c r="J38" s="2">
        <f ca="1"/>
        <v>1</v>
      </c>
      <c r="K38" s="2">
        <f ca="1"/>
        <v>1</v>
      </c>
      <c r="L38" s="2">
        <f ca="1"/>
        <v>1</v>
      </c>
      <c r="M38" s="2">
        <f ca="1"/>
        <v>1.0962681669840453E-7</v>
      </c>
      <c r="N38" s="2">
        <f ca="1"/>
        <v>1.0962681669840453E-7</v>
      </c>
      <c r="O38" s="2">
        <f ca="1"/>
        <v>1.0962681669840453E-7</v>
      </c>
      <c r="P38" s="2">
        <f ca="1"/>
        <v>1.0962681669840453E-7</v>
      </c>
      <c r="Q38" s="2">
        <f ca="1"/>
        <v>1.0962681669840453E-7</v>
      </c>
      <c r="R38" s="2">
        <f ca="1"/>
        <v>1.0962681669840453E-7</v>
      </c>
      <c r="S38" s="2">
        <f ca="1"/>
        <v>1.0962681669840453E-7</v>
      </c>
      <c r="T38" s="2">
        <f ca="1"/>
        <v>1</v>
      </c>
      <c r="U38" s="2">
        <f ca="1"/>
        <v>1</v>
      </c>
      <c r="V38" s="2">
        <f ca="1"/>
        <v>1</v>
      </c>
      <c r="W38" s="2">
        <f ca="1"/>
        <v>1</v>
      </c>
      <c r="X38" s="2">
        <f ca="1"/>
        <v>1</v>
      </c>
      <c r="Y38" s="2">
        <f ca="1"/>
        <v>1</v>
      </c>
    </row>
    <row r="39" spans="1:25" s="2" customFormat="1" x14ac:dyDescent="0.25">
      <c r="A39" s="2" t="s">
        <v>87</v>
      </c>
      <c r="B39" s="1" t="s">
        <v>62</v>
      </c>
      <c r="C39" s="2" cm="1">
        <f t="array" aca="1" ref="C39:Y39" ca="1">IF((SpecActCorr="DonnanFA")*(SIGN(_xlfn.SEQUENCE(1,inputs!$B$2,D34,0))=SIGN(SpecCharge)),0,OFFSET(C31,0,0,1,inputs!$B$2))</f>
        <v>2.1553920527988089E-10</v>
      </c>
      <c r="D39" s="2">
        <f ca="1"/>
        <v>1.4589261761420652E-5</v>
      </c>
      <c r="E39" s="2">
        <f ca="1"/>
        <v>2.9998870991400925E-4</v>
      </c>
      <c r="F39" s="2">
        <f ca="1"/>
        <v>2.6915348039269101E-8</v>
      </c>
      <c r="G39" s="2">
        <f ca="1"/>
        <v>1</v>
      </c>
      <c r="H39" s="2">
        <f ca="1"/>
        <v>7.4293479865111799E-14</v>
      </c>
      <c r="I39" s="2">
        <f ca="1"/>
        <v>3.5063403097086579E-8</v>
      </c>
      <c r="J39" s="2">
        <f ca="1"/>
        <v>8.1721870235427361E-7</v>
      </c>
      <c r="K39" s="2">
        <f ca="1"/>
        <v>1.19756235842724E-10</v>
      </c>
      <c r="L39" s="2">
        <f ca="1"/>
        <v>1.4459896363093522E-13</v>
      </c>
      <c r="M39" s="2">
        <f ca="1"/>
        <v>2.1553920527988089E-10</v>
      </c>
      <c r="N39" s="2">
        <f ca="1"/>
        <v>1.4589261761420652E-5</v>
      </c>
      <c r="O39" s="2">
        <f ca="1"/>
        <v>0</v>
      </c>
      <c r="P39" s="2">
        <f ca="1"/>
        <v>2.6915348039269101E-8</v>
      </c>
      <c r="Q39" s="2">
        <f ca="1"/>
        <v>0</v>
      </c>
      <c r="R39" s="2">
        <f ca="1"/>
        <v>2.4183896594960635E-10</v>
      </c>
      <c r="S39" s="2">
        <f ca="1"/>
        <v>1.6241688899475227E-13</v>
      </c>
      <c r="T39" s="2">
        <f ca="1"/>
        <v>7.094972246091464E-8</v>
      </c>
      <c r="U39" s="2">
        <f ca="1"/>
        <v>5.1862573638623932E-13</v>
      </c>
      <c r="V39" s="2">
        <f ca="1"/>
        <v>9.4292462594461249E-17</v>
      </c>
      <c r="W39" s="2">
        <f ca="1"/>
        <v>1.9071301926067902E-13</v>
      </c>
      <c r="X39" s="2">
        <f ca="1"/>
        <v>1.057978831325635E-16</v>
      </c>
      <c r="Y39" s="2">
        <f ca="1"/>
        <v>2.1398352708612876E-13</v>
      </c>
    </row>
    <row r="40" spans="1:25" s="2" customFormat="1" x14ac:dyDescent="0.25">
      <c r="B40" s="1" t="s">
        <v>72</v>
      </c>
      <c r="C40" s="2" cm="1">
        <f t="array" aca="1" ref="C40:Y40" ca="1">_xlfn.ANCHORARRAY(C39)*_xlfn.ANCHORARRAY(C38)</f>
        <v>2.1553920527988089E-10</v>
      </c>
      <c r="D40" s="2">
        <f ca="1"/>
        <v>1.4589261761420652E-5</v>
      </c>
      <c r="E40" s="2">
        <f ca="1"/>
        <v>2.9998870991400925E-4</v>
      </c>
      <c r="F40" s="2">
        <f ca="1"/>
        <v>2.6915348039269101E-8</v>
      </c>
      <c r="G40" s="2">
        <f ca="1"/>
        <v>1.0962681669840453E-7</v>
      </c>
      <c r="H40" s="2">
        <f ca="1"/>
        <v>7.4293479865111799E-14</v>
      </c>
      <c r="I40" s="2">
        <f ca="1"/>
        <v>3.5063403097086579E-8</v>
      </c>
      <c r="J40" s="2">
        <f ca="1"/>
        <v>8.1721870235427361E-7</v>
      </c>
      <c r="K40" s="2">
        <f ca="1"/>
        <v>1.19756235842724E-10</v>
      </c>
      <c r="L40" s="2">
        <f ca="1"/>
        <v>1.4459896363093522E-13</v>
      </c>
      <c r="M40" s="2">
        <f ca="1"/>
        <v>2.3628876948537287E-17</v>
      </c>
      <c r="N40" s="2">
        <f ca="1"/>
        <v>1.5993743248843041E-12</v>
      </c>
      <c r="O40" s="2">
        <f ca="1"/>
        <v>0</v>
      </c>
      <c r="P40" s="2">
        <f ca="1"/>
        <v>2.9506439258747152E-15</v>
      </c>
      <c r="Q40" s="2">
        <f ca="1"/>
        <v>0</v>
      </c>
      <c r="R40" s="2">
        <f ca="1"/>
        <v>2.6512035990689188E-17</v>
      </c>
      <c r="S40" s="2">
        <f ca="1"/>
        <v>1.7805246518552823E-20</v>
      </c>
      <c r="T40" s="2">
        <f ca="1"/>
        <v>7.094972246091464E-8</v>
      </c>
      <c r="U40" s="2">
        <f ca="1"/>
        <v>5.1862573638623932E-13</v>
      </c>
      <c r="V40" s="2">
        <f ca="1"/>
        <v>9.4292462594461249E-17</v>
      </c>
      <c r="W40" s="2">
        <f ca="1"/>
        <v>1.9071301926067902E-13</v>
      </c>
      <c r="X40" s="2">
        <f ca="1"/>
        <v>1.057978831325635E-16</v>
      </c>
      <c r="Y40" s="2">
        <f ca="1"/>
        <v>2.1398352708612876E-13</v>
      </c>
    </row>
    <row r="41" spans="1:25" s="2" customFormat="1" x14ac:dyDescent="0.25">
      <c r="A41" s="2" t="s">
        <v>87</v>
      </c>
      <c r="B41" s="6" t="s">
        <v>96</v>
      </c>
      <c r="C41" s="7" cm="1">
        <f t="array" aca="1" ref="C41:I41" ca="1">IF(OFFSET(inputs!$B$5,0,0,1,inputs!$B$1)="DonnanFA",-D34,OFFSET(inputs!$B$15,0,0,1,inputs!$B$1)*OFFSET(C38,0,0,1,inputs!$B$1))</f>
        <v>9.9999999999999995E-7</v>
      </c>
      <c r="D41" s="7">
        <f ca="1"/>
        <v>1E-3</v>
      </c>
      <c r="E41" s="7">
        <f ca="1"/>
        <v>2.9999999999999997E-4</v>
      </c>
      <c r="F41" s="7">
        <f ca="1"/>
        <v>2.6915348039269101E-8</v>
      </c>
      <c r="G41" s="7">
        <f ca="1"/>
        <v>7.0950050279339309E-8</v>
      </c>
      <c r="H41" s="7">
        <f ca="1"/>
        <v>7.0949999999999997E-8</v>
      </c>
      <c r="I41" s="7">
        <f ca="1"/>
        <v>3.5474999999999998E-8</v>
      </c>
    </row>
    <row r="42" spans="1:25" s="2" customFormat="1" x14ac:dyDescent="0.25">
      <c r="A42" s="2" t="s">
        <v>88</v>
      </c>
      <c r="B42" s="8" t="s">
        <v>56</v>
      </c>
      <c r="C42" s="9" cm="1">
        <f t="array" aca="1" ref="C42:I42" ca="1">IF(OFFSET(inputs!$B$6,0,0,1,inputs!$B$1)="FixedAct",MMULT((_xlfn.ANCHORARRAY(C39)*_xlfn.ANCHORARRAY(C38)),SpecStoich),IF(OFFSET(inputs!$B$5,0,0,1,inputs!$B$1)="DonnanFA",-D34,_xlfn.ANCHORARRAY(C41)))</f>
        <v>9.9999999999999995E-7</v>
      </c>
      <c r="D42" s="9">
        <f ca="1"/>
        <v>1E-3</v>
      </c>
      <c r="E42" s="9">
        <f ca="1"/>
        <v>2.9999999999999997E-4</v>
      </c>
      <c r="F42" s="9">
        <f ca="1"/>
        <v>-8.6137396769932812E-7</v>
      </c>
      <c r="G42" s="9">
        <f ca="1"/>
        <v>7.0950050279339309E-8</v>
      </c>
      <c r="H42" s="9">
        <f ca="1"/>
        <v>7.0949999999999997E-8</v>
      </c>
      <c r="I42" s="9">
        <f ca="1"/>
        <v>3.5474999999999998E-8</v>
      </c>
    </row>
    <row r="43" spans="1:25" s="2" customFormat="1" x14ac:dyDescent="0.25">
      <c r="B43" s="1" t="s">
        <v>7</v>
      </c>
      <c r="C43" s="2" cm="1">
        <f t="array" aca="1" ref="C43:I43" ca="1">_xlfn.ANCHORARRAY(C42)*OFFSET(C38,0,0,1,inputs!$B$1)</f>
        <v>9.9999999999999995E-7</v>
      </c>
      <c r="D43" s="2">
        <f ca="1"/>
        <v>1E-3</v>
      </c>
      <c r="E43" s="2">
        <f ca="1"/>
        <v>2.9999999999999997E-4</v>
      </c>
      <c r="F43" s="2">
        <f ca="1"/>
        <v>-8.6137396769932812E-7</v>
      </c>
      <c r="G43" s="2">
        <f ca="1"/>
        <v>7.7780281567157159E-15</v>
      </c>
      <c r="H43" s="2">
        <f ca="1"/>
        <v>7.0949999999999997E-8</v>
      </c>
      <c r="I43" s="2">
        <f ca="1"/>
        <v>3.5474999999999998E-8</v>
      </c>
    </row>
    <row r="44" spans="1:25" s="2" customFormat="1" x14ac:dyDescent="0.25">
      <c r="A44" s="2" t="s">
        <v>89</v>
      </c>
      <c r="B44" s="1" t="s">
        <v>73</v>
      </c>
      <c r="C44" s="2" cm="1">
        <f t="array" aca="1" ref="C44:I44" ca="1">MMULT(_xlfn.ANCHORARRAY(C40),SpecStoich)</f>
        <v>3.358449868816465E-10</v>
      </c>
      <c r="D44" s="2">
        <f ca="1"/>
        <v>1.4589263360794976E-5</v>
      </c>
      <c r="E44" s="2">
        <f ca="1"/>
        <v>2.9998871005860821E-4</v>
      </c>
      <c r="F44" s="2">
        <f ca="1"/>
        <v>-8.6137396769932812E-7</v>
      </c>
      <c r="G44" s="2">
        <f ca="1"/>
        <v>1.6023987564053131E-12</v>
      </c>
      <c r="H44" s="2">
        <f ca="1"/>
        <v>7.0949796954484845E-8</v>
      </c>
      <c r="I44" s="2">
        <f ca="1"/>
        <v>3.5064326419369308E-8</v>
      </c>
    </row>
    <row r="45" spans="1:25" s="2" customFormat="1" x14ac:dyDescent="0.25">
      <c r="A45" s="2" t="s">
        <v>89</v>
      </c>
      <c r="B45" s="1" t="s">
        <v>5</v>
      </c>
      <c r="C45" s="2" cm="1">
        <f t="array" aca="1" ref="C45:I45" ca="1">_xlfn.ANCHORARRAY(C44)/OFFSET(C38,0,0,1,inputs!$B$1)</f>
        <v>3.358449868816465E-10</v>
      </c>
      <c r="D45" s="2">
        <f ca="1"/>
        <v>1.4589263360794976E-5</v>
      </c>
      <c r="E45" s="2">
        <f ca="1"/>
        <v>2.9998871005860821E-4</v>
      </c>
      <c r="F45" s="2">
        <f ca="1"/>
        <v>-8.6137396769932812E-7</v>
      </c>
      <c r="G45" s="2">
        <f ca="1"/>
        <v>1.4616850189253319E-5</v>
      </c>
      <c r="H45" s="2">
        <f ca="1"/>
        <v>7.0949796954484845E-8</v>
      </c>
      <c r="I45" s="2">
        <f ca="1"/>
        <v>3.5064326419369308E-8</v>
      </c>
    </row>
    <row r="46" spans="1:25" s="2" customFormat="1" x14ac:dyDescent="0.25">
      <c r="A46" s="2" t="s">
        <v>90</v>
      </c>
      <c r="B46" s="1" t="s">
        <v>6</v>
      </c>
      <c r="C46" s="2" cm="1">
        <f t="array" aca="1" ref="C46:I46" ca="1">IF(OFFSET(inputs!$B$6,0,0,1,inputs!$B$1)="FixedAct",0,_xlfn.ANCHORARRAY(C44)-_xlfn.ANCHORARRAY(C42))</f>
        <v>-9.9966415501311824E-7</v>
      </c>
      <c r="D46" s="2">
        <f ca="1"/>
        <v>-9.8541073663920508E-4</v>
      </c>
      <c r="E46" s="2">
        <f ca="1"/>
        <v>-1.128994139176125E-8</v>
      </c>
      <c r="F46" s="2">
        <f ca="1"/>
        <v>0</v>
      </c>
      <c r="G46" s="2">
        <f ca="1"/>
        <v>-7.0948447880582905E-8</v>
      </c>
      <c r="H46" s="2">
        <f ca="1"/>
        <v>-2.0304551515182943E-13</v>
      </c>
      <c r="I46" s="2">
        <f ca="1"/>
        <v>-4.1067358063069049E-10</v>
      </c>
    </row>
    <row r="47" spans="1:25" s="2" customFormat="1" x14ac:dyDescent="0.25">
      <c r="A47" s="2" t="s">
        <v>90</v>
      </c>
      <c r="B47" s="1" t="s">
        <v>74</v>
      </c>
      <c r="C47" s="2" cm="1">
        <f t="array" aca="1" ref="C47:I47" ca="1">ABS(_xlfn.ANCHORARRAY(C46)/_xlfn.ANCHORARRAY(C42))</f>
        <v>0.99966415501311834</v>
      </c>
      <c r="D47" s="2">
        <f ca="1"/>
        <v>0.98541073663920509</v>
      </c>
      <c r="E47" s="2">
        <f ca="1"/>
        <v>3.7633137972537499E-5</v>
      </c>
      <c r="F47" s="2">
        <f ca="1"/>
        <v>0</v>
      </c>
      <c r="G47" s="2">
        <f ca="1"/>
        <v>0.99997741511457572</v>
      </c>
      <c r="H47" s="2">
        <f ca="1"/>
        <v>2.8618113481582727E-6</v>
      </c>
      <c r="I47" s="2">
        <f ca="1"/>
        <v>1.1576422286982115E-2</v>
      </c>
    </row>
    <row r="48" spans="1:25" s="2" customFormat="1" x14ac:dyDescent="0.25">
      <c r="A48" s="2" t="s">
        <v>91</v>
      </c>
      <c r="B48" s="1" t="s">
        <v>4</v>
      </c>
      <c r="C48" s="2">
        <f ca="1">MAX(_xlfn.ANCHORARRAY(C47))</f>
        <v>0.99997741511457572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CF58-0370-40E1-B934-1ECC70B2C00F}">
  <dimension ref="A1:Y48"/>
  <sheetViews>
    <sheetView workbookViewId="0">
      <selection activeCell="J21" sqref="J21"/>
    </sheetView>
  </sheetViews>
  <sheetFormatPr defaultRowHeight="15" x14ac:dyDescent="0.25"/>
  <cols>
    <col min="1" max="1" width="23.5703125" bestFit="1" customWidth="1"/>
    <col min="2" max="2" width="20.28515625" bestFit="1" customWidth="1"/>
  </cols>
  <sheetData>
    <row r="1" spans="1:25" x14ac:dyDescent="0.25">
      <c r="A1" s="15" t="s">
        <v>95</v>
      </c>
      <c r="B1" s="14">
        <v>1</v>
      </c>
    </row>
    <row r="2" spans="1:25" s="2" customFormat="1" x14ac:dyDescent="0.25">
      <c r="B2" s="1"/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2" customFormat="1" x14ac:dyDescent="0.25">
      <c r="A3" s="2" t="s">
        <v>75</v>
      </c>
      <c r="B3" s="1" t="s">
        <v>92</v>
      </c>
      <c r="C3" s="2" cm="1">
        <f t="array" ref="C3:I3">_xlfn.SEQUENCE(1,inputs!$B$1,0,1)</f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K3" s="1"/>
      <c r="T3" s="1"/>
    </row>
    <row r="4" spans="1:25" s="2" customFormat="1" x14ac:dyDescent="0.25">
      <c r="B4" s="2" t="str" cm="1">
        <f t="array" aca="1" ref="B4:B10" ca="1">"d R."&amp;TRANSPOSE(OFFSET(inputs!$B$5,0,0,1,inputs!$B$1))&amp;"/"</f>
        <v>d R.Cu/</v>
      </c>
      <c r="C4" s="2" cm="1">
        <f t="array" aca="1" ref="C4:I10" ca="1">_xlfn.MAKEARRAY(inputs!$B$1,inputs!$B$1,_xlfn.LAMBDA(_xlpm.row,_xlpm.col, SUM(OFFSET(inputs!$B$29,0,_xlpm.row-1,inputs!$B$2,1)*OFFSET(inputs!$B$29,0,_xlpm.col-1,inputs!$B$2,1)*TRANSPOSE(_xlfn.ANCHORARRAY('Iter 0'!$C$17)*_xlfn.ANCHORARRAY('Iter 0'!$C$16)))/(OFFSET('Iter 0'!$C$17,0,_xlpm.col-1)*OFFSET('Iter 0'!$C$16,0,_xlpm.col-1))))</f>
        <v>1.5581837877750311</v>
      </c>
      <c r="D4" s="2">
        <f ca="1"/>
        <v>0</v>
      </c>
      <c r="E4" s="2">
        <f ca="1"/>
        <v>6.0754158737154442E-7</v>
      </c>
      <c r="F4" s="2">
        <f ca="1"/>
        <v>-5.6374018639823991</v>
      </c>
      <c r="G4" s="2">
        <f ca="1"/>
        <v>8.4836410349849023E-7</v>
      </c>
      <c r="H4" s="2">
        <f ca="1"/>
        <v>3.394619964618852</v>
      </c>
      <c r="I4" s="2">
        <f ca="1"/>
        <v>1.4547593631490207E-2</v>
      </c>
    </row>
    <row r="5" spans="1:25" s="2" customFormat="1" x14ac:dyDescent="0.25">
      <c r="B5" s="1" t="str">
        <f ca="1"/>
        <v>d R.Na/</v>
      </c>
      <c r="C5" s="2">
        <f ca="1"/>
        <v>0</v>
      </c>
      <c r="D5" s="2">
        <f ca="1"/>
        <v>1.0000000291199198</v>
      </c>
      <c r="E5" s="2">
        <f ca="1"/>
        <v>0</v>
      </c>
      <c r="F5" s="2">
        <f ca="1"/>
        <v>0</v>
      </c>
      <c r="G5" s="2">
        <f ca="1"/>
        <v>5.0000000000000001E-4</v>
      </c>
      <c r="H5" s="2">
        <f ca="1"/>
        <v>0</v>
      </c>
      <c r="I5" s="2">
        <f ca="1"/>
        <v>0</v>
      </c>
      <c r="K5" s="1"/>
      <c r="T5" s="1"/>
    </row>
    <row r="6" spans="1:25" s="2" customFormat="1" x14ac:dyDescent="0.25">
      <c r="B6" s="1" t="str">
        <f ca="1"/>
        <v>d R.Cl/</v>
      </c>
      <c r="C6" s="2">
        <f ca="1"/>
        <v>6.7089609063077018E-4</v>
      </c>
      <c r="D6" s="2">
        <f ca="1"/>
        <v>0</v>
      </c>
      <c r="E6" s="2">
        <f ca="1"/>
        <v>1.0000006075415875</v>
      </c>
      <c r="F6" s="2">
        <f ca="1"/>
        <v>0</v>
      </c>
      <c r="G6" s="2">
        <f ca="1"/>
        <v>2.0472140757358315E-10</v>
      </c>
      <c r="H6" s="2">
        <f ca="1"/>
        <v>0</v>
      </c>
      <c r="I6" s="2">
        <f ca="1"/>
        <v>0</v>
      </c>
      <c r="K6" s="1"/>
      <c r="T6" s="1"/>
    </row>
    <row r="7" spans="1:25" s="2" customFormat="1" x14ac:dyDescent="0.25">
      <c r="B7" s="1" t="str">
        <f ca="1"/>
        <v>d R.H/</v>
      </c>
      <c r="C7" s="2">
        <f ca="1"/>
        <v>-0.55851776327949021</v>
      </c>
      <c r="D7" s="2">
        <f ca="1"/>
        <v>0</v>
      </c>
      <c r="E7" s="2">
        <f ca="1"/>
        <v>0</v>
      </c>
      <c r="F7" s="2">
        <f ca="1"/>
        <v>39.65630079134111</v>
      </c>
      <c r="G7" s="2">
        <f ca="1"/>
        <v>-2.7790363135658955E-7</v>
      </c>
      <c r="H7" s="2">
        <f ca="1"/>
        <v>-954997.77554862166</v>
      </c>
      <c r="I7" s="2">
        <f ca="1"/>
        <v>-2.2254433051297928E-2</v>
      </c>
      <c r="K7" s="1"/>
      <c r="T7" s="1"/>
    </row>
    <row r="8" spans="1:25" s="2" customFormat="1" x14ac:dyDescent="0.25">
      <c r="B8" s="1" t="str">
        <f ca="1"/>
        <v>d R.DonnanFA/</v>
      </c>
      <c r="C8" s="2">
        <f ca="1"/>
        <v>9.0934870595807599E-8</v>
      </c>
      <c r="D8" s="2">
        <f ca="1"/>
        <v>2.9119919740119584E-8</v>
      </c>
      <c r="E8" s="2">
        <f ca="1"/>
        <v>1.9871569879093895E-14</v>
      </c>
      <c r="F8" s="2">
        <f ca="1"/>
        <v>-3.0066605227563037E-7</v>
      </c>
      <c r="G8" s="2">
        <f ca="1"/>
        <v>5.0141861985423283E-4</v>
      </c>
      <c r="H8" s="2">
        <f ca="1"/>
        <v>0</v>
      </c>
      <c r="I8" s="2">
        <f ca="1"/>
        <v>0</v>
      </c>
      <c r="K8" s="1"/>
      <c r="T8" s="1"/>
    </row>
    <row r="9" spans="1:25" s="2" customFormat="1" x14ac:dyDescent="0.25">
      <c r="B9" s="1" t="str">
        <f ca="1"/>
        <v>d R.DOC-FA_1H/</v>
      </c>
      <c r="C9" s="2">
        <f ca="1"/>
        <v>9.2832725299169806E-7</v>
      </c>
      <c r="D9" s="2">
        <f ca="1"/>
        <v>0</v>
      </c>
      <c r="E9" s="2">
        <f ca="1"/>
        <v>0</v>
      </c>
      <c r="F9" s="2">
        <f ca="1"/>
        <v>-2.6360540072466443</v>
      </c>
      <c r="G9" s="2">
        <f ca="1"/>
        <v>0</v>
      </c>
      <c r="H9" s="2">
        <f ca="1"/>
        <v>954996.98064140114</v>
      </c>
      <c r="I9" s="2">
        <f ca="1"/>
        <v>0</v>
      </c>
      <c r="K9" s="1"/>
      <c r="T9" s="1"/>
    </row>
    <row r="10" spans="1:25" s="2" customFormat="1" x14ac:dyDescent="0.25">
      <c r="B10" s="1" t="str">
        <f ca="1"/>
        <v>d R.DOC-FA_8H/</v>
      </c>
      <c r="C10" s="2">
        <f ca="1"/>
        <v>1.8995910927402781E-3</v>
      </c>
      <c r="D10" s="2">
        <f ca="1"/>
        <v>0</v>
      </c>
      <c r="E10" s="2">
        <f ca="1"/>
        <v>0</v>
      </c>
      <c r="F10" s="2">
        <f ca="1"/>
        <v>-2.9331042744482231E-2</v>
      </c>
      <c r="G10" s="2">
        <f ca="1"/>
        <v>0</v>
      </c>
      <c r="H10" s="2">
        <f ca="1"/>
        <v>0</v>
      </c>
      <c r="I10" s="2">
        <f ca="1"/>
        <v>1.014562384715372</v>
      </c>
      <c r="K10" s="1"/>
      <c r="T10" s="1"/>
    </row>
    <row r="11" spans="1:25" s="2" customFormat="1" x14ac:dyDescent="0.25">
      <c r="A11" s="2" t="s">
        <v>93</v>
      </c>
      <c r="B11" s="1" t="s">
        <v>77</v>
      </c>
      <c r="C11" s="2" cm="1">
        <f t="array" aca="1" ref="C11:H11" ca="1">_xlfn._xlws.FILTER(_xlfn.SEQUENCE(1,inputs!$B$1,0,1),OFFSET(inputs!$B$6,0,0,1,inputs!$B$1)&lt;&gt;"FixedAct")</f>
        <v>0</v>
      </c>
      <c r="D11" s="2">
        <f ca="1"/>
        <v>1</v>
      </c>
      <c r="E11" s="2">
        <f ca="1"/>
        <v>2</v>
      </c>
      <c r="F11" s="2">
        <f ca="1"/>
        <v>4</v>
      </c>
      <c r="G11" s="2">
        <f ca="1"/>
        <v>5</v>
      </c>
      <c r="H11" s="2">
        <f ca="1"/>
        <v>6</v>
      </c>
    </row>
    <row r="12" spans="1:25" s="2" customFormat="1" x14ac:dyDescent="0.25">
      <c r="B12" s="2" cm="1">
        <f t="array" aca="1" ref="B12:B17" ca="1">TRANSPOSE(_xlfn.ANCHORARRAY(C11))</f>
        <v>0</v>
      </c>
      <c r="C12" s="3">
        <f ca="1">IF(OFFSET(inputs!$B$6,0,C$11)="FixedAct",0,IF(OFFSET(inputs!$B$6,0,$B12)="FixedAct",0,C4))</f>
        <v>1.5581837877750311</v>
      </c>
      <c r="D12" s="3">
        <f ca="1">IF(OFFSET(inputs!$B$6,0,D$11)="FixedAct",0,IF(OFFSET(inputs!$B$6,0,$B12)="FixedAct",0,D4))</f>
        <v>0</v>
      </c>
      <c r="E12" s="3">
        <f ca="1">IF(OFFSET(inputs!$B$6,0,E$11)="FixedAct",0,IF(OFFSET(inputs!$B$6,0,$B12)="FixedAct",0,E4))</f>
        <v>6.0754158737154442E-7</v>
      </c>
      <c r="F12" s="3">
        <f ca="1">IF(OFFSET(inputs!$B$6,0,F$11)="FixedAct",0,IF(OFFSET(inputs!$B$6,0,$B12)="FixedAct",0,G4))</f>
        <v>8.4836410349849023E-7</v>
      </c>
      <c r="G12" s="3">
        <f ca="1">IF(OFFSET(inputs!$B$6,0,G$11)="FixedAct",0,IF(OFFSET(inputs!$B$6,0,$B12)="FixedAct",0,H4))</f>
        <v>3.394619964618852</v>
      </c>
      <c r="H12" s="3">
        <f ca="1">IF(OFFSET(inputs!$B$6,0,H$11)="FixedAct",0,IF(OFFSET(inputs!$B$6,0,$B12)="FixedAct",0,I4))</f>
        <v>1.4547593631490207E-2</v>
      </c>
      <c r="I12" s="3"/>
    </row>
    <row r="13" spans="1:25" s="2" customFormat="1" x14ac:dyDescent="0.25">
      <c r="B13" s="2">
        <f ca="1"/>
        <v>1</v>
      </c>
      <c r="C13" s="3">
        <f ca="1">IF(OFFSET(inputs!$B$6,0,C$11)="FixedAct",0,IF(OFFSET(inputs!$B$6,0,$B13)="FixedAct",0,C5))</f>
        <v>0</v>
      </c>
      <c r="D13" s="3">
        <f ca="1">IF(OFFSET(inputs!$B$6,0,D$11)="FixedAct",0,IF(OFFSET(inputs!$B$6,0,$B13)="FixedAct",0,D5))</f>
        <v>1.0000000291199198</v>
      </c>
      <c r="E13" s="3">
        <f ca="1">IF(OFFSET(inputs!$B$6,0,E$11)="FixedAct",0,IF(OFFSET(inputs!$B$6,0,$B13)="FixedAct",0,E5))</f>
        <v>0</v>
      </c>
      <c r="F13" s="3">
        <f ca="1">IF(OFFSET(inputs!$B$6,0,F$11)="FixedAct",0,IF(OFFSET(inputs!$B$6,0,$B13)="FixedAct",0,G5))</f>
        <v>5.0000000000000001E-4</v>
      </c>
      <c r="G13" s="3">
        <f ca="1">IF(OFFSET(inputs!$B$6,0,G$11)="FixedAct",0,IF(OFFSET(inputs!$B$6,0,$B13)="FixedAct",0,H5))</f>
        <v>0</v>
      </c>
      <c r="H13" s="3">
        <f ca="1">IF(OFFSET(inputs!$B$6,0,H$11)="FixedAct",0,IF(OFFSET(inputs!$B$6,0,$B13)="FixedAct",0,I5))</f>
        <v>0</v>
      </c>
      <c r="I13" s="3"/>
    </row>
    <row r="14" spans="1:25" s="2" customFormat="1" x14ac:dyDescent="0.25">
      <c r="B14" s="2">
        <f ca="1"/>
        <v>2</v>
      </c>
      <c r="C14" s="3">
        <f ca="1">IF(OFFSET(inputs!$B$6,0,C$11)="FixedAct",0,IF(OFFSET(inputs!$B$6,0,$B14)="FixedAct",0,C6))</f>
        <v>6.7089609063077018E-4</v>
      </c>
      <c r="D14" s="3">
        <f ca="1">IF(OFFSET(inputs!$B$6,0,D$11)="FixedAct",0,IF(OFFSET(inputs!$B$6,0,$B14)="FixedAct",0,D6))</f>
        <v>0</v>
      </c>
      <c r="E14" s="3">
        <f ca="1">IF(OFFSET(inputs!$B$6,0,E$11)="FixedAct",0,IF(OFFSET(inputs!$B$6,0,$B14)="FixedAct",0,E6))</f>
        <v>1.0000006075415875</v>
      </c>
      <c r="F14" s="3">
        <f ca="1">IF(OFFSET(inputs!$B$6,0,F$11)="FixedAct",0,IF(OFFSET(inputs!$B$6,0,$B14)="FixedAct",0,G6))</f>
        <v>2.0472140757358315E-10</v>
      </c>
      <c r="G14" s="3">
        <f ca="1">IF(OFFSET(inputs!$B$6,0,G$11)="FixedAct",0,IF(OFFSET(inputs!$B$6,0,$B14)="FixedAct",0,H6))</f>
        <v>0</v>
      </c>
      <c r="H14" s="3">
        <f ca="1">IF(OFFSET(inputs!$B$6,0,H$11)="FixedAct",0,IF(OFFSET(inputs!$B$6,0,$B14)="FixedAct",0,I6))</f>
        <v>0</v>
      </c>
      <c r="I14" s="3"/>
    </row>
    <row r="15" spans="1:25" s="2" customFormat="1" x14ac:dyDescent="0.25">
      <c r="B15" s="2">
        <f ca="1"/>
        <v>4</v>
      </c>
      <c r="C15" s="3">
        <f ca="1">IF(OFFSET(inputs!$B$6,0,C$11)="FixedAct",0,IF(OFFSET(inputs!$B$6,0,$B15)="FixedAct",0,C8))</f>
        <v>9.0934870595807599E-8</v>
      </c>
      <c r="D15" s="3">
        <f ca="1">IF(OFFSET(inputs!$B$6,0,D$11)="FixedAct",0,IF(OFFSET(inputs!$B$6,0,$B15)="FixedAct",0,D8))</f>
        <v>2.9119919740119584E-8</v>
      </c>
      <c r="E15" s="3">
        <f ca="1">IF(OFFSET(inputs!$B$6,0,E$11)="FixedAct",0,IF(OFFSET(inputs!$B$6,0,$B15)="FixedAct",0,E8))</f>
        <v>1.9871569879093895E-14</v>
      </c>
      <c r="F15" s="3">
        <f ca="1">IF(OFFSET(inputs!$B$6,0,F$11)="FixedAct",0,IF(OFFSET(inputs!$B$6,0,$B15)="FixedAct",0,G8))</f>
        <v>5.0141861985423283E-4</v>
      </c>
      <c r="G15" s="3">
        <f ca="1">IF(OFFSET(inputs!$B$6,0,G$11)="FixedAct",0,IF(OFFSET(inputs!$B$6,0,$B15)="FixedAct",0,H8))</f>
        <v>0</v>
      </c>
      <c r="H15" s="3">
        <f ca="1">IF(OFFSET(inputs!$B$6,0,H$11)="FixedAct",0,IF(OFFSET(inputs!$B$6,0,$B15)="FixedAct",0,I8))</f>
        <v>0</v>
      </c>
      <c r="I15" s="3"/>
    </row>
    <row r="16" spans="1:25" s="2" customFormat="1" x14ac:dyDescent="0.25">
      <c r="B16" s="2">
        <f ca="1"/>
        <v>5</v>
      </c>
      <c r="C16" s="3">
        <f ca="1">IF(OFFSET(inputs!$B$6,0,C$11)="FixedAct",0,IF(OFFSET(inputs!$B$6,0,$B16)="FixedAct",0,C9))</f>
        <v>9.2832725299169806E-7</v>
      </c>
      <c r="D16" s="3">
        <f ca="1">IF(OFFSET(inputs!$B$6,0,D$11)="FixedAct",0,IF(OFFSET(inputs!$B$6,0,$B16)="FixedAct",0,D9))</f>
        <v>0</v>
      </c>
      <c r="E16" s="3">
        <f ca="1">IF(OFFSET(inputs!$B$6,0,E$11)="FixedAct",0,IF(OFFSET(inputs!$B$6,0,$B16)="FixedAct",0,E9))</f>
        <v>0</v>
      </c>
      <c r="F16" s="3">
        <f ca="1">IF(OFFSET(inputs!$B$6,0,F$11)="FixedAct",0,IF(OFFSET(inputs!$B$6,0,$B16)="FixedAct",0,G9))</f>
        <v>0</v>
      </c>
      <c r="G16" s="3">
        <f ca="1">IF(OFFSET(inputs!$B$6,0,G$11)="FixedAct",0,IF(OFFSET(inputs!$B$6,0,$B16)="FixedAct",0,H9))</f>
        <v>954996.98064140114</v>
      </c>
      <c r="H16" s="3">
        <f ca="1">IF(OFFSET(inputs!$B$6,0,H$11)="FixedAct",0,IF(OFFSET(inputs!$B$6,0,$B16)="FixedAct",0,I9))</f>
        <v>0</v>
      </c>
      <c r="I16" s="3"/>
    </row>
    <row r="17" spans="1:25" s="2" customFormat="1" x14ac:dyDescent="0.25">
      <c r="B17" s="2">
        <f ca="1"/>
        <v>6</v>
      </c>
      <c r="C17" s="3">
        <f ca="1">IF(OFFSET(inputs!$B$6,0,C$11)="FixedAct",0,IF(OFFSET(inputs!$B$6,0,$B17)="FixedAct",0,C10))</f>
        <v>1.8995910927402781E-3</v>
      </c>
      <c r="D17" s="3">
        <f ca="1">IF(OFFSET(inputs!$B$6,0,D$11)="FixedAct",0,IF(OFFSET(inputs!$B$6,0,$B17)="FixedAct",0,D10))</f>
        <v>0</v>
      </c>
      <c r="E17" s="3">
        <f ca="1">IF(OFFSET(inputs!$B$6,0,E$11)="FixedAct",0,IF(OFFSET(inputs!$B$6,0,$B17)="FixedAct",0,E10))</f>
        <v>0</v>
      </c>
      <c r="F17" s="3">
        <f ca="1">IF(OFFSET(inputs!$B$6,0,F$11)="FixedAct",0,IF(OFFSET(inputs!$B$6,0,$B17)="FixedAct",0,G10))</f>
        <v>0</v>
      </c>
      <c r="G17" s="3">
        <f ca="1">IF(OFFSET(inputs!$B$6,0,G$11)="FixedAct",0,IF(OFFSET(inputs!$B$6,0,$B17)="FixedAct",0,H10))</f>
        <v>0</v>
      </c>
      <c r="H17" s="3">
        <f ca="1">IF(OFFSET(inputs!$B$6,0,H$11)="FixedAct",0,IF(OFFSET(inputs!$B$6,0,$B17)="FixedAct",0,I10))</f>
        <v>1.014562384715372</v>
      </c>
      <c r="I17" s="3"/>
    </row>
    <row r="18" spans="1:25" s="2" customFormat="1" x14ac:dyDescent="0.25">
      <c r="A18" s="2" t="s">
        <v>93</v>
      </c>
      <c r="B18" s="1" t="s">
        <v>78</v>
      </c>
      <c r="C18" s="2" cm="1">
        <f t="array" aca="1" ref="C18:H23" ca="1">MINVERSE(C12:H17)</f>
        <v>0.64178403665452688</v>
      </c>
      <c r="D18" s="2">
        <f ca="1"/>
        <v>3.1619930498018694E-11</v>
      </c>
      <c r="E18" s="2">
        <f ca="1"/>
        <v>-3.8991025547053548E-7</v>
      </c>
      <c r="F18" s="2">
        <f ca="1"/>
        <v>-1.0858522860289549E-3</v>
      </c>
      <c r="G18" s="2">
        <f ca="1"/>
        <v>-2.2812772688955724E-6</v>
      </c>
      <c r="H18" s="2">
        <f ca="1"/>
        <v>-9.2024044110867887E-3</v>
      </c>
    </row>
    <row r="19" spans="1:25" s="2" customFormat="1" x14ac:dyDescent="0.25">
      <c r="B19" s="1"/>
      <c r="C19" s="2">
        <f ca="1"/>
        <v>5.8195433914317117E-8</v>
      </c>
      <c r="D19" s="2">
        <f ca="1"/>
        <v>0.99999999991761346</v>
      </c>
      <c r="E19" s="2">
        <f ca="1"/>
        <v>-1.5540787871961964E-14</v>
      </c>
      <c r="F19" s="2">
        <f ca="1"/>
        <v>-0.99717078746204613</v>
      </c>
      <c r="G19" s="2">
        <f ca="1"/>
        <v>-2.0686073968790684E-13</v>
      </c>
      <c r="H19" s="2">
        <f ca="1"/>
        <v>-8.3445191399564578E-10</v>
      </c>
    </row>
    <row r="20" spans="1:25" s="2" customFormat="1" x14ac:dyDescent="0.25">
      <c r="B20" s="1"/>
      <c r="C20" s="2">
        <f ca="1"/>
        <v>-4.3057013960766307E-4</v>
      </c>
      <c r="D20" s="2">
        <f ca="1"/>
        <v>-9.3244727136342784E-15</v>
      </c>
      <c r="E20" s="2">
        <f ca="1"/>
        <v>0.99999939272037075</v>
      </c>
      <c r="F20" s="2">
        <f ca="1"/>
        <v>3.2020943286857721E-7</v>
      </c>
      <c r="G20" s="2">
        <f ca="1"/>
        <v>1.5304990714203467E-9</v>
      </c>
      <c r="H20" s="2">
        <f ca="1"/>
        <v>6.1738533925871291E-6</v>
      </c>
    </row>
    <row r="21" spans="1:25" s="2" customFormat="1" x14ac:dyDescent="0.25">
      <c r="B21" s="1"/>
      <c r="C21" s="2">
        <f ca="1"/>
        <v>-1.1639087121792697E-4</v>
      </c>
      <c r="D21" s="2">
        <f ca="1"/>
        <v>-5.8075066596173246E-5</v>
      </c>
      <c r="E21" s="2">
        <f ca="1"/>
        <v>3.1081576649016923E-11</v>
      </c>
      <c r="F21" s="2">
        <f ca="1"/>
        <v>1994.3416329991589</v>
      </c>
      <c r="G21" s="2">
        <f ca="1"/>
        <v>4.1372149142334996E-10</v>
      </c>
      <c r="H21" s="2">
        <f ca="1"/>
        <v>1.6689038765896371E-6</v>
      </c>
    </row>
    <row r="22" spans="1:25" s="2" customFormat="1" x14ac:dyDescent="0.25">
      <c r="B22" s="1"/>
      <c r="C22" s="2">
        <f ca="1"/>
        <v>-6.2386125175105244E-13</v>
      </c>
      <c r="D22" s="2">
        <f ca="1"/>
        <v>-3.0736896360970083E-23</v>
      </c>
      <c r="E22" s="2">
        <f ca="1"/>
        <v>3.790214248961799E-19</v>
      </c>
      <c r="F22" s="2">
        <f ca="1"/>
        <v>1.0555282270808835E-15</v>
      </c>
      <c r="G22" s="2">
        <f ca="1"/>
        <v>1.0471237294703187E-6</v>
      </c>
      <c r="H22" s="2">
        <f ca="1"/>
        <v>8.9454134212291271E-15</v>
      </c>
    </row>
    <row r="23" spans="1:25" s="2" customFormat="1" x14ac:dyDescent="0.25">
      <c r="B23" s="1"/>
      <c r="C23" s="2">
        <f ca="1"/>
        <v>-1.2016286606504301E-3</v>
      </c>
      <c r="D23" s="2">
        <f ca="1"/>
        <v>-5.9202804314447103E-14</v>
      </c>
      <c r="E23" s="2">
        <f ca="1"/>
        <v>7.3003894035328825E-10</v>
      </c>
      <c r="F23" s="2">
        <f ca="1"/>
        <v>2.0330689976752281E-6</v>
      </c>
      <c r="G23" s="2">
        <f ca="1"/>
        <v>4.2712937571410428E-9</v>
      </c>
      <c r="H23" s="2">
        <f ca="1"/>
        <v>0.9856638644118455</v>
      </c>
    </row>
    <row r="24" spans="1:25" s="2" customFormat="1" x14ac:dyDescent="0.25">
      <c r="A24" s="2" t="s">
        <v>93</v>
      </c>
      <c r="B24" s="1" t="s">
        <v>79</v>
      </c>
      <c r="C24" s="2" cm="1">
        <f t="array" aca="1" ref="C24:H24" ca="1">_xlfn._xlws.FILTER(OFFSET('Iter 0'!C24,0,0,1,inputs!$B$1),OFFSET(inputs!$B$6,0,0,1,inputs!$B$1)&lt;&gt;"FixedAct")</f>
        <v>-5.7668789663870186E-7</v>
      </c>
      <c r="D24" s="2">
        <f ca="1"/>
        <v>-4.9999998544004011E-4</v>
      </c>
      <c r="E24" s="2">
        <f ca="1"/>
        <v>1.8195544864655494E-10</v>
      </c>
      <c r="F24" s="2">
        <f ca="1"/>
        <v>-7.0692551844249487E-8</v>
      </c>
      <c r="G24" s="2">
        <f ca="1"/>
        <v>2.5199876083142386E-13</v>
      </c>
      <c r="H24" s="2">
        <f ca="1"/>
        <v>5.1565285828824598E-10</v>
      </c>
    </row>
    <row r="25" spans="1:25" s="2" customFormat="1" x14ac:dyDescent="0.25">
      <c r="A25" s="2" t="s">
        <v>93</v>
      </c>
      <c r="B25" s="1" t="s">
        <v>80</v>
      </c>
      <c r="C25" s="2" cm="1">
        <f t="array" aca="1" ref="C25:H25" ca="1">TRANSPOSE(MMULT(_xlfn.ANCHORARRAY(C18),TRANSPOSE(_xlfn.ANCHORARRAY(C24))))</f>
        <v>-3.7003708565319301E-7</v>
      </c>
      <c r="D25" s="2">
        <f ca="1"/>
        <v>-4.9992949288481768E-4</v>
      </c>
      <c r="E25" s="2">
        <f ca="1"/>
        <v>4.3024047812032933E-10</v>
      </c>
      <c r="F25" s="2">
        <f ca="1"/>
        <v>-1.4095599463141839E-4</v>
      </c>
      <c r="G25" s="2">
        <f ca="1"/>
        <v>6.2357712551189754E-19</v>
      </c>
      <c r="H25" s="2">
        <f ca="1"/>
        <v>1.2010814007464744E-9</v>
      </c>
    </row>
    <row r="26" spans="1:25" s="2" customFormat="1" x14ac:dyDescent="0.25">
      <c r="A26" s="2" t="s">
        <v>93</v>
      </c>
      <c r="B26" s="1" t="s">
        <v>76</v>
      </c>
      <c r="C26" s="2" cm="1">
        <f t="array" aca="1" ref="C26:I26" ca="1">_xlfn.XLOOKUP(_xlfn.ANCHORARRAY(C3),C11:H11,_xlfn.ANCHORARRAY(C25),0)</f>
        <v>-3.7003708565319301E-7</v>
      </c>
      <c r="D26" s="2">
        <f ca="1"/>
        <v>-4.9992949288481768E-4</v>
      </c>
      <c r="E26" s="2">
        <f ca="1"/>
        <v>4.3024047812032933E-10</v>
      </c>
      <c r="F26" s="2">
        <f ca="1"/>
        <v>0</v>
      </c>
      <c r="G26" s="2">
        <f ca="1"/>
        <v>-1.4095599463141839E-4</v>
      </c>
      <c r="H26" s="2">
        <f ca="1"/>
        <v>6.2357712551189754E-19</v>
      </c>
      <c r="I26" s="2">
        <f ca="1"/>
        <v>1.2010814007464744E-9</v>
      </c>
    </row>
    <row r="27" spans="1:25" s="2" customFormat="1" x14ac:dyDescent="0.25">
      <c r="A27" s="2" t="s">
        <v>94</v>
      </c>
      <c r="B27" s="1" t="s">
        <v>60</v>
      </c>
      <c r="C27" s="2" cm="1">
        <f t="array" aca="1" ref="C27:I27" ca="1">IF(_xlfn.ANCHORARRAY(C26)&gt;=OFFSET('Iter 0'!C17,0,0,1,inputs!$B$1),OFFSET('Iter 0'!C17,0,0,1,inputs!$B$1)/10,OFFSET('Iter 0'!C17,0,0,1,inputs!$B$1)-_xlfn.ANCHORARRAY(C26))</f>
        <v>6.4170728700072199E-7</v>
      </c>
      <c r="D27" s="2">
        <f ca="1"/>
        <v>9.9992949288481769E-4</v>
      </c>
      <c r="E27" s="2">
        <f ca="1"/>
        <v>2.9999956945249445E-4</v>
      </c>
      <c r="F27" s="2">
        <f ca="1"/>
        <v>2.6915348039269101E-8</v>
      </c>
      <c r="G27" s="2">
        <f ca="1"/>
        <v>1.0001409559946315</v>
      </c>
      <c r="H27" s="2">
        <f ca="1"/>
        <v>7.4293068902518528E-14</v>
      </c>
      <c r="I27" s="2">
        <f ca="1"/>
        <v>3.4272984463015228E-8</v>
      </c>
    </row>
    <row r="28" spans="1:25" s="2" customFormat="1" x14ac:dyDescent="0.25">
      <c r="B28" s="1" t="s">
        <v>62</v>
      </c>
      <c r="C28" s="2" cm="1">
        <f t="array" aca="1" ref="C28:Y28" ca="1">IF(OFFSET(C27,0,0,1,inputs!$B$2)=0,OFFSET('Iter 0'!C17,0,0,1,inputs!$B$2),OFFSET(C27,0,0,1,inputs!$B$2))</f>
        <v>6.4170728700072199E-7</v>
      </c>
      <c r="D28" s="2">
        <f ca="1"/>
        <v>9.9992949288481769E-4</v>
      </c>
      <c r="E28" s="2">
        <f ca="1"/>
        <v>2.9999956945249445E-4</v>
      </c>
      <c r="F28" s="2">
        <f ca="1"/>
        <v>2.6915348039269101E-8</v>
      </c>
      <c r="G28" s="2">
        <f ca="1"/>
        <v>1.0001409559946315</v>
      </c>
      <c r="H28" s="2">
        <f ca="1"/>
        <v>7.4293068902518528E-14</v>
      </c>
      <c r="I28" s="2">
        <f ca="1"/>
        <v>3.4272984463015228E-8</v>
      </c>
      <c r="J28" s="2">
        <f ca="1"/>
        <v>8.1721870235427361E-7</v>
      </c>
      <c r="K28" s="2">
        <f ca="1"/>
        <v>1.5094330825693102E-7</v>
      </c>
      <c r="L28" s="2">
        <f ca="1"/>
        <v>1.8226247006346043E-10</v>
      </c>
      <c r="M28" s="2">
        <f ca="1"/>
        <v>2.7167020134752897E-7</v>
      </c>
      <c r="N28" s="2">
        <f ca="1"/>
        <v>5.0000000000000001E-4</v>
      </c>
      <c r="O28" s="2">
        <f ca="1"/>
        <v>0</v>
      </c>
      <c r="P28" s="2">
        <f ca="1"/>
        <v>2.6915348039269101E-8</v>
      </c>
      <c r="Q28" s="2">
        <f ca="1"/>
        <v>0</v>
      </c>
      <c r="R28" s="2">
        <f ca="1"/>
        <v>3.0481897939585868E-7</v>
      </c>
      <c r="S28" s="2">
        <f ca="1"/>
        <v>2.0472140757358315E-10</v>
      </c>
      <c r="T28" s="2">
        <f ca="1"/>
        <v>7.0949925506216617E-8</v>
      </c>
      <c r="U28" s="2">
        <f ca="1"/>
        <v>5.2469988381521472E-13</v>
      </c>
      <c r="V28" s="2">
        <f ca="1"/>
        <v>1.1884856666791491E-13</v>
      </c>
      <c r="W28" s="2">
        <f ca="1"/>
        <v>2.4319406534684487E-10</v>
      </c>
      <c r="X28" s="2">
        <f ca="1"/>
        <v>1.3335028506873818E-13</v>
      </c>
      <c r="Y28" s="2">
        <f ca="1"/>
        <v>2.7286822929587898E-10</v>
      </c>
    </row>
    <row r="29" spans="1:25" s="2" customFormat="1" x14ac:dyDescent="0.25">
      <c r="A29" s="2" t="s">
        <v>81</v>
      </c>
      <c r="B29" s="1" t="s">
        <v>9</v>
      </c>
      <c r="C29" s="2" cm="1">
        <f t="array" aca="1" ref="C29" ca="1">SUM(_xlfn.ANCHORARRAY(C28)*SpecCharge^2)*0.5</f>
        <v>9.0249048236189428E-4</v>
      </c>
    </row>
    <row r="30" spans="1:25" s="2" customFormat="1" x14ac:dyDescent="0.25">
      <c r="A30" s="2" t="s">
        <v>84</v>
      </c>
      <c r="B30" s="1" t="s">
        <v>66</v>
      </c>
      <c r="C30" s="2" cm="1">
        <f t="array" aca="1" ref="C30:Y30" ca="1">IF(SpecActCorr="Debye",10^(ABS(SpecCharge)^2*(-(0.27+0.0008*inputs!$B$17)*SQRT(C29))/(1+(3*ABS(SpecCharge)*0.33*SQRT(C29)))),1)</f>
        <v>0.87746798391268865</v>
      </c>
      <c r="D30" s="2">
        <f ca="1"/>
        <v>0.9669364239057785</v>
      </c>
      <c r="E30" s="2">
        <f ca="1"/>
        <v>0.9669364239057785</v>
      </c>
      <c r="F30" s="2">
        <f ca="1"/>
        <v>0.9669364239057785</v>
      </c>
      <c r="G30" s="2">
        <f ca="1"/>
        <v>1</v>
      </c>
      <c r="H30" s="2">
        <f ca="1"/>
        <v>1</v>
      </c>
      <c r="I30" s="2">
        <f ca="1"/>
        <v>1</v>
      </c>
      <c r="J30" s="2">
        <f ca="1"/>
        <v>0.9669364239057785</v>
      </c>
      <c r="K30" s="2">
        <f ca="1"/>
        <v>0.9669364239057785</v>
      </c>
      <c r="L30" s="2">
        <f ca="1"/>
        <v>0.9669364239057785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Q30" s="2">
        <f ca="1"/>
        <v>1</v>
      </c>
      <c r="R30" s="2">
        <f ca="1"/>
        <v>1</v>
      </c>
      <c r="S30" s="2">
        <f ca="1"/>
        <v>1</v>
      </c>
      <c r="T30" s="2">
        <f ca="1"/>
        <v>1</v>
      </c>
      <c r="U30" s="2">
        <f ca="1"/>
        <v>1</v>
      </c>
      <c r="V30" s="2">
        <f ca="1"/>
        <v>1</v>
      </c>
      <c r="W30" s="2">
        <f ca="1"/>
        <v>1</v>
      </c>
      <c r="X30" s="2">
        <f ca="1"/>
        <v>1</v>
      </c>
      <c r="Y30" s="2">
        <f ca="1"/>
        <v>1</v>
      </c>
    </row>
    <row r="31" spans="1:25" s="2" customFormat="1" x14ac:dyDescent="0.25">
      <c r="A31" s="2" t="s">
        <v>82</v>
      </c>
      <c r="B31" s="1" t="s">
        <v>62</v>
      </c>
      <c r="C31" s="2" cm="1">
        <f t="array" aca="1" ref="C31:Y31" ca="1">OFFSET(inputs!$B$53,0,0,1,inputs!$B$2)*TRANSPOSE(_xlfn.BYROW(C28:I28^SpecStoich,_xlfn.LAMBDA(_xlpm.array, PRODUCT(_xlpm.array))))</f>
        <v>6.4170728700072199E-7</v>
      </c>
      <c r="D31" s="2">
        <f ca="1"/>
        <v>9.9992949288481769E-4</v>
      </c>
      <c r="E31" s="2">
        <f ca="1"/>
        <v>2.9999956945249445E-4</v>
      </c>
      <c r="F31" s="2">
        <f ca="1"/>
        <v>2.6915348039269101E-8</v>
      </c>
      <c r="G31" s="2">
        <f ca="1"/>
        <v>1</v>
      </c>
      <c r="H31" s="2">
        <f ca="1"/>
        <v>7.4293068902518528E-14</v>
      </c>
      <c r="I31" s="2">
        <f ca="1"/>
        <v>3.4272984463015228E-8</v>
      </c>
      <c r="J31" s="2">
        <f ca="1"/>
        <v>8.1721870235427361E-7</v>
      </c>
      <c r="K31" s="2">
        <f ca="1"/>
        <v>3.5654046837680493E-7</v>
      </c>
      <c r="L31" s="2">
        <f ca="1"/>
        <v>4.3051827867439263E-10</v>
      </c>
      <c r="M31" s="2">
        <f ca="1"/>
        <v>6.4188820472834535E-7</v>
      </c>
      <c r="N31" s="2">
        <f ca="1"/>
        <v>1.0000704389410487E-3</v>
      </c>
      <c r="O31" s="2">
        <f ca="1"/>
        <v>3.0004185619019564E-4</v>
      </c>
      <c r="P31" s="2">
        <f ca="1"/>
        <v>2.691914191892283E-8</v>
      </c>
      <c r="Q31" s="2">
        <f ca="1"/>
        <v>3.7416332140212464E-7</v>
      </c>
      <c r="R31" s="2">
        <f ca="1"/>
        <v>7.2010890763664385E-7</v>
      </c>
      <c r="S31" s="2">
        <f ca="1"/>
        <v>4.8363621598370085E-10</v>
      </c>
      <c r="T31" s="2">
        <f ca="1"/>
        <v>7.0949329994684936E-8</v>
      </c>
      <c r="U31" s="2">
        <f ca="1"/>
        <v>5.0693458806804535E-13</v>
      </c>
      <c r="V31" s="2">
        <f ca="1"/>
        <v>2.8072770134771228E-13</v>
      </c>
      <c r="W31" s="2">
        <f ca="1"/>
        <v>5.549947757892296E-10</v>
      </c>
      <c r="X31" s="2">
        <f ca="1"/>
        <v>3.1498166154590445E-13</v>
      </c>
      <c r="Y31" s="2">
        <f ca="1"/>
        <v>6.2271438047669931E-10</v>
      </c>
    </row>
    <row r="32" spans="1:25" s="2" customFormat="1" x14ac:dyDescent="0.25">
      <c r="B32" s="1" t="s">
        <v>72</v>
      </c>
    </row>
    <row r="33" spans="1:25" s="2" customFormat="1" x14ac:dyDescent="0.25">
      <c r="A33" s="2" t="s">
        <v>81</v>
      </c>
      <c r="B33" s="1" t="s">
        <v>9</v>
      </c>
      <c r="C33" s="2" cm="1">
        <f t="array" aca="1" ref="C33" ca="1">SUM(_xlfn.ANCHORARRAY(C31)*SpecCharge^2)*0.5</f>
        <v>1.3037850122960644E-3</v>
      </c>
    </row>
    <row r="34" spans="1:25" s="2" customFormat="1" x14ac:dyDescent="0.25">
      <c r="A34" s="2" t="s">
        <v>83</v>
      </c>
      <c r="B34" s="1" t="s">
        <v>67</v>
      </c>
      <c r="C34" s="2" cm="1">
        <f t="array" aca="1" ref="C34" ca="1">IFERROR(SUM(_xlfn._xlws.FILTER(_xlfn.ANCHORARRAY(C30)*SpecCharge,SpecActCorr="WHAMHA")),0)</f>
        <v>0</v>
      </c>
      <c r="D34" s="2" cm="1">
        <f t="array" ref="D34">IFERROR(SUM(_xlfn._xlws.FILTER(_xlfn.ANCHORARRAY(C32)*SpecCharge,SpecActCorr="WHAMFA")),0)</f>
        <v>0</v>
      </c>
    </row>
    <row r="35" spans="1:25" s="2" customFormat="1" x14ac:dyDescent="0.25">
      <c r="A35" s="2" t="s">
        <v>85</v>
      </c>
      <c r="B35" s="1" t="s">
        <v>68</v>
      </c>
      <c r="C35" s="2" cm="1">
        <f t="array" aca="1" ref="C35:Y35" ca="1">OFFSET(inputs!$B$53,0,0,1,inputs!$B$2)*IF(SpecActCorr="WHAMFA",EXP(2*inputs!$C$26*LOG10(C33)*D34*ABS(SpecCharge)),IF(SpecActCorr="WHAMHA",EXP(2*inputs!$C$26*LOG10(C33)*C34*ABS(SpecCharge)),1))</f>
        <v>1</v>
      </c>
      <c r="D35" s="2">
        <f ca="1"/>
        <v>1</v>
      </c>
      <c r="E35" s="2">
        <f ca="1"/>
        <v>1</v>
      </c>
      <c r="F35" s="2">
        <f ca="1"/>
        <v>1</v>
      </c>
      <c r="G35" s="2">
        <f ca="1"/>
        <v>1</v>
      </c>
      <c r="H35" s="2">
        <f ca="1"/>
        <v>1</v>
      </c>
      <c r="I35" s="2">
        <f ca="1"/>
        <v>1</v>
      </c>
      <c r="J35" s="2">
        <f ca="1"/>
        <v>2.1995725798065139E-14</v>
      </c>
      <c r="K35" s="2">
        <f ca="1"/>
        <v>1.4954498711240171E-8</v>
      </c>
      <c r="L35" s="2">
        <f ca="1"/>
        <v>2.2363202312453416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1</v>
      </c>
      <c r="Q35" s="2">
        <f ca="1"/>
        <v>1.0069316688518E-14</v>
      </c>
      <c r="R35" s="2">
        <f ca="1"/>
        <v>3.0199517204020201E-8</v>
      </c>
      <c r="S35" s="2">
        <f ca="1"/>
        <v>2.5118864315095801</v>
      </c>
      <c r="T35" s="2">
        <f ca="1"/>
        <v>2.5703957827688601E-2</v>
      </c>
      <c r="U35" s="2">
        <f ca="1"/>
        <v>3.9810717055349702E-13</v>
      </c>
      <c r="V35" s="2">
        <f ca="1"/>
        <v>0.15848931924611101</v>
      </c>
      <c r="W35" s="2">
        <f ca="1"/>
        <v>6.7920363261718397E-4</v>
      </c>
      <c r="X35" s="2">
        <f ca="1"/>
        <v>4.7863009232263802E-9</v>
      </c>
      <c r="Y35" s="2">
        <f ca="1"/>
        <v>2.0511621788255701E-11</v>
      </c>
    </row>
    <row r="36" spans="1:25" s="2" customFormat="1" x14ac:dyDescent="0.25">
      <c r="A36" s="2" t="s">
        <v>86</v>
      </c>
      <c r="B36" s="1" t="s">
        <v>70</v>
      </c>
      <c r="C36" s="2" cm="1">
        <f t="array" aca="1" ref="C36:D36" ca="1">((1000*((6.022E+23)/inputs!$B$24:$C$24)*(4*PI()/3)*(((inputs!$B$25:$C$25+(0.000000000304 / SQRT(C33)))^3)-((inputs!$B$25:$C$25)^3)))*inputs!$B$20*ABS(C34:D34))/(1+inputs!$B$20*ABS(C34:D34))*inputs!$B$23:$C$23*inputs!$B$24:$C$24</f>
        <v>0</v>
      </c>
      <c r="D36" s="2">
        <f ca="1"/>
        <v>0</v>
      </c>
    </row>
    <row r="37" spans="1:25" s="2" customFormat="1" x14ac:dyDescent="0.25">
      <c r="A37" s="2" t="s">
        <v>86</v>
      </c>
      <c r="B37" s="1" t="s">
        <v>71</v>
      </c>
      <c r="C37" s="2" cm="1">
        <f t="array" aca="1" ref="C37:D37" ca="1">inputs!$B$19/(inputs!$B$19+SUM(_xlfn.ANCHORARRAY(C36)))*_xlfn.ANCHORARRAY(C36)</f>
        <v>0</v>
      </c>
      <c r="D37" s="2">
        <f ca="1"/>
        <v>0</v>
      </c>
    </row>
    <row r="38" spans="1:25" s="2" customFormat="1" x14ac:dyDescent="0.25">
      <c r="A38" s="2" t="s">
        <v>86</v>
      </c>
      <c r="B38" s="1" t="s">
        <v>69</v>
      </c>
      <c r="C38" s="2" cm="1">
        <f t="array" aca="1" ref="C38:Y38" ca="1">IF(SpecActCorr="DonnanHA",C37,IF(SpecActCorr="DonnanFA",D37,IF(OR(SpecActCorr="WHAMHA",SpecActCorr="WHAMFA"),OFFSET(inputs!$B$14,0,0,1,inputs!$B$2),OFFSET(inputs!$B$14,0,0,1,inputs!$B$2)-SUM(_xlfn.ANCHORARRAY(C37)))))</f>
        <v>1</v>
      </c>
      <c r="D38" s="2">
        <f ca="1"/>
        <v>1</v>
      </c>
      <c r="E38" s="2">
        <f ca="1"/>
        <v>1</v>
      </c>
      <c r="F38" s="2">
        <f ca="1"/>
        <v>1</v>
      </c>
      <c r="G38" s="2">
        <f ca="1"/>
        <v>0</v>
      </c>
      <c r="H38" s="2">
        <f ca="1"/>
        <v>1</v>
      </c>
      <c r="I38" s="2">
        <f ca="1"/>
        <v>1</v>
      </c>
      <c r="J38" s="2">
        <f ca="1"/>
        <v>1</v>
      </c>
      <c r="K38" s="2">
        <f ca="1"/>
        <v>1</v>
      </c>
      <c r="L38" s="2">
        <f ca="1"/>
        <v>1</v>
      </c>
      <c r="M38" s="2">
        <f ca="1"/>
        <v>0</v>
      </c>
      <c r="N38" s="2">
        <f ca="1"/>
        <v>0</v>
      </c>
      <c r="O38" s="2">
        <f ca="1"/>
        <v>0</v>
      </c>
      <c r="P38" s="2">
        <f ca="1"/>
        <v>0</v>
      </c>
      <c r="Q38" s="2">
        <f ca="1"/>
        <v>0</v>
      </c>
      <c r="R38" s="2">
        <f ca="1"/>
        <v>0</v>
      </c>
      <c r="S38" s="2">
        <f ca="1"/>
        <v>0</v>
      </c>
      <c r="T38" s="2">
        <f ca="1"/>
        <v>1</v>
      </c>
      <c r="U38" s="2">
        <f ca="1"/>
        <v>1</v>
      </c>
      <c r="V38" s="2">
        <f ca="1"/>
        <v>1</v>
      </c>
      <c r="W38" s="2">
        <f ca="1"/>
        <v>1</v>
      </c>
      <c r="X38" s="2">
        <f ca="1"/>
        <v>1</v>
      </c>
      <c r="Y38" s="2">
        <f ca="1"/>
        <v>1</v>
      </c>
    </row>
    <row r="39" spans="1:25" s="2" customFormat="1" x14ac:dyDescent="0.25">
      <c r="A39" s="2" t="s">
        <v>87</v>
      </c>
      <c r="B39" s="1" t="s">
        <v>62</v>
      </c>
      <c r="C39" s="2" cm="1">
        <f t="array" aca="1" ref="C39:Y39" ca="1">IF((SpecActCorr="DonnanFA")*(SIGN(_xlfn.SEQUENCE(1,inputs!$B$2,D34,0))=SIGN(SpecCharge)),0,OFFSET(C31,0,0,1,inputs!$B$2))</f>
        <v>6.4170728700072199E-7</v>
      </c>
      <c r="D39" s="2">
        <f ca="1"/>
        <v>9.9992949288481769E-4</v>
      </c>
      <c r="E39" s="2">
        <f ca="1"/>
        <v>2.9999956945249445E-4</v>
      </c>
      <c r="F39" s="2">
        <f ca="1"/>
        <v>2.6915348039269101E-8</v>
      </c>
      <c r="G39" s="2">
        <f ca="1"/>
        <v>0</v>
      </c>
      <c r="H39" s="2">
        <f ca="1"/>
        <v>7.4293068902518528E-14</v>
      </c>
      <c r="I39" s="2">
        <f ca="1"/>
        <v>3.4272984463015228E-8</v>
      </c>
      <c r="J39" s="2">
        <f ca="1"/>
        <v>8.1721870235427361E-7</v>
      </c>
      <c r="K39" s="2">
        <f ca="1"/>
        <v>3.5654046837680493E-7</v>
      </c>
      <c r="L39" s="2">
        <f ca="1"/>
        <v>4.3051827867439263E-10</v>
      </c>
      <c r="M39" s="2">
        <f ca="1"/>
        <v>6.4188820472834535E-7</v>
      </c>
      <c r="N39" s="2">
        <f ca="1"/>
        <v>1.0000704389410487E-3</v>
      </c>
      <c r="O39" s="2">
        <f ca="1"/>
        <v>3.0004185619019564E-4</v>
      </c>
      <c r="P39" s="2">
        <f ca="1"/>
        <v>2.691914191892283E-8</v>
      </c>
      <c r="Q39" s="2">
        <f ca="1"/>
        <v>3.7416332140212464E-7</v>
      </c>
      <c r="R39" s="2">
        <f ca="1"/>
        <v>7.2010890763664385E-7</v>
      </c>
      <c r="S39" s="2">
        <f ca="1"/>
        <v>4.8363621598370085E-10</v>
      </c>
      <c r="T39" s="2">
        <f ca="1"/>
        <v>7.0949329994684936E-8</v>
      </c>
      <c r="U39" s="2">
        <f ca="1"/>
        <v>5.0693458806804535E-13</v>
      </c>
      <c r="V39" s="2">
        <f ca="1"/>
        <v>2.8072770134771228E-13</v>
      </c>
      <c r="W39" s="2">
        <f ca="1"/>
        <v>5.549947757892296E-10</v>
      </c>
      <c r="X39" s="2">
        <f ca="1"/>
        <v>3.1498166154590445E-13</v>
      </c>
      <c r="Y39" s="2">
        <f ca="1"/>
        <v>6.2271438047669931E-10</v>
      </c>
    </row>
    <row r="40" spans="1:25" s="2" customFormat="1" x14ac:dyDescent="0.25">
      <c r="B40" s="1" t="s">
        <v>72</v>
      </c>
      <c r="C40" s="2" cm="1">
        <f t="array" aca="1" ref="C40:Y40" ca="1">_xlfn.ANCHORARRAY(C39)*_xlfn.ANCHORARRAY(C38)</f>
        <v>6.4170728700072199E-7</v>
      </c>
      <c r="D40" s="2">
        <f ca="1"/>
        <v>9.9992949288481769E-4</v>
      </c>
      <c r="E40" s="2">
        <f ca="1"/>
        <v>2.9999956945249445E-4</v>
      </c>
      <c r="F40" s="2">
        <f ca="1"/>
        <v>2.6915348039269101E-8</v>
      </c>
      <c r="G40" s="2">
        <f ca="1"/>
        <v>0</v>
      </c>
      <c r="H40" s="2">
        <f ca="1"/>
        <v>7.4293068902518528E-14</v>
      </c>
      <c r="I40" s="2">
        <f ca="1"/>
        <v>3.4272984463015228E-8</v>
      </c>
      <c r="J40" s="2">
        <f ca="1"/>
        <v>8.1721870235427361E-7</v>
      </c>
      <c r="K40" s="2">
        <f ca="1"/>
        <v>3.5654046837680493E-7</v>
      </c>
      <c r="L40" s="2">
        <f ca="1"/>
        <v>4.3051827867439263E-10</v>
      </c>
      <c r="M40" s="2">
        <f ca="1"/>
        <v>0</v>
      </c>
      <c r="N40" s="2">
        <f ca="1"/>
        <v>0</v>
      </c>
      <c r="O40" s="2">
        <f ca="1"/>
        <v>0</v>
      </c>
      <c r="P40" s="2">
        <f ca="1"/>
        <v>0</v>
      </c>
      <c r="Q40" s="2">
        <f ca="1"/>
        <v>0</v>
      </c>
      <c r="R40" s="2">
        <f ca="1"/>
        <v>0</v>
      </c>
      <c r="S40" s="2">
        <f ca="1"/>
        <v>0</v>
      </c>
      <c r="T40" s="2">
        <f ca="1"/>
        <v>7.0949329994684936E-8</v>
      </c>
      <c r="U40" s="2">
        <f ca="1"/>
        <v>5.0693458806804535E-13</v>
      </c>
      <c r="V40" s="2">
        <f ca="1"/>
        <v>2.8072770134771228E-13</v>
      </c>
      <c r="W40" s="2">
        <f ca="1"/>
        <v>5.549947757892296E-10</v>
      </c>
      <c r="X40" s="2">
        <f ca="1"/>
        <v>3.1498166154590445E-13</v>
      </c>
      <c r="Y40" s="2">
        <f ca="1"/>
        <v>6.2271438047669931E-10</v>
      </c>
    </row>
    <row r="41" spans="1:25" s="2" customFormat="1" x14ac:dyDescent="0.25">
      <c r="A41" s="2" t="s">
        <v>87</v>
      </c>
      <c r="B41" s="6" t="s">
        <v>56</v>
      </c>
      <c r="C41" s="7" cm="1">
        <f t="array" aca="1" ref="C41:I41" ca="1">IF(OFFSET(inputs!$B$5,0,0,1,inputs!$B$1)="DonnanFA",-D34,_xlfn.ANCHORARRAY(C26))</f>
        <v>-3.7003708565319301E-7</v>
      </c>
      <c r="D41" s="7">
        <f ca="1"/>
        <v>-4.9992949288481768E-4</v>
      </c>
      <c r="E41" s="7">
        <f ca="1"/>
        <v>4.3024047812032933E-10</v>
      </c>
      <c r="F41" s="7">
        <f ca="1"/>
        <v>0</v>
      </c>
      <c r="G41" s="7">
        <f ca="1"/>
        <v>0</v>
      </c>
      <c r="H41" s="7">
        <f ca="1"/>
        <v>6.2357712551189754E-19</v>
      </c>
      <c r="I41" s="7">
        <f ca="1"/>
        <v>1.2010814007464744E-9</v>
      </c>
    </row>
    <row r="42" spans="1:25" s="2" customFormat="1" x14ac:dyDescent="0.25">
      <c r="A42" s="2" t="s">
        <v>88</v>
      </c>
      <c r="B42" s="8" t="s">
        <v>56</v>
      </c>
      <c r="C42" s="9" cm="1">
        <f t="array" aca="1" ref="C42:I42" ca="1">IF(OFFSET(inputs!$B$6,0,0,1,inputs!$B$1)="FixedAct",MMULT((_xlfn.ANCHORARRAY(C39)*_xlfn.ANCHORARRAY(C38)),SpecStoich),IF(OFFSET(inputs!$B$5,0,0,1,inputs!$B$1)="DonnanFA",-D34,_xlfn.ANCHORARRAY(C41)))</f>
        <v>-3.7003708565319301E-7</v>
      </c>
      <c r="D42" s="9">
        <f ca="1"/>
        <v>-4.9992949288481768E-4</v>
      </c>
      <c r="E42" s="9">
        <f ca="1"/>
        <v>4.3024047812032933E-10</v>
      </c>
      <c r="F42" s="9">
        <f ca="1"/>
        <v>-1.2195949938488495E-6</v>
      </c>
      <c r="G42" s="9">
        <f ca="1"/>
        <v>0</v>
      </c>
      <c r="H42" s="9">
        <f ca="1"/>
        <v>6.2357712551189754E-19</v>
      </c>
      <c r="I42" s="9">
        <f ca="1"/>
        <v>1.2010814007464744E-9</v>
      </c>
    </row>
    <row r="43" spans="1:25" s="2" customFormat="1" x14ac:dyDescent="0.25">
      <c r="B43" s="1" t="s">
        <v>7</v>
      </c>
      <c r="C43" s="2" cm="1">
        <f t="array" aca="1" ref="C43:I43" ca="1">_xlfn.ANCHORARRAY(C42)*OFFSET(C38,0,0,1,inputs!$B$1)</f>
        <v>-3.7003708565319301E-7</v>
      </c>
      <c r="D43" s="2">
        <f ca="1"/>
        <v>-4.9992949288481768E-4</v>
      </c>
      <c r="E43" s="2">
        <f ca="1"/>
        <v>4.3024047812032933E-10</v>
      </c>
      <c r="F43" s="2">
        <f ca="1"/>
        <v>-1.2195949938488495E-6</v>
      </c>
      <c r="G43" s="2">
        <f ca="1"/>
        <v>0</v>
      </c>
      <c r="H43" s="2">
        <f ca="1"/>
        <v>6.2357712551189754E-19</v>
      </c>
      <c r="I43" s="2">
        <f ca="1"/>
        <v>1.2010814007464744E-9</v>
      </c>
    </row>
    <row r="44" spans="1:25" s="2" customFormat="1" x14ac:dyDescent="0.25">
      <c r="A44" s="2" t="s">
        <v>89</v>
      </c>
      <c r="B44" s="1" t="s">
        <v>73</v>
      </c>
      <c r="C44" s="2" cm="1">
        <f t="array" aca="1" ref="C44:I44" ca="1">MMULT(_xlfn.ANCHORARRAY(C40),SpecStoich)</f>
        <v>9.998565785218303E-7</v>
      </c>
      <c r="D44" s="2">
        <f ca="1"/>
        <v>9.9992949288481769E-4</v>
      </c>
      <c r="E44" s="2">
        <f ca="1"/>
        <v>2.9999999997077314E-4</v>
      </c>
      <c r="F44" s="2">
        <f ca="1"/>
        <v>-1.2195949938488495E-6</v>
      </c>
      <c r="G44" s="2">
        <f ca="1"/>
        <v>0</v>
      </c>
      <c r="H44" s="2">
        <f ca="1"/>
        <v>7.0949999997116736E-8</v>
      </c>
      <c r="I44" s="2">
        <f ca="1"/>
        <v>3.5451200553869221E-8</v>
      </c>
    </row>
    <row r="45" spans="1:25" s="2" customFormat="1" x14ac:dyDescent="0.25">
      <c r="A45" s="2" t="s">
        <v>89</v>
      </c>
      <c r="B45" s="1" t="s">
        <v>5</v>
      </c>
      <c r="C45" s="2" cm="1">
        <f t="array" aca="1" ref="C45:I45" ca="1">_xlfn.ANCHORARRAY(C44)/OFFSET(C38,0,0,1,inputs!$B$1)</f>
        <v>9.998565785218303E-7</v>
      </c>
      <c r="D45" s="2">
        <f ca="1"/>
        <v>9.9992949288481769E-4</v>
      </c>
      <c r="E45" s="2">
        <f ca="1"/>
        <v>2.9999999997077314E-4</v>
      </c>
      <c r="F45" s="2">
        <f ca="1"/>
        <v>-1.2195949938488495E-6</v>
      </c>
      <c r="G45" s="2" t="e">
        <f ca="1"/>
        <v>#DIV/0!</v>
      </c>
      <c r="H45" s="2">
        <f ca="1"/>
        <v>7.0949999997116736E-8</v>
      </c>
      <c r="I45" s="2">
        <f ca="1"/>
        <v>3.5451200553869221E-8</v>
      </c>
    </row>
    <row r="46" spans="1:25" s="2" customFormat="1" x14ac:dyDescent="0.25">
      <c r="A46" s="2" t="s">
        <v>90</v>
      </c>
      <c r="B46" s="1" t="s">
        <v>6</v>
      </c>
      <c r="C46" s="2" cm="1">
        <f t="array" aca="1" ref="C46:I46" ca="1">IF(OFFSET(inputs!$B$6,0,0,1,inputs!$B$1)="FixedAct",0,_xlfn.ANCHORARRAY(C44)-_xlfn.ANCHORARRAY(C42))</f>
        <v>1.3698936641750234E-6</v>
      </c>
      <c r="D46" s="2">
        <f ca="1"/>
        <v>1.4998589857696354E-3</v>
      </c>
      <c r="E46" s="2">
        <f ca="1"/>
        <v>2.9999956973029502E-4</v>
      </c>
      <c r="F46" s="2">
        <f ca="1"/>
        <v>0</v>
      </c>
      <c r="G46" s="2">
        <f ca="1"/>
        <v>0</v>
      </c>
      <c r="H46" s="2">
        <f ca="1"/>
        <v>7.0949999996493161E-8</v>
      </c>
      <c r="I46" s="2">
        <f ca="1"/>
        <v>3.4250119153122746E-8</v>
      </c>
    </row>
    <row r="47" spans="1:25" s="2" customFormat="1" x14ac:dyDescent="0.25">
      <c r="A47" s="2" t="s">
        <v>90</v>
      </c>
      <c r="B47" s="1" t="s">
        <v>74</v>
      </c>
      <c r="C47" s="2" cm="1">
        <f t="array" aca="1" ref="C47:I47" ca="1">ABS(_xlfn.ANCHORARRAY(C46)/_xlfn.ANCHORARRAY(C42))</f>
        <v>3.7020442471512656</v>
      </c>
      <c r="D47" s="2">
        <f ca="1"/>
        <v>3.0001410341181822</v>
      </c>
      <c r="E47" s="2">
        <f ca="1"/>
        <v>697283.46119583701</v>
      </c>
      <c r="F47" s="2">
        <f ca="1"/>
        <v>0</v>
      </c>
      <c r="G47" s="2" t="e">
        <f ca="1"/>
        <v>#DIV/0!</v>
      </c>
      <c r="H47" s="2">
        <f ca="1"/>
        <v>113779029239.16582</v>
      </c>
      <c r="I47" s="2">
        <f ca="1"/>
        <v>28.516068213058855</v>
      </c>
    </row>
    <row r="48" spans="1:25" s="2" customFormat="1" x14ac:dyDescent="0.25">
      <c r="A48" s="2" t="s">
        <v>91</v>
      </c>
      <c r="B48" s="1" t="s">
        <v>4</v>
      </c>
      <c r="C48" s="2" t="e">
        <f ca="1">MAX(_xlfn.ANCHORARRAY(C47))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inputs</vt:lpstr>
      <vt:lpstr>Reactions</vt:lpstr>
      <vt:lpstr>InitialGuess</vt:lpstr>
      <vt:lpstr>Iter 0</vt:lpstr>
      <vt:lpstr>Iter 1 (2)</vt:lpstr>
      <vt:lpstr>Iter 1</vt:lpstr>
      <vt:lpstr>AqueousMC</vt:lpstr>
      <vt:lpstr>CompCharge</vt:lpstr>
      <vt:lpstr>CompName</vt:lpstr>
      <vt:lpstr>CompType</vt:lpstr>
      <vt:lpstr>NComp</vt:lpstr>
      <vt:lpstr>NSpec</vt:lpstr>
      <vt:lpstr>SolHS</vt:lpstr>
      <vt:lpstr>SpecActCorr</vt:lpstr>
      <vt:lpstr>SpecCharge</vt:lpstr>
      <vt:lpstr>SpecCtoM</vt:lpstr>
      <vt:lpstr>SpecDeltaH</vt:lpstr>
      <vt:lpstr>SpecK</vt:lpstr>
      <vt:lpstr>SpecKTempAdj</vt:lpstr>
      <vt:lpstr>SpecName</vt:lpstr>
      <vt:lpstr>SpecStoich</vt:lpstr>
      <vt:lpstr>SpecTempKelvin</vt:lpstr>
      <vt:lpstr>SysTempKelvin</vt:lpstr>
      <vt:lpstr>TotConcKnown</vt:lpstr>
      <vt:lpstr>wDLF</vt:lpstr>
      <vt:lpstr>wKZED</vt:lpstr>
      <vt:lpstr>wMolWt</vt:lpstr>
      <vt:lpstr>wP</vt:lpstr>
      <vt:lpstr>wRadius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2023-11-14T14:16:32Z</dcterms:created>
  <dcterms:modified xsi:type="dcterms:W3CDTF">2024-02-26T19:45:03Z</dcterms:modified>
</cp:coreProperties>
</file>